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drawings/drawing1.xml" ContentType="application/vnd.openxmlformats-officedocument.drawing+xml"/>
  <Override PartName="/xl/worksheets/sheet11.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10.xml" ContentType="application/vnd.openxmlformats-officedocument.spreadsheetml.worksheet+xml"/>
  <Override PartName="/xl/worksheets/sheet7.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21.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47.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19.xml" ContentType="application/vnd.openxmlformats-officedocument.spreadsheetml.externalLink+xml"/>
  <Override PartName="/xl/comments1.xml" ContentType="application/vnd.openxmlformats-officedocument.spreadsheetml.comments+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15.xml" ContentType="application/vnd.openxmlformats-officedocument.spreadsheetml.externalLink+xml"/>
  <Override PartName="/xl/externalLinks/externalLink8.xml" ContentType="application/vnd.openxmlformats-officedocument.spreadsheetml.externalLink+xml"/>
  <Override PartName="/xl/comments7.xml" ContentType="application/vnd.openxmlformats-officedocument.spreadsheetml.comments+xml"/>
  <Override PartName="/xl/externalLinks/externalLink9.xml" ContentType="application/vnd.openxmlformats-officedocument.spreadsheetml.externalLink+xml"/>
  <Override PartName="/xl/comments8.xml" ContentType="application/vnd.openxmlformats-officedocument.spreadsheetml.comments+xml"/>
  <Override PartName="/xl/externalLinks/externalLink7.xml" ContentType="application/vnd.openxmlformats-officedocument.spreadsheetml.externalLink+xml"/>
  <Override PartName="/xl/comments9.xml" ContentType="application/vnd.openxmlformats-officedocument.spreadsheetml.comments+xml"/>
  <Override PartName="/xl/comments6.xml" ContentType="application/vnd.openxmlformats-officedocument.spreadsheetml.comments+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4.xml" ContentType="application/vnd.openxmlformats-officedocument.spreadsheetml.externalLink+xml"/>
  <Override PartName="/xl/comments2.xml" ContentType="application/vnd.openxmlformats-officedocument.spreadsheetml.comments+xml"/>
  <Override PartName="/xl/comments3.xml" ContentType="application/vnd.openxmlformats-officedocument.spreadsheetml.comments+xml"/>
  <Override PartName="/xl/comments5.xml" ContentType="application/vnd.openxmlformats-officedocument.spreadsheetml.comments+xml"/>
  <Override PartName="/xl/externalLinks/externalLink12.xml" ContentType="application/vnd.openxmlformats-officedocument.spreadsheetml.externalLink+xml"/>
  <Override PartName="/xl/comments4.xml" ContentType="application/vnd.openxmlformats-officedocument.spreadsheetml.comments+xml"/>
  <Override PartName="/xl/externalLinks/externalLink13.xml" ContentType="application/vnd.openxmlformats-officedocument.spreadsheetml.externalLink+xml"/>
  <Override PartName="/xl/externalLinks/externalLink20.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795" windowHeight="12075" tabRatio="868" firstSheet="9" activeTab="16"/>
  </bookViews>
  <sheets>
    <sheet name="References" sheetId="21" r:id="rId1"/>
    <sheet name="2025 IS" sheetId="2" r:id="rId2"/>
    <sheet name="Bingen Consolidated IS" sheetId="1" r:id="rId3"/>
    <sheet name="Ratios" sheetId="3" r:id="rId4"/>
    <sheet name="Restating Adj's" sheetId="10" r:id="rId5"/>
    <sheet name="Pro-forma Adj's" sheetId="11" r:id="rId6"/>
    <sheet name="LG" sheetId="5" r:id="rId7"/>
    <sheet name="LG G-48" sheetId="6" r:id="rId8"/>
    <sheet name="LG G-51" sheetId="7" r:id="rId9"/>
    <sheet name="G-48 Price Out" sheetId="15" r:id="rId10"/>
    <sheet name="G-51 Price Out" sheetId="16" r:id="rId11"/>
    <sheet name="Rate Schedule G-48" sheetId="8" r:id="rId12"/>
    <sheet name="Rate Schedule G-51" sheetId="9" r:id="rId13"/>
    <sheet name="Payroll Schedule" sheetId="22" r:id="rId14"/>
    <sheet name="Depr Summary" sheetId="14" r:id="rId15"/>
    <sheet name="DF Schedule" sheetId="23" r:id="rId16"/>
    <sheet name="Region OH Calc" sheetId="12" r:id="rId17"/>
    <sheet name="Corp OH" sheetId="13" r:id="rId18"/>
    <sheet name="Mgmt Alloc In" sheetId="24" r:id="rId19"/>
    <sheet name="WCI IS" sheetId="25" r:id="rId20"/>
    <sheet name="WCI BS" sheetId="26" r:id="rId21"/>
    <sheet name="12.31.17 BS" sheetId="19" r:id="rId22"/>
    <sheet name="12.31.16 BS" sheetId="20" r:id="rId23"/>
    <sheet name="IS End 1.31.18" sheetId="27"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s>
  <definedNames>
    <definedName name="_____________CYA1">[1]Hidden!$N$11</definedName>
    <definedName name="_____________CYA10">[1]Hidden!$E$11</definedName>
    <definedName name="_____________CYA11">[1]Hidden!$P$11</definedName>
    <definedName name="_____________CYA2">[1]Hidden!$M$11</definedName>
    <definedName name="_____________CYA3">[1]Hidden!$L$11</definedName>
    <definedName name="_____________CYA4">[1]Hidden!$K$11</definedName>
    <definedName name="_____________CYA5">[1]Hidden!$J$11</definedName>
    <definedName name="_____________CYA6">[1]Hidden!$I$11</definedName>
    <definedName name="_____________CYA7">[1]Hidden!$H$11</definedName>
    <definedName name="_____________CYA8">[1]Hidden!$G$11</definedName>
    <definedName name="_____________CYA9">[1]Hidden!$F$11</definedName>
    <definedName name="_____________LYA12">[1]Hidden!$O$11</definedName>
    <definedName name="____________CYA1">[1]Hidden!$N$11</definedName>
    <definedName name="____________CYA10">[1]Hidden!$E$11</definedName>
    <definedName name="____________CYA11">[1]Hidden!$P$11</definedName>
    <definedName name="____________CYA2">[1]Hidden!$M$11</definedName>
    <definedName name="____________CYA3">[1]Hidden!$L$11</definedName>
    <definedName name="____________CYA4">[1]Hidden!$K$11</definedName>
    <definedName name="____________CYA5">[1]Hidden!$J$11</definedName>
    <definedName name="____________CYA6">[1]Hidden!$I$11</definedName>
    <definedName name="____________CYA7">[1]Hidden!$H$11</definedName>
    <definedName name="____________CYA8">[1]Hidden!$G$11</definedName>
    <definedName name="____________CYA9">[1]Hidden!$F$11</definedName>
    <definedName name="____________LYA12">[1]Hidden!$O$11</definedName>
    <definedName name="___________CYA1">[1]Hidden!$N$11</definedName>
    <definedName name="___________CYA10">[1]Hidden!$E$11</definedName>
    <definedName name="___________CYA11">[1]Hidden!$P$11</definedName>
    <definedName name="___________CYA2">[1]Hidden!$M$11</definedName>
    <definedName name="___________CYA3">[1]Hidden!$L$11</definedName>
    <definedName name="___________CYA4">[1]Hidden!$K$11</definedName>
    <definedName name="___________CYA5">[1]Hidden!$J$11</definedName>
    <definedName name="___________CYA6">[1]Hidden!$I$11</definedName>
    <definedName name="___________CYA7">[1]Hidden!$H$11</definedName>
    <definedName name="___________CYA8">[1]Hidden!$G$11</definedName>
    <definedName name="___________CYA9">[1]Hidden!$F$11</definedName>
    <definedName name="___________LYA12">[1]Hidden!$O$11</definedName>
    <definedName name="__________CYA1">[1]Hidden!$N$11</definedName>
    <definedName name="__________CYA10">[1]Hidden!$E$11</definedName>
    <definedName name="__________CYA11">[1]Hidden!$P$11</definedName>
    <definedName name="__________CYA2">[1]Hidden!$M$11</definedName>
    <definedName name="__________CYA3">[1]Hidden!$L$11</definedName>
    <definedName name="__________CYA4">[1]Hidden!$K$11</definedName>
    <definedName name="__________CYA5">[1]Hidden!$J$11</definedName>
    <definedName name="__________CYA6">[1]Hidden!$I$11</definedName>
    <definedName name="__________CYA7">[1]Hidden!$H$11</definedName>
    <definedName name="__________CYA8">[1]Hidden!$G$11</definedName>
    <definedName name="__________CYA9">[1]Hidden!$F$11</definedName>
    <definedName name="__________LYA12">[1]Hidden!$O$11</definedName>
    <definedName name="_________CYA1">[1]Hidden!$N$11</definedName>
    <definedName name="_________CYA10">[1]Hidden!$E$11</definedName>
    <definedName name="_________CYA11">[1]Hidden!$P$11</definedName>
    <definedName name="_________CYA2">[1]Hidden!$M$11</definedName>
    <definedName name="_________CYA3">[1]Hidden!$L$11</definedName>
    <definedName name="_________CYA4">[1]Hidden!$K$11</definedName>
    <definedName name="_________CYA5">[1]Hidden!$J$11</definedName>
    <definedName name="_________CYA6">[1]Hidden!$I$11</definedName>
    <definedName name="_________CYA7">[1]Hidden!$H$11</definedName>
    <definedName name="_________CYA8">[1]Hidden!$G$11</definedName>
    <definedName name="_________CYA9">[1]Hidden!$F$11</definedName>
    <definedName name="_________LYA12">[1]Hidden!$O$11</definedName>
    <definedName name="________CYA1">[1]Hidden!$N$11</definedName>
    <definedName name="________CYA10">[1]Hidden!$E$11</definedName>
    <definedName name="________CYA11">[1]Hidden!$P$11</definedName>
    <definedName name="________CYA2">[1]Hidden!$M$11</definedName>
    <definedName name="________CYA3">[1]Hidden!$L$11</definedName>
    <definedName name="________CYA4">[1]Hidden!$K$11</definedName>
    <definedName name="________CYA5">[1]Hidden!$J$11</definedName>
    <definedName name="________CYA6">[1]Hidden!$I$11</definedName>
    <definedName name="________CYA7">[1]Hidden!$H$11</definedName>
    <definedName name="________CYA8">[1]Hidden!$G$11</definedName>
    <definedName name="________CYA9">[1]Hidden!$F$11</definedName>
    <definedName name="________LYA12">[1]Hidden!$O$11</definedName>
    <definedName name="_______CYA1">[1]Hidden!$N$11</definedName>
    <definedName name="_______CYA10">[1]Hidden!$E$11</definedName>
    <definedName name="_______CYA11">[1]Hidden!$P$11</definedName>
    <definedName name="_______CYA2">[1]Hidden!$M$11</definedName>
    <definedName name="_______CYA3">[1]Hidden!$L$11</definedName>
    <definedName name="_______CYA4">[1]Hidden!$K$11</definedName>
    <definedName name="_______CYA5">[1]Hidden!$J$11</definedName>
    <definedName name="_______CYA6">[1]Hidden!$I$11</definedName>
    <definedName name="_______CYA7">[1]Hidden!$H$11</definedName>
    <definedName name="_______CYA8">[1]Hidden!$G$11</definedName>
    <definedName name="_______CYA9">[1]Hidden!$F$11</definedName>
    <definedName name="_______LYA12">[1]Hidden!$O$11</definedName>
    <definedName name="______CYA1">[1]Hidden!$N$11</definedName>
    <definedName name="______CYA10">[1]Hidden!$E$11</definedName>
    <definedName name="______CYA11">[1]Hidden!$P$11</definedName>
    <definedName name="______CYA2">[1]Hidden!$M$11</definedName>
    <definedName name="______CYA3">[1]Hidden!$L$11</definedName>
    <definedName name="______CYA4">[1]Hidden!$K$11</definedName>
    <definedName name="______CYA5">[1]Hidden!$J$11</definedName>
    <definedName name="______CYA6">[1]Hidden!$I$11</definedName>
    <definedName name="______CYA7">[1]Hidden!$H$11</definedName>
    <definedName name="______CYA8">[1]Hidden!$G$11</definedName>
    <definedName name="______CYA9">[1]Hidden!$F$11</definedName>
    <definedName name="______LYA12">[1]Hidden!$O$11</definedName>
    <definedName name="_____CYA1">[1]Hidden!$N$11</definedName>
    <definedName name="_____CYA10">[1]Hidden!$E$11</definedName>
    <definedName name="_____CYA11">[1]Hidden!$P$11</definedName>
    <definedName name="_____CYA2">[1]Hidden!$M$11</definedName>
    <definedName name="_____CYA3">[1]Hidden!$L$11</definedName>
    <definedName name="_____CYA4">[1]Hidden!$K$11</definedName>
    <definedName name="_____CYA5">[1]Hidden!$J$11</definedName>
    <definedName name="_____CYA6">[1]Hidden!$I$11</definedName>
    <definedName name="_____CYA7">[1]Hidden!$H$11</definedName>
    <definedName name="_____CYA8">[1]Hidden!$G$11</definedName>
    <definedName name="_____CYA9">[1]Hidden!$F$11</definedName>
    <definedName name="_____LYA12">[1]Hidden!$O$11</definedName>
    <definedName name="____CYA1">[1]Hidden!$N$11</definedName>
    <definedName name="____CYA10">[1]Hidden!$E$11</definedName>
    <definedName name="____CYA11">[1]Hidden!$P$11</definedName>
    <definedName name="____CYA2">[1]Hidden!$M$11</definedName>
    <definedName name="____CYA3">[1]Hidden!$L$11</definedName>
    <definedName name="____CYA4">[1]Hidden!$K$11</definedName>
    <definedName name="____CYA5">[1]Hidden!$J$11</definedName>
    <definedName name="____CYA6">[1]Hidden!$I$11</definedName>
    <definedName name="____CYA7">[1]Hidden!$H$11</definedName>
    <definedName name="____CYA8">[1]Hidden!$G$11</definedName>
    <definedName name="____CYA9">[1]Hidden!$F$11</definedName>
    <definedName name="____LYA12">[1]Hidden!$O$11</definedName>
    <definedName name="___CYA1">[1]Hidden!$N$11</definedName>
    <definedName name="___CYA10">[1]Hidden!$E$11</definedName>
    <definedName name="___CYA11">[1]Hidden!$P$11</definedName>
    <definedName name="___CYA2">[1]Hidden!$M$11</definedName>
    <definedName name="___CYA3">[1]Hidden!$L$11</definedName>
    <definedName name="___CYA4">[1]Hidden!$K$11</definedName>
    <definedName name="___CYA5">[1]Hidden!$J$11</definedName>
    <definedName name="___CYA6">[1]Hidden!$I$11</definedName>
    <definedName name="___CYA7">[1]Hidden!$H$11</definedName>
    <definedName name="___CYA8">[1]Hidden!$G$11</definedName>
    <definedName name="___CYA9">[1]Hidden!$F$11</definedName>
    <definedName name="___LYA12">[1]Hidden!$O$11</definedName>
    <definedName name="__CYA1">[1]Hidden!$N$11</definedName>
    <definedName name="__CYA10">[1]Hidden!$E$11</definedName>
    <definedName name="__CYA11">[1]Hidden!$P$11</definedName>
    <definedName name="__CYA2">[1]Hidden!$M$11</definedName>
    <definedName name="__CYA3">[1]Hidden!$L$11</definedName>
    <definedName name="__CYA4">[1]Hidden!$K$11</definedName>
    <definedName name="__CYA5">[1]Hidden!$J$11</definedName>
    <definedName name="__CYA6">[1]Hidden!$I$11</definedName>
    <definedName name="__CYA7">[1]Hidden!$H$11</definedName>
    <definedName name="__CYA8">[1]Hidden!$G$11</definedName>
    <definedName name="__CYA9">[1]Hidden!$F$11</definedName>
    <definedName name="__LYA12">[1]Hidden!$O$11</definedName>
    <definedName name="_123Graph_g" hidden="1">'[2]#REF'!$F$9:$F$83</definedName>
    <definedName name="_132" hidden="1">[3]XXXXXX!$B$10:$B$10</definedName>
    <definedName name="_132Graph_h" localSheetId="17" hidden="1">#REF!</definedName>
    <definedName name="_132Graph_h" localSheetId="15" hidden="1">#REF!</definedName>
    <definedName name="_132Graph_h" localSheetId="18" hidden="1">#REF!</definedName>
    <definedName name="_132Graph_h" localSheetId="11" hidden="1">#REF!</definedName>
    <definedName name="_132Graph_h" localSheetId="12" hidden="1">#REF!</definedName>
    <definedName name="_132Graph_h" localSheetId="0" hidden="1">#REF!</definedName>
    <definedName name="_132Graph_h" hidden="1">#REF!</definedName>
    <definedName name="_ACT1" localSheetId="2">[4]Hidden!#REF!</definedName>
    <definedName name="_ACT1" localSheetId="17">[4]Hidden!#REF!</definedName>
    <definedName name="_ACT1" localSheetId="14">[5]Hidden!#REF!</definedName>
    <definedName name="_ACT1" localSheetId="15">[6]Hidden!#REF!</definedName>
    <definedName name="_ACT1" localSheetId="10">[7]Hidden!#REF!</definedName>
    <definedName name="_ACT1" localSheetId="6">[6]Hidden!#REF!</definedName>
    <definedName name="_ACT1" localSheetId="18">[6]Hidden!#REF!</definedName>
    <definedName name="_ACT1" localSheetId="11">[5]Hidden!#REF!</definedName>
    <definedName name="_ACT1" localSheetId="12">[5]Hidden!#REF!</definedName>
    <definedName name="_ACT1" localSheetId="0">[7]Hidden!#REF!</definedName>
    <definedName name="_ACT1">[4]Hidden!#REF!</definedName>
    <definedName name="_ACT2" localSheetId="2">[4]Hidden!#REF!</definedName>
    <definedName name="_ACT2" localSheetId="14">[5]Hidden!#REF!</definedName>
    <definedName name="_ACT2" localSheetId="15">[6]Hidden!#REF!</definedName>
    <definedName name="_ACT2" localSheetId="10">[7]Hidden!#REF!</definedName>
    <definedName name="_ACT2" localSheetId="6">[6]Hidden!#REF!</definedName>
    <definedName name="_ACT2" localSheetId="18">[6]Hidden!#REF!</definedName>
    <definedName name="_ACT2" localSheetId="11">[5]Hidden!#REF!</definedName>
    <definedName name="_ACT2" localSheetId="12">[5]Hidden!#REF!</definedName>
    <definedName name="_ACT2" localSheetId="0">[7]Hidden!#REF!</definedName>
    <definedName name="_ACT2">[4]Hidden!#REF!</definedName>
    <definedName name="_ACT3" localSheetId="2">[4]Hidden!#REF!</definedName>
    <definedName name="_ACT3" localSheetId="14">[5]Hidden!#REF!</definedName>
    <definedName name="_ACT3" localSheetId="15">[6]Hidden!#REF!</definedName>
    <definedName name="_ACT3" localSheetId="10">[7]Hidden!#REF!</definedName>
    <definedName name="_ACT3" localSheetId="6">[6]Hidden!#REF!</definedName>
    <definedName name="_ACT3" localSheetId="18">[6]Hidden!#REF!</definedName>
    <definedName name="_ACT3" localSheetId="11">[5]Hidden!#REF!</definedName>
    <definedName name="_ACT3" localSheetId="12">[5]Hidden!#REF!</definedName>
    <definedName name="_ACT3" localSheetId="0">[7]Hidden!#REF!</definedName>
    <definedName name="_ACT3">[4]Hidden!#REF!</definedName>
    <definedName name="_COS1" localSheetId="17">#REF!</definedName>
    <definedName name="_COS1" localSheetId="18">#REF!</definedName>
    <definedName name="_COS1" localSheetId="0">#REF!</definedName>
    <definedName name="_COS1">#REF!</definedName>
    <definedName name="_COS2" localSheetId="17">#REF!</definedName>
    <definedName name="_COS2" localSheetId="18">#REF!</definedName>
    <definedName name="_COS2">#REF!</definedName>
    <definedName name="_CYA1">[1]Hidden!$N$11</definedName>
    <definedName name="_CYA10">[1]Hidden!$E$11</definedName>
    <definedName name="_CYA11">[1]Hidden!$P$11</definedName>
    <definedName name="_CYA2">[1]Hidden!$M$11</definedName>
    <definedName name="_CYA3">[1]Hidden!$L$11</definedName>
    <definedName name="_CYA4">[1]Hidden!$K$11</definedName>
    <definedName name="_CYA5">[1]Hidden!$J$11</definedName>
    <definedName name="_CYA6">[1]Hidden!$I$11</definedName>
    <definedName name="_CYA7">[1]Hidden!$H$11</definedName>
    <definedName name="_CYA8">[1]Hidden!$G$11</definedName>
    <definedName name="_CYA9">[1]Hidden!$F$11</definedName>
    <definedName name="_Fill" localSheetId="17" hidden="1">#REF!</definedName>
    <definedName name="_Fill" localSheetId="15" hidden="1">#REF!</definedName>
    <definedName name="_Fill" localSheetId="18" hidden="1">#REF!</definedName>
    <definedName name="_Fill" localSheetId="11" hidden="1">#REF!</definedName>
    <definedName name="_Fill" localSheetId="12" hidden="1">#REF!</definedName>
    <definedName name="_Fill" localSheetId="0" hidden="1">#REF!</definedName>
    <definedName name="_Fill" hidden="1">#REF!</definedName>
    <definedName name="_xlnm._FilterDatabase" localSheetId="13" hidden="1">'Payroll Schedule'!$A$8:$AD$32</definedName>
    <definedName name="_Key1" localSheetId="17" hidden="1">#REF!</definedName>
    <definedName name="_Key1" localSheetId="15" hidden="1">#REF!</definedName>
    <definedName name="_Key1" localSheetId="18" hidden="1">#REF!</definedName>
    <definedName name="_Key1" localSheetId="11" hidden="1">#REF!</definedName>
    <definedName name="_Key1" localSheetId="12" hidden="1">#REF!</definedName>
    <definedName name="_Key1" localSheetId="0" hidden="1">#REF!</definedName>
    <definedName name="_Key1" hidden="1">#REF!</definedName>
    <definedName name="_Key2" hidden="1">'[2]#REF'!$D$12</definedName>
    <definedName name="_key5" hidden="1">[3]XXXXXX!$H$10</definedName>
    <definedName name="_LYA12">[1]Hidden!$O$11</definedName>
    <definedName name="_max" localSheetId="17" hidden="1">#REF!</definedName>
    <definedName name="_max" localSheetId="15" hidden="1">#REF!</definedName>
    <definedName name="_max" localSheetId="18" hidden="1">#REF!</definedName>
    <definedName name="_max" localSheetId="11" hidden="1">#REF!</definedName>
    <definedName name="_max" localSheetId="12" hidden="1">#REF!</definedName>
    <definedName name="_max" localSheetId="0" hidden="1">#REF!</definedName>
    <definedName name="_max" hidden="1">#REF!</definedName>
    <definedName name="_Mon" localSheetId="17" hidden="1">#REF!</definedName>
    <definedName name="_Mon" localSheetId="15" hidden="1">#REF!</definedName>
    <definedName name="_Mon" localSheetId="18" hidden="1">#REF!</definedName>
    <definedName name="_Mon" localSheetId="11" hidden="1">#REF!</definedName>
    <definedName name="_Mon" localSheetId="12" hidden="1">#REF!</definedName>
    <definedName name="_Mon" localSheetId="0" hidden="1">#REF!</definedName>
    <definedName name="_Mon" hidden="1">#REF!</definedName>
    <definedName name="_Order1" hidden="1">255</definedName>
    <definedName name="_Order2" hidden="1">255</definedName>
    <definedName name="_Order3" hidden="1">0</definedName>
    <definedName name="_Sort" localSheetId="17" hidden="1">#REF!</definedName>
    <definedName name="_Sort" localSheetId="15" hidden="1">#REF!</definedName>
    <definedName name="_Sort" localSheetId="18" hidden="1">#REF!</definedName>
    <definedName name="_Sort" localSheetId="11" hidden="1">#REF!</definedName>
    <definedName name="_Sort" localSheetId="12" hidden="1">#REF!</definedName>
    <definedName name="_Sort" localSheetId="0" hidden="1">#REF!</definedName>
    <definedName name="_Sort" hidden="1">#REF!</definedName>
    <definedName name="_Sort1" hidden="1">'[2]#REF'!$A$10:$Z$281</definedName>
    <definedName name="_sort3" hidden="1">[3]XXXXXX!$G$10:$J$11</definedName>
    <definedName name="Accounts" localSheetId="15">#REF!</definedName>
    <definedName name="Accounts" localSheetId="13">#REF!</definedName>
    <definedName name="Accounts" localSheetId="12">#REF!</definedName>
    <definedName name="ACCT" localSheetId="2">[4]Hidden!#REF!</definedName>
    <definedName name="ACCT" localSheetId="14">[5]Hidden!#REF!</definedName>
    <definedName name="ACCT" localSheetId="15">[6]Hidden!#REF!</definedName>
    <definedName name="ACCT" localSheetId="10">[7]Hidden!#REF!</definedName>
    <definedName name="ACCT" localSheetId="6">[6]Hidden!#REF!</definedName>
    <definedName name="ACCT" localSheetId="18">[6]Hidden!#REF!</definedName>
    <definedName name="ACCT" localSheetId="11">[5]Hidden!#REF!</definedName>
    <definedName name="ACCT" localSheetId="12">[5]Hidden!#REF!</definedName>
    <definedName name="ACCT" localSheetId="0">[7]Hidden!#REF!</definedName>
    <definedName name="ACCT" localSheetId="4">[4]Hidden!#REF!</definedName>
    <definedName name="ACCT">[1]Hidden!$D$11</definedName>
    <definedName name="ACCT.ConsolSum">[1]Hidden!$Q$11</definedName>
    <definedName name="ACT_CUR" localSheetId="2">[4]Hidden!#REF!</definedName>
    <definedName name="ACT_CUR" localSheetId="17">[4]Hidden!#REF!</definedName>
    <definedName name="ACT_CUR" localSheetId="14">[5]Hidden!#REF!</definedName>
    <definedName name="ACT_CUR" localSheetId="15">[6]Hidden!#REF!</definedName>
    <definedName name="ACT_CUR" localSheetId="10">[7]Hidden!#REF!</definedName>
    <definedName name="ACT_CUR" localSheetId="6">[6]Hidden!#REF!</definedName>
    <definedName name="ACT_CUR" localSheetId="18">[6]Hidden!#REF!</definedName>
    <definedName name="ACT_CUR" localSheetId="11">[5]Hidden!#REF!</definedName>
    <definedName name="ACT_CUR" localSheetId="12">[5]Hidden!#REF!</definedName>
    <definedName name="ACT_CUR" localSheetId="0">[7]Hidden!#REF!</definedName>
    <definedName name="ACT_CUR">[4]Hidden!#REF!</definedName>
    <definedName name="ACT_YTD" localSheetId="17">[4]Hidden!#REF!</definedName>
    <definedName name="ACT_YTD" localSheetId="14">[5]Hidden!#REF!</definedName>
    <definedName name="ACT_YTD" localSheetId="15">[6]Hidden!#REF!</definedName>
    <definedName name="ACT_YTD" localSheetId="10">[7]Hidden!#REF!</definedName>
    <definedName name="ACT_YTD" localSheetId="18">[6]Hidden!#REF!</definedName>
    <definedName name="ACT_YTD" localSheetId="11">[5]Hidden!#REF!</definedName>
    <definedName name="ACT_YTD" localSheetId="12">[5]Hidden!#REF!</definedName>
    <definedName name="ACT_YTD" localSheetId="0">[7]Hidden!#REF!</definedName>
    <definedName name="ACT_YTD">[4]Hidden!#REF!</definedName>
    <definedName name="AmountCount" localSheetId="17">#REF!</definedName>
    <definedName name="AmountCount" localSheetId="15">#REF!</definedName>
    <definedName name="AmountCount" localSheetId="10">#REF!</definedName>
    <definedName name="AmountCount" localSheetId="6">#REF!</definedName>
    <definedName name="AmountCount" localSheetId="18">#REF!</definedName>
    <definedName name="AmountCount" localSheetId="11">#REF!</definedName>
    <definedName name="AmountCount" localSheetId="12">#REF!</definedName>
    <definedName name="AmountCount" localSheetId="0">#REF!</definedName>
    <definedName name="AmountCount" localSheetId="4">#REF!</definedName>
    <definedName name="AmountCount">#REF!</definedName>
    <definedName name="AmountCount1" localSheetId="17">#REF!</definedName>
    <definedName name="AmountCount1" localSheetId="15">#REF!</definedName>
    <definedName name="AmountCount1" localSheetId="18">#REF!</definedName>
    <definedName name="AmountCount1" localSheetId="11">#REF!</definedName>
    <definedName name="AmountCount1" localSheetId="12">#REF!</definedName>
    <definedName name="AmountCount1" localSheetId="0">#REF!</definedName>
    <definedName name="AmountCount1">#REF!</definedName>
    <definedName name="AmountFrom" localSheetId="15">#REF!</definedName>
    <definedName name="AmountFrom" localSheetId="13">#REF!</definedName>
    <definedName name="AmountFrom" localSheetId="12">#REF!</definedName>
    <definedName name="AmountTo" localSheetId="15">#REF!</definedName>
    <definedName name="AmountTo" localSheetId="13">#REF!</definedName>
    <definedName name="AmountTo" localSheetId="12">#REF!</definedName>
    <definedName name="AmountTotal" localSheetId="17">#REF!</definedName>
    <definedName name="AmountTotal" localSheetId="15">#REF!</definedName>
    <definedName name="AmountTotal" localSheetId="10">#REF!</definedName>
    <definedName name="AmountTotal" localSheetId="6">#REF!</definedName>
    <definedName name="AmountTotal" localSheetId="18">#REF!</definedName>
    <definedName name="AmountTotal" localSheetId="11">#REF!</definedName>
    <definedName name="AmountTotal" localSheetId="12">#REF!</definedName>
    <definedName name="AmountTotal" localSheetId="0">#REF!</definedName>
    <definedName name="AmountTotal" localSheetId="4">#REF!</definedName>
    <definedName name="AmountTotal">#REF!</definedName>
    <definedName name="AmountTotal1" localSheetId="15">#REF!</definedName>
    <definedName name="AmountTotal1" localSheetId="18">#REF!</definedName>
    <definedName name="AmountTotal1" localSheetId="12">#REF!</definedName>
    <definedName name="AmountTotal1">#REF!</definedName>
    <definedName name="BookRev" localSheetId="15">'[8]Pacific Regulated - Price Out'!$F$50</definedName>
    <definedName name="BookRev" localSheetId="18">'[8]Pacific Regulated - Price Out'!$F$50</definedName>
    <definedName name="BookRev" localSheetId="11">'[9]Pacific Regulated - Price Out'!$F$50</definedName>
    <definedName name="BookRev" localSheetId="12">'[9]Pacific Regulated - Price Out'!$F$50</definedName>
    <definedName name="BookRev" localSheetId="0">'[9]Pacific Regulated - Price Out'!$F$50</definedName>
    <definedName name="BookRev">'[10]Pacific Regulated - Price Out'!$F$50</definedName>
    <definedName name="BookRev_com" localSheetId="15">'[8]Pacific Regulated - Price Out'!$F$214</definedName>
    <definedName name="BookRev_com" localSheetId="18">'[8]Pacific Regulated - Price Out'!$F$214</definedName>
    <definedName name="BookRev_com" localSheetId="11">'[9]Pacific Regulated - Price Out'!$F$214</definedName>
    <definedName name="BookRev_com" localSheetId="12">'[9]Pacific Regulated - Price Out'!$F$214</definedName>
    <definedName name="BookRev_com" localSheetId="0">'[9]Pacific Regulated - Price Out'!$F$214</definedName>
    <definedName name="BookRev_com">'[10]Pacific Regulated - Price Out'!$F$214</definedName>
    <definedName name="BookRev_mfr" localSheetId="15">'[8]Pacific Regulated - Price Out'!$F$222</definedName>
    <definedName name="BookRev_mfr" localSheetId="18">'[8]Pacific Regulated - Price Out'!$F$222</definedName>
    <definedName name="BookRev_mfr" localSheetId="11">'[9]Pacific Regulated - Price Out'!$F$222</definedName>
    <definedName name="BookRev_mfr" localSheetId="12">'[9]Pacific Regulated - Price Out'!$F$222</definedName>
    <definedName name="BookRev_mfr" localSheetId="0">'[9]Pacific Regulated - Price Out'!$F$222</definedName>
    <definedName name="BookRev_mfr">'[10]Pacific Regulated - Price Out'!$F$222</definedName>
    <definedName name="BookRev_ro" localSheetId="15">'[8]Pacific Regulated - Price Out'!$F$282</definedName>
    <definedName name="BookRev_ro" localSheetId="18">'[8]Pacific Regulated - Price Out'!$F$282</definedName>
    <definedName name="BookRev_ro" localSheetId="11">'[9]Pacific Regulated - Price Out'!$F$282</definedName>
    <definedName name="BookRev_ro" localSheetId="12">'[9]Pacific Regulated - Price Out'!$F$282</definedName>
    <definedName name="BookRev_ro" localSheetId="0">'[9]Pacific Regulated - Price Out'!$F$282</definedName>
    <definedName name="BookRev_ro">'[10]Pacific Regulated - Price Out'!$F$282</definedName>
    <definedName name="BookRev_rr" localSheetId="15">'[8]Pacific Regulated - Price Out'!$F$59</definedName>
    <definedName name="BookRev_rr" localSheetId="18">'[8]Pacific Regulated - Price Out'!$F$59</definedName>
    <definedName name="BookRev_rr" localSheetId="11">'[9]Pacific Regulated - Price Out'!$F$59</definedName>
    <definedName name="BookRev_rr" localSheetId="12">'[9]Pacific Regulated - Price Out'!$F$59</definedName>
    <definedName name="BookRev_rr" localSheetId="0">'[9]Pacific Regulated - Price Out'!$F$59</definedName>
    <definedName name="BookRev_rr">'[10]Pacific Regulated - Price Out'!$F$59</definedName>
    <definedName name="BookRev_yw" localSheetId="15">'[8]Pacific Regulated - Price Out'!$F$70</definedName>
    <definedName name="BookRev_yw" localSheetId="18">'[8]Pacific Regulated - Price Out'!$F$70</definedName>
    <definedName name="BookRev_yw" localSheetId="11">'[9]Pacific Regulated - Price Out'!$F$70</definedName>
    <definedName name="BookRev_yw" localSheetId="12">'[9]Pacific Regulated - Price Out'!$F$70</definedName>
    <definedName name="BookRev_yw" localSheetId="0">'[9]Pacific Regulated - Price Out'!$F$70</definedName>
    <definedName name="BookRev_yw">'[10]Pacific Regulated - Price Out'!$F$70</definedName>
    <definedName name="BREMAIR_COST_of_SERVICE_STUDY" localSheetId="2">#REF!</definedName>
    <definedName name="BREMAIR_COST_of_SERVICE_STUDY" localSheetId="17">#REF!</definedName>
    <definedName name="BREMAIR_COST_of_SERVICE_STUDY" localSheetId="14">#REF!</definedName>
    <definedName name="BREMAIR_COST_of_SERVICE_STUDY" localSheetId="15">#REF!</definedName>
    <definedName name="BREMAIR_COST_of_SERVICE_STUDY" localSheetId="10">#REF!</definedName>
    <definedName name="BREMAIR_COST_of_SERVICE_STUDY" localSheetId="6">#REF!</definedName>
    <definedName name="BREMAIR_COST_of_SERVICE_STUDY" localSheetId="18">#REF!</definedName>
    <definedName name="BREMAIR_COST_of_SERVICE_STUDY" localSheetId="11">#REF!</definedName>
    <definedName name="BREMAIR_COST_of_SERVICE_STUDY" localSheetId="12">#REF!</definedName>
    <definedName name="BREMAIR_COST_of_SERVICE_STUDY" localSheetId="0">#REF!</definedName>
    <definedName name="BREMAIR_COST_of_SERVICE_STUDY" localSheetId="4">#REF!</definedName>
    <definedName name="BREMAIR_COST_of_SERVICE_STUDY">#REF!</definedName>
    <definedName name="BUD_CUR" localSheetId="2">[4]Hidden!#REF!</definedName>
    <definedName name="BUD_CUR" localSheetId="17">[4]Hidden!#REF!</definedName>
    <definedName name="BUD_CUR" localSheetId="14">[5]Hidden!#REF!</definedName>
    <definedName name="BUD_CUR" localSheetId="15">[6]Hidden!#REF!</definedName>
    <definedName name="BUD_CUR" localSheetId="10">[7]Hidden!#REF!</definedName>
    <definedName name="BUD_CUR" localSheetId="6">[6]Hidden!#REF!</definedName>
    <definedName name="BUD_CUR" localSheetId="18">[6]Hidden!#REF!</definedName>
    <definedName name="BUD_CUR" localSheetId="11">[5]Hidden!#REF!</definedName>
    <definedName name="BUD_CUR" localSheetId="12">[5]Hidden!#REF!</definedName>
    <definedName name="BUD_CUR" localSheetId="0">[7]Hidden!#REF!</definedName>
    <definedName name="BUD_CUR">[4]Hidden!#REF!</definedName>
    <definedName name="BUD_YTD" localSheetId="2">[4]Hidden!#REF!</definedName>
    <definedName name="BUD_YTD" localSheetId="17">[4]Hidden!#REF!</definedName>
    <definedName name="BUD_YTD" localSheetId="14">[5]Hidden!#REF!</definedName>
    <definedName name="BUD_YTD" localSheetId="15">[6]Hidden!#REF!</definedName>
    <definedName name="BUD_YTD" localSheetId="10">[7]Hidden!#REF!</definedName>
    <definedName name="BUD_YTD" localSheetId="6">[6]Hidden!#REF!</definedName>
    <definedName name="BUD_YTD" localSheetId="18">[6]Hidden!#REF!</definedName>
    <definedName name="BUD_YTD" localSheetId="11">[5]Hidden!#REF!</definedName>
    <definedName name="BUD_YTD" localSheetId="12">[5]Hidden!#REF!</definedName>
    <definedName name="BUD_YTD" localSheetId="0">[7]Hidden!#REF!</definedName>
    <definedName name="BUD_YTD">[4]Hidden!#REF!</definedName>
    <definedName name="CalRecyTons" localSheetId="15">'[11]Recycl Tons, Commodity Value'!$L$23</definedName>
    <definedName name="CalRecyTons" localSheetId="18">'[11]Recycl Tons, Commodity Value'!$L$23</definedName>
    <definedName name="CalRecyTons" localSheetId="11">'[12]Recycl Tons, Commodity Value'!$L$23</definedName>
    <definedName name="CalRecyTons" localSheetId="12">'[12]Recycl Tons, Commodity Value'!$L$23</definedName>
    <definedName name="CalRecyTons" localSheetId="0">'[12]Recycl Tons, Commodity Value'!$L$23</definedName>
    <definedName name="CalRecyTons">'[13]Recycl Tons, Commodity Value'!$L$23</definedName>
    <definedName name="CheckTotals" localSheetId="2">#REF!</definedName>
    <definedName name="CheckTotals" localSheetId="17">#REF!</definedName>
    <definedName name="CheckTotals" localSheetId="14">#REF!</definedName>
    <definedName name="CheckTotals" localSheetId="15">#REF!</definedName>
    <definedName name="CheckTotals" localSheetId="10">#REF!</definedName>
    <definedName name="CheckTotals" localSheetId="6">#REF!</definedName>
    <definedName name="CheckTotals" localSheetId="18">#REF!</definedName>
    <definedName name="CheckTotals" localSheetId="11">#REF!</definedName>
    <definedName name="CheckTotals" localSheetId="12">#REF!</definedName>
    <definedName name="CheckTotals" localSheetId="0">#REF!</definedName>
    <definedName name="CheckTotals" localSheetId="4">#REF!</definedName>
    <definedName name="CheckTotals">#REF!</definedName>
    <definedName name="colgroup">[1]Orientation!$G$6</definedName>
    <definedName name="colsegment">[1]Orientation!$F$6</definedName>
    <definedName name="CommlStaffPriceOut" localSheetId="17">'[14]Price Out-Reg EASTSIDE-Resi'!#REF!</definedName>
    <definedName name="CommlStaffPriceOut" localSheetId="18">'[14]Price Out-Reg EASTSIDE-Resi'!#REF!</definedName>
    <definedName name="CommlStaffPriceOut" localSheetId="0">'[14]Price Out-Reg EASTSIDE-Resi'!#REF!</definedName>
    <definedName name="CommlStaffPriceOut">'[14]Price Out-Reg EASTSIDE-Resi'!#REF!</definedName>
    <definedName name="CRCTable" localSheetId="2">#REF!</definedName>
    <definedName name="CRCTable" localSheetId="17">#REF!</definedName>
    <definedName name="CRCTable" localSheetId="14">#REF!</definedName>
    <definedName name="CRCTable" localSheetId="15">#REF!</definedName>
    <definedName name="CRCTable" localSheetId="10">#REF!</definedName>
    <definedName name="CRCTable" localSheetId="6">#REF!</definedName>
    <definedName name="CRCTable" localSheetId="18">#REF!</definedName>
    <definedName name="CRCTable" localSheetId="13">#REF!</definedName>
    <definedName name="CRCTable" localSheetId="11">#REF!</definedName>
    <definedName name="CRCTable" localSheetId="12">#REF!</definedName>
    <definedName name="CRCTable" localSheetId="0">#REF!</definedName>
    <definedName name="CRCTable" localSheetId="4">#REF!</definedName>
    <definedName name="CRCTable">#REF!</definedName>
    <definedName name="CRCTableOLD" localSheetId="2">#REF!</definedName>
    <definedName name="CRCTableOLD" localSheetId="14">#REF!</definedName>
    <definedName name="CRCTableOLD" localSheetId="15">#REF!</definedName>
    <definedName name="CRCTableOLD" localSheetId="10">#REF!</definedName>
    <definedName name="CRCTableOLD" localSheetId="6">#REF!</definedName>
    <definedName name="CRCTableOLD" localSheetId="18">#REF!</definedName>
    <definedName name="CRCTableOLD" localSheetId="13">#REF!</definedName>
    <definedName name="CRCTableOLD" localSheetId="11">#REF!</definedName>
    <definedName name="CRCTableOLD" localSheetId="12">#REF!</definedName>
    <definedName name="CRCTableOLD" localSheetId="0">#REF!</definedName>
    <definedName name="CRCTableOLD" localSheetId="4">#REF!</definedName>
    <definedName name="CRCTableOLD">#REF!</definedName>
    <definedName name="CriteriaType">[15]ControlPanel!$Z$2:$Z$5</definedName>
    <definedName name="CurrentMonth" localSheetId="15">'[16]38000 Other Rev'!$H$8</definedName>
    <definedName name="CurrentMonth" localSheetId="18">'[17]38000 Other Rev'!$H$8</definedName>
    <definedName name="CurrentMonth" localSheetId="13">#REF!</definedName>
    <definedName name="CurrentMonth" localSheetId="11">'[18]38000 Other Rev'!$H$8</definedName>
    <definedName name="CurrentMonth" localSheetId="12">'[18]38000 Other Rev'!$H$8</definedName>
    <definedName name="CurrentMonth">'[19]38000 Other Rev'!$H$8</definedName>
    <definedName name="Cutomers" localSheetId="17">#REF!</definedName>
    <definedName name="Cutomers" localSheetId="15">#REF!</definedName>
    <definedName name="Cutomers" localSheetId="10">#REF!</definedName>
    <definedName name="Cutomers" localSheetId="6">#REF!</definedName>
    <definedName name="Cutomers" localSheetId="18">#REF!</definedName>
    <definedName name="Cutomers" localSheetId="11">#REF!</definedName>
    <definedName name="Cutomers" localSheetId="12">#REF!</definedName>
    <definedName name="Cutomers" localSheetId="0">#REF!</definedName>
    <definedName name="Cutomers" localSheetId="4">#REF!</definedName>
    <definedName name="Cutomers">#REF!</definedName>
    <definedName name="_xlnm.Database" localSheetId="2">#REF!</definedName>
    <definedName name="_xlnm.Database" localSheetId="17">#REF!</definedName>
    <definedName name="_xlnm.Database" localSheetId="14">#REF!</definedName>
    <definedName name="_xlnm.Database" localSheetId="15">#REF!</definedName>
    <definedName name="_xlnm.Database" localSheetId="10">#REF!</definedName>
    <definedName name="_xlnm.Database" localSheetId="6">#REF!</definedName>
    <definedName name="_xlnm.Database" localSheetId="18">#REF!</definedName>
    <definedName name="_xlnm.Database" localSheetId="13">#REF!</definedName>
    <definedName name="_xlnm.Database" localSheetId="11">#REF!</definedName>
    <definedName name="_xlnm.Database" localSheetId="12">#REF!</definedName>
    <definedName name="_xlnm.Database" localSheetId="0">#REF!</definedName>
    <definedName name="_xlnm.Database" localSheetId="4">#REF!</definedName>
    <definedName name="_xlnm.Database">#REF!</definedName>
    <definedName name="Database1" localSheetId="2">#REF!</definedName>
    <definedName name="Database1" localSheetId="14">#REF!</definedName>
    <definedName name="Database1" localSheetId="15">#REF!</definedName>
    <definedName name="Database1" localSheetId="10">#REF!</definedName>
    <definedName name="Database1" localSheetId="6">#REF!</definedName>
    <definedName name="Database1" localSheetId="18">#REF!</definedName>
    <definedName name="Database1" localSheetId="11">#REF!</definedName>
    <definedName name="Database1" localSheetId="12">#REF!</definedName>
    <definedName name="Database1" localSheetId="0">#REF!</definedName>
    <definedName name="Database1" localSheetId="4">#REF!</definedName>
    <definedName name="Database1">#REF!</definedName>
    <definedName name="DateFrom" localSheetId="15">'[16]38000 Other Rev'!$G$12</definedName>
    <definedName name="DateFrom" localSheetId="18">'[17]38000 Other Rev'!$G$12</definedName>
    <definedName name="DateFrom" localSheetId="13">#REF!</definedName>
    <definedName name="DateFrom" localSheetId="11">'[18]38000 Other Rev'!$G$12</definedName>
    <definedName name="DateFrom" localSheetId="12">'[18]38000 Other Rev'!$G$12</definedName>
    <definedName name="DateFrom">'[19]38000 Other Rev'!$G$12</definedName>
    <definedName name="DateTo" localSheetId="15">'[16]38000 Other Rev'!$G$13</definedName>
    <definedName name="DateTo" localSheetId="18">'[17]38000 Other Rev'!$G$13</definedName>
    <definedName name="DateTo" localSheetId="13">#REF!</definedName>
    <definedName name="DateTo" localSheetId="11">'[18]38000 Other Rev'!$G$13</definedName>
    <definedName name="DateTo" localSheetId="12">'[18]38000 Other Rev'!$G$13</definedName>
    <definedName name="DateTo">'[19]38000 Other Rev'!$G$13</definedName>
    <definedName name="DBxStaffPriceOut" localSheetId="17">'[14]Price Out-Reg EASTSIDE-Resi'!#REF!</definedName>
    <definedName name="DBxStaffPriceOut" localSheetId="18">'[14]Price Out-Reg EASTSIDE-Resi'!#REF!</definedName>
    <definedName name="DBxStaffPriceOut" localSheetId="0">'[14]Price Out-Reg EASTSIDE-Resi'!#REF!</definedName>
    <definedName name="DBxStaffPriceOut">'[14]Price Out-Reg EASTSIDE-Resi'!#REF!</definedName>
    <definedName name="DEPT" localSheetId="2">[4]Hidden!#REF!</definedName>
    <definedName name="DEPT" localSheetId="17">[4]Hidden!#REF!</definedName>
    <definedName name="DEPT" localSheetId="14">[5]Hidden!#REF!</definedName>
    <definedName name="DEPT" localSheetId="15">[6]Hidden!#REF!</definedName>
    <definedName name="DEPT" localSheetId="10">[7]Hidden!#REF!</definedName>
    <definedName name="DEPT" localSheetId="6">[6]Hidden!#REF!</definedName>
    <definedName name="DEPT" localSheetId="18">[6]Hidden!#REF!</definedName>
    <definedName name="DEPT" localSheetId="11">[5]Hidden!#REF!</definedName>
    <definedName name="DEPT" localSheetId="12">[5]Hidden!#REF!</definedName>
    <definedName name="DEPT" localSheetId="0">[7]Hidden!#REF!</definedName>
    <definedName name="DEPT">[4]Hidden!#REF!</definedName>
    <definedName name="Dist" localSheetId="15">[20]Data!$E$3</definedName>
    <definedName name="Dist" localSheetId="18">[20]Data!$E$3</definedName>
    <definedName name="Dist" localSheetId="11">[21]Data!$E$3</definedName>
    <definedName name="Dist" localSheetId="12">[21]Data!$E$3</definedName>
    <definedName name="Dist">[22]Data!$E$3</definedName>
    <definedName name="District" localSheetId="22">'12.31.16 BS'!$N$7</definedName>
    <definedName name="District" localSheetId="21">'12.31.17 BS'!$N$5</definedName>
    <definedName name="District" localSheetId="1">'2025 IS'!$N$6</definedName>
    <definedName name="District" localSheetId="17">#REF!</definedName>
    <definedName name="District" localSheetId="23">'IS End 1.31.18'!$K$1</definedName>
    <definedName name="District" localSheetId="18">'[23]Vashon BS'!#REF!</definedName>
    <definedName name="District" localSheetId="5">'[24]Vashon BS'!#REF!</definedName>
    <definedName name="District" localSheetId="11">'[25]Vashon BS'!#REF!</definedName>
    <definedName name="District" localSheetId="12">'[25]Vashon BS'!#REF!</definedName>
    <definedName name="District" localSheetId="0">'[25]Vashon BS'!#REF!</definedName>
    <definedName name="District" localSheetId="16">'Region OH Calc'!$K$1</definedName>
    <definedName name="District" localSheetId="4">'[24]Vashon BS'!#REF!</definedName>
    <definedName name="District">#REF!</definedName>
    <definedName name="DistrictName" localSheetId="22">'12.31.16 BS'!$N$8</definedName>
    <definedName name="DistrictName" localSheetId="21">'12.31.17 BS'!$N$6</definedName>
    <definedName name="DistrictName" localSheetId="1">'2025 IS'!$N$7</definedName>
    <definedName name="DistrictName" localSheetId="23">'IS End 1.31.18'!$K$2</definedName>
    <definedName name="DistrictName" localSheetId="16">'Region OH Calc'!$K$2</definedName>
    <definedName name="DistrictNum" localSheetId="2">#REF!</definedName>
    <definedName name="DistrictNum" localSheetId="17">#REF!</definedName>
    <definedName name="DistrictNum" localSheetId="15">#REF!</definedName>
    <definedName name="DistrictNum" localSheetId="10">#REF!</definedName>
    <definedName name="DistrictNum" localSheetId="6">#REF!</definedName>
    <definedName name="DistrictNum" localSheetId="18">#REF!</definedName>
    <definedName name="DistrictNum" localSheetId="11">#REF!</definedName>
    <definedName name="DistrictNum" localSheetId="12">#REF!</definedName>
    <definedName name="DistrictNum" localSheetId="0">#REF!</definedName>
    <definedName name="DistrictNum" localSheetId="4">#REF!</definedName>
    <definedName name="DistrictNum">#REF!</definedName>
    <definedName name="Districts" localSheetId="15">#REF!</definedName>
    <definedName name="Districts" localSheetId="13">#REF!</definedName>
    <definedName name="Districts" localSheetId="12">#REF!</definedName>
    <definedName name="dOG" localSheetId="17">#REF!</definedName>
    <definedName name="dOG" localSheetId="18">#REF!</definedName>
    <definedName name="dOG" localSheetId="0">#REF!</definedName>
    <definedName name="dOG" localSheetId="4">#REF!</definedName>
    <definedName name="dOG">#REF!</definedName>
    <definedName name="drlFilter">[1]Settings!$D$27</definedName>
    <definedName name="End" localSheetId="2">'[26]IS-2120'!#REF!</definedName>
    <definedName name="End" localSheetId="17">#REF!</definedName>
    <definedName name="End" localSheetId="14">#REF!</definedName>
    <definedName name="End" localSheetId="15">#REF!</definedName>
    <definedName name="End" localSheetId="10">#REF!</definedName>
    <definedName name="End" localSheetId="6">#REF!</definedName>
    <definedName name="End" localSheetId="18">#REF!</definedName>
    <definedName name="End" localSheetId="5">#REF!</definedName>
    <definedName name="End" localSheetId="11">#REF!</definedName>
    <definedName name="End" localSheetId="12">#REF!</definedName>
    <definedName name="End" localSheetId="0">#REF!</definedName>
    <definedName name="End" localSheetId="4">#REF!</definedName>
    <definedName name="End">#REF!</definedName>
    <definedName name="EntrieShownLimit" localSheetId="15">'[16]38000 Other Rev'!$D$6</definedName>
    <definedName name="EntrieShownLimit" localSheetId="18">'[17]38000 Other Rev'!$D$6</definedName>
    <definedName name="EntrieShownLimit" localSheetId="13">#REF!</definedName>
    <definedName name="EntrieShownLimit" localSheetId="11">'[18]38000 Other Rev'!$D$6</definedName>
    <definedName name="EntrieShownLimit" localSheetId="12">'[18]38000 Other Rev'!$D$6</definedName>
    <definedName name="EntrieShownLimit">'[19]38000 Other Rev'!$D$6</definedName>
    <definedName name="ExcludeIC" localSheetId="22">'12.31.16 BS'!$V$7</definedName>
    <definedName name="ExcludeIC" localSheetId="21">'12.31.17 BS'!$V$5</definedName>
    <definedName name="ExcludeIC" localSheetId="1">'2025 IS'!$R$6</definedName>
    <definedName name="ExcludeIC" localSheetId="17">#REF!</definedName>
    <definedName name="ExcludeIC" localSheetId="15">'[16]2025 BS'!#REF!</definedName>
    <definedName name="ExcludeIC" localSheetId="23">'IS End 1.31.18'!$O$1</definedName>
    <definedName name="ExcludeIC" localSheetId="18">'[17]2025 BS'!#REF!</definedName>
    <definedName name="ExcludeIC" localSheetId="5">'[27]2009 BS'!#REF!</definedName>
    <definedName name="ExcludeIC" localSheetId="11">'[25]Vashon BS'!#REF!</definedName>
    <definedName name="ExcludeIC" localSheetId="12">'[25]Vashon BS'!#REF!</definedName>
    <definedName name="ExcludeIC" localSheetId="0">'[25]Vashon BS'!#REF!</definedName>
    <definedName name="ExcludeIC" localSheetId="16">'Region OH Calc'!$O$1</definedName>
    <definedName name="ExcludeIC" localSheetId="4">'[19]2025 BS'!#REF!</definedName>
    <definedName name="ExcludeIC">#REF!</definedName>
    <definedName name="EXT" localSheetId="17">#REF!</definedName>
    <definedName name="EXT" localSheetId="18">#REF!</definedName>
    <definedName name="EXT" localSheetId="0">#REF!</definedName>
    <definedName name="EXT">#REF!</definedName>
    <definedName name="FBTable" localSheetId="2">#REF!</definedName>
    <definedName name="FBTable" localSheetId="17">#REF!</definedName>
    <definedName name="FBTable" localSheetId="15">#REF!</definedName>
    <definedName name="FBTable" localSheetId="10">#REF!</definedName>
    <definedName name="FBTable" localSheetId="6">#REF!</definedName>
    <definedName name="FBTable" localSheetId="18">#REF!</definedName>
    <definedName name="FBTable" localSheetId="13">#REF!</definedName>
    <definedName name="FBTable" localSheetId="11">#REF!</definedName>
    <definedName name="FBTable" localSheetId="12">#REF!</definedName>
    <definedName name="FBTable" localSheetId="0">#REF!</definedName>
    <definedName name="FBTable" localSheetId="4">#REF!</definedName>
    <definedName name="FBTable">#REF!</definedName>
    <definedName name="FBTableOld" localSheetId="2">#REF!</definedName>
    <definedName name="FBTableOld" localSheetId="14">#REF!</definedName>
    <definedName name="FBTableOld" localSheetId="15">#REF!</definedName>
    <definedName name="FBTableOld" localSheetId="10">#REF!</definedName>
    <definedName name="FBTableOld" localSheetId="6">#REF!</definedName>
    <definedName name="FBTableOld" localSheetId="18">#REF!</definedName>
    <definedName name="FBTableOld" localSheetId="13">#REF!</definedName>
    <definedName name="FBTableOld" localSheetId="11">#REF!</definedName>
    <definedName name="FBTableOld" localSheetId="12">#REF!</definedName>
    <definedName name="FBTableOld" localSheetId="0">#REF!</definedName>
    <definedName name="FBTableOld" localSheetId="4">#REF!</definedName>
    <definedName name="FBTableOld">#REF!</definedName>
    <definedName name="filter">[1]Settings!$B$14:$H$25</definedName>
    <definedName name="FromMonth" localSheetId="15">#REF!</definedName>
    <definedName name="FromMonth" localSheetId="13">#REF!</definedName>
    <definedName name="FromMonth" localSheetId="12">#REF!</definedName>
    <definedName name="FundsApprPend" localSheetId="17">[22]Data!#REF!</definedName>
    <definedName name="FundsApprPend" localSheetId="15">[20]Data!#REF!</definedName>
    <definedName name="FundsApprPend" localSheetId="18">[20]Data!#REF!</definedName>
    <definedName name="FundsApprPend" localSheetId="5">[22]Data!#REF!</definedName>
    <definedName name="FundsApprPend" localSheetId="11">[21]Data!#REF!</definedName>
    <definedName name="FundsApprPend" localSheetId="12">[21]Data!#REF!</definedName>
    <definedName name="FundsApprPend" localSheetId="0">[22]Data!#REF!</definedName>
    <definedName name="FundsApprPend" localSheetId="4">[22]Data!#REF!</definedName>
    <definedName name="FundsApprPend">[22]Data!#REF!</definedName>
    <definedName name="FundsBudUnbud" localSheetId="17">[22]Data!#REF!</definedName>
    <definedName name="FundsBudUnbud" localSheetId="15">[20]Data!#REF!</definedName>
    <definedName name="FundsBudUnbud" localSheetId="18">[20]Data!#REF!</definedName>
    <definedName name="FundsBudUnbud" localSheetId="11">[21]Data!#REF!</definedName>
    <definedName name="FundsBudUnbud" localSheetId="12">[21]Data!#REF!</definedName>
    <definedName name="FundsBudUnbud" localSheetId="0">[22]Data!#REF!</definedName>
    <definedName name="FundsBudUnbud">[22]Data!#REF!</definedName>
    <definedName name="GLMappingStart" localSheetId="17">#REF!</definedName>
    <definedName name="GLMappingStart" localSheetId="15">#REF!</definedName>
    <definedName name="GLMappingStart" localSheetId="10">#REF!</definedName>
    <definedName name="GLMappingStart" localSheetId="6">#REF!</definedName>
    <definedName name="GLMappingStart" localSheetId="18">#REF!</definedName>
    <definedName name="GLMappingStart" localSheetId="11">#REF!</definedName>
    <definedName name="GLMappingStart" localSheetId="12">#REF!</definedName>
    <definedName name="GLMappingStart" localSheetId="0">#REF!</definedName>
    <definedName name="GLMappingStart" localSheetId="4">#REF!</definedName>
    <definedName name="GLMappingStart">#REF!</definedName>
    <definedName name="GLMappingStart1" localSheetId="17">#REF!</definedName>
    <definedName name="GLMappingStart1" localSheetId="15">#REF!</definedName>
    <definedName name="GLMappingStart1" localSheetId="18">#REF!</definedName>
    <definedName name="GLMappingStart1" localSheetId="11">#REF!</definedName>
    <definedName name="GLMappingStart1" localSheetId="12">#REF!</definedName>
    <definedName name="GLMappingStart1" localSheetId="0">#REF!</definedName>
    <definedName name="GLMappingStart1">#REF!</definedName>
    <definedName name="Import_Range" localSheetId="17">[22]Data!#REF!</definedName>
    <definedName name="Import_Range" localSheetId="15">[20]Data!#REF!</definedName>
    <definedName name="Import_Range" localSheetId="18">[20]Data!#REF!</definedName>
    <definedName name="Import_Range" localSheetId="5">[22]Data!#REF!</definedName>
    <definedName name="Import_Range" localSheetId="11">[21]Data!#REF!</definedName>
    <definedName name="Import_Range" localSheetId="12">[21]Data!#REF!</definedName>
    <definedName name="Import_Range" localSheetId="0">[22]Data!#REF!</definedName>
    <definedName name="Import_Range" localSheetId="4">[22]Data!#REF!</definedName>
    <definedName name="Import_Range">[22]Data!#REF!</definedName>
    <definedName name="IncomeStmnt" localSheetId="2">#REF!</definedName>
    <definedName name="IncomeStmnt" localSheetId="17">#REF!</definedName>
    <definedName name="IncomeStmnt" localSheetId="14">#REF!</definedName>
    <definedName name="IncomeStmnt" localSheetId="15">#REF!</definedName>
    <definedName name="IncomeStmnt" localSheetId="10">#REF!</definedName>
    <definedName name="IncomeStmnt" localSheetId="6">#REF!</definedName>
    <definedName name="IncomeStmnt" localSheetId="18">#REF!</definedName>
    <definedName name="IncomeStmnt" localSheetId="11">#REF!</definedName>
    <definedName name="IncomeStmnt" localSheetId="12">#REF!</definedName>
    <definedName name="IncomeStmnt" localSheetId="0">#REF!</definedName>
    <definedName name="IncomeStmnt" localSheetId="4">#REF!</definedName>
    <definedName name="IncomeStmnt">#REF!</definedName>
    <definedName name="INPUT" localSheetId="2">#REF!</definedName>
    <definedName name="INPUT" localSheetId="14">#REF!</definedName>
    <definedName name="INPUT" localSheetId="15">#REF!</definedName>
    <definedName name="INPUT" localSheetId="10">#REF!</definedName>
    <definedName name="INPUT" localSheetId="6">#REF!</definedName>
    <definedName name="INPUT" localSheetId="18">#REF!</definedName>
    <definedName name="INPUT" localSheetId="11">#REF!</definedName>
    <definedName name="INPUT" localSheetId="12">#REF!</definedName>
    <definedName name="INPUT" localSheetId="0">#REF!</definedName>
    <definedName name="INPUT" localSheetId="4">#REF!</definedName>
    <definedName name="INPUT">#REF!</definedName>
    <definedName name="Insurance" localSheetId="2">#REF!</definedName>
    <definedName name="Insurance" localSheetId="14">#REF!</definedName>
    <definedName name="Insurance" localSheetId="15">#REF!</definedName>
    <definedName name="Insurance" localSheetId="10">#REF!</definedName>
    <definedName name="Insurance" localSheetId="6">#REF!</definedName>
    <definedName name="Insurance" localSheetId="18">#REF!</definedName>
    <definedName name="Insurance" localSheetId="11">#REF!</definedName>
    <definedName name="Insurance" localSheetId="12">#REF!</definedName>
    <definedName name="Insurance" localSheetId="0">#REF!</definedName>
    <definedName name="Insurance" localSheetId="4">#REF!</definedName>
    <definedName name="Insurance">#REF!</definedName>
    <definedName name="Interject_LastPulledValues_BalanceRange" localSheetId="22">#REF!</definedName>
    <definedName name="Interject_LastPulledValues_BalanceRange" localSheetId="21">#REF!</definedName>
    <definedName name="Interject_LastPulledValues_BalanceRange" localSheetId="18">#REF!</definedName>
    <definedName name="Interject_LastPulledValues_BalanceRange" localSheetId="13">#REF!</definedName>
    <definedName name="Interject_LastPulledValues_BalanceRange">#REF!</definedName>
    <definedName name="Interject_LastPulledValues_DescriptionRange" localSheetId="22">#REF!</definedName>
    <definedName name="Interject_LastPulledValues_DescriptionRange" localSheetId="21">#REF!</definedName>
    <definedName name="Interject_LastPulledValues_DescriptionRange" localSheetId="18">#REF!</definedName>
    <definedName name="Interject_LastPulledValues_DescriptionRange" localSheetId="13">#REF!</definedName>
    <definedName name="Interject_LastPulledValues_DescriptionRange">#REF!</definedName>
    <definedName name="Interject_LastPulledValues_LastChangeGUID" localSheetId="22">#REF!</definedName>
    <definedName name="Interject_LastPulledValues_LastChangeGUID" localSheetId="21">#REF!</definedName>
    <definedName name="Interject_LastPulledValues_LastChangeGUID" localSheetId="18">#REF!</definedName>
    <definedName name="Interject_LastPulledValues_LastChangeGUID" localSheetId="13">#REF!</definedName>
    <definedName name="Interject_LastPulledValues_LastChangeGUID">#REF!</definedName>
    <definedName name="Interject_LastPulledValues_PreviousLastChangeGUID" localSheetId="22">#REF!</definedName>
    <definedName name="Interject_LastPulledValues_PreviousLastChangeGUID" localSheetId="21">#REF!</definedName>
    <definedName name="Interject_LastPulledValues_PreviousLastChangeGUID" localSheetId="18">#REF!</definedName>
    <definedName name="Interject_LastPulledValues_PreviousLastChangeGUID" localSheetId="13">#REF!</definedName>
    <definedName name="Interject_LastPulledValues_PreviousLastChangeGUID">#REF!</definedName>
    <definedName name="Invoice_Start" localSheetId="17">[22]Invoice_Drill!#REF!</definedName>
    <definedName name="Invoice_Start" localSheetId="15">[20]Invoice_Drill!#REF!</definedName>
    <definedName name="Invoice_Start" localSheetId="18">[20]Invoice_Drill!#REF!</definedName>
    <definedName name="Invoice_Start" localSheetId="5">[22]Invoice_Drill!#REF!</definedName>
    <definedName name="Invoice_Start" localSheetId="11">[21]Invoice_Drill!#REF!</definedName>
    <definedName name="Invoice_Start" localSheetId="12">[21]Invoice_Drill!#REF!</definedName>
    <definedName name="Invoice_Start" localSheetId="0">[22]Invoice_Drill!#REF!</definedName>
    <definedName name="Invoice_Start" localSheetId="4">[22]Invoice_Drill!#REF!</definedName>
    <definedName name="Invoice_Start">[22]Invoice_Drill!#REF!</definedName>
    <definedName name="JEDetail" localSheetId="17">#REF!</definedName>
    <definedName name="JEDetail" localSheetId="15">#REF!</definedName>
    <definedName name="JEDetail" localSheetId="10">#REF!</definedName>
    <definedName name="JEDetail" localSheetId="6">#REF!</definedName>
    <definedName name="JEDetail" localSheetId="18">#REF!</definedName>
    <definedName name="JEDetail" localSheetId="11">#REF!</definedName>
    <definedName name="JEDetail" localSheetId="12">#REF!</definedName>
    <definedName name="JEDetail" localSheetId="0">#REF!</definedName>
    <definedName name="JEDetail" localSheetId="4">#REF!</definedName>
    <definedName name="JEDetail">#REF!</definedName>
    <definedName name="JEDetail1" localSheetId="17">#REF!</definedName>
    <definedName name="JEDetail1" localSheetId="15">#REF!</definedName>
    <definedName name="JEDetail1" localSheetId="18">#REF!</definedName>
    <definedName name="JEDetail1" localSheetId="11">#REF!</definedName>
    <definedName name="JEDetail1" localSheetId="12">#REF!</definedName>
    <definedName name="JEDetail1" localSheetId="0">#REF!</definedName>
    <definedName name="JEDetail1">#REF!</definedName>
    <definedName name="JEType" localSheetId="17">#REF!</definedName>
    <definedName name="JEType" localSheetId="15">#REF!</definedName>
    <definedName name="JEType" localSheetId="10">#REF!</definedName>
    <definedName name="JEType" localSheetId="6">#REF!</definedName>
    <definedName name="JEType" localSheetId="18">#REF!</definedName>
    <definedName name="JEType" localSheetId="11">#REF!</definedName>
    <definedName name="JEType" localSheetId="12">#REF!</definedName>
    <definedName name="JEType" localSheetId="0">#REF!</definedName>
    <definedName name="JEType" localSheetId="4">#REF!</definedName>
    <definedName name="JEType">#REF!</definedName>
    <definedName name="JEType1" localSheetId="15">#REF!</definedName>
    <definedName name="JEType1" localSheetId="18">#REF!</definedName>
    <definedName name="JEType1" localSheetId="12">#REF!</definedName>
    <definedName name="JEType1">#REF!</definedName>
    <definedName name="lblBillAreaStatus" localSheetId="15">#REF!</definedName>
    <definedName name="lblBillAreaStatus" localSheetId="10">#REF!</definedName>
    <definedName name="lblBillAreaStatus" localSheetId="6">#REF!</definedName>
    <definedName name="lblBillAreaStatus" localSheetId="18">#REF!</definedName>
    <definedName name="lblBillAreaStatus" localSheetId="11">#REF!</definedName>
    <definedName name="lblBillAreaStatus" localSheetId="12">#REF!</definedName>
    <definedName name="lblBillAreaStatus" localSheetId="4">#REF!</definedName>
    <definedName name="lblBillAreaStatus">#REF!</definedName>
    <definedName name="lblBillCycleStatus" localSheetId="15">#REF!</definedName>
    <definedName name="lblBillCycleStatus" localSheetId="10">#REF!</definedName>
    <definedName name="lblBillCycleStatus" localSheetId="6">#REF!</definedName>
    <definedName name="lblBillCycleStatus" localSheetId="18">#REF!</definedName>
    <definedName name="lblBillCycleStatus" localSheetId="11">#REF!</definedName>
    <definedName name="lblBillCycleStatus" localSheetId="12">#REF!</definedName>
    <definedName name="lblBillCycleStatus" localSheetId="4">#REF!</definedName>
    <definedName name="lblBillCycleStatus">#REF!</definedName>
    <definedName name="lblCategoryStatus" localSheetId="15">#REF!</definedName>
    <definedName name="lblCategoryStatus" localSheetId="10">#REF!</definedName>
    <definedName name="lblCategoryStatus" localSheetId="6">#REF!</definedName>
    <definedName name="lblCategoryStatus" localSheetId="18">#REF!</definedName>
    <definedName name="lblCategoryStatus" localSheetId="11">#REF!</definedName>
    <definedName name="lblCategoryStatus" localSheetId="12">#REF!</definedName>
    <definedName name="lblCategoryStatus" localSheetId="4">#REF!</definedName>
    <definedName name="lblCategoryStatus">#REF!</definedName>
    <definedName name="lblCompanyStatus" localSheetId="15">#REF!</definedName>
    <definedName name="lblCompanyStatus" localSheetId="10">#REF!</definedName>
    <definedName name="lblCompanyStatus" localSheetId="6">#REF!</definedName>
    <definedName name="lblCompanyStatus" localSheetId="18">#REF!</definedName>
    <definedName name="lblCompanyStatus" localSheetId="11">#REF!</definedName>
    <definedName name="lblCompanyStatus" localSheetId="12">#REF!</definedName>
    <definedName name="lblCompanyStatus" localSheetId="4">#REF!</definedName>
    <definedName name="lblCompanyStatus">#REF!</definedName>
    <definedName name="lblDatabaseStatus" localSheetId="15">#REF!</definedName>
    <definedName name="lblDatabaseStatus" localSheetId="10">#REF!</definedName>
    <definedName name="lblDatabaseStatus" localSheetId="6">#REF!</definedName>
    <definedName name="lblDatabaseStatus" localSheetId="18">#REF!</definedName>
    <definedName name="lblDatabaseStatus" localSheetId="11">#REF!</definedName>
    <definedName name="lblDatabaseStatus" localSheetId="12">#REF!</definedName>
    <definedName name="lblDatabaseStatus" localSheetId="4">#REF!</definedName>
    <definedName name="lblDatabaseStatus">#REF!</definedName>
    <definedName name="lblPullStatus" localSheetId="15">#REF!</definedName>
    <definedName name="lblPullStatus" localSheetId="10">#REF!</definedName>
    <definedName name="lblPullStatus" localSheetId="6">#REF!</definedName>
    <definedName name="lblPullStatus" localSheetId="18">#REF!</definedName>
    <definedName name="lblPullStatus" localSheetId="11">#REF!</definedName>
    <definedName name="lblPullStatus" localSheetId="12">#REF!</definedName>
    <definedName name="lblPullStatus" localSheetId="4">#REF!</definedName>
    <definedName name="lblPullStatus">#REF!</definedName>
    <definedName name="lllllllllllllllllllll" localSheetId="2">#REF!</definedName>
    <definedName name="lllllllllllllllllllll" localSheetId="14">#REF!</definedName>
    <definedName name="lllllllllllllllllllll" localSheetId="15">#REF!</definedName>
    <definedName name="lllllllllllllllllllll" localSheetId="10">#REF!</definedName>
    <definedName name="lllllllllllllllllllll" localSheetId="6">#REF!</definedName>
    <definedName name="lllllllllllllllllllll" localSheetId="18">#REF!</definedName>
    <definedName name="lllllllllllllllllllll" localSheetId="11">#REF!</definedName>
    <definedName name="lllllllllllllllllllll" localSheetId="12">#REF!</definedName>
    <definedName name="lllllllllllllllllllll" localSheetId="4">#REF!</definedName>
    <definedName name="lllllllllllllllllllll">#REF!</definedName>
    <definedName name="MainDataEnd" localSheetId="15">#REF!</definedName>
    <definedName name="MainDataEnd" localSheetId="10">#REF!</definedName>
    <definedName name="MainDataEnd" localSheetId="6">#REF!</definedName>
    <definedName name="MainDataEnd" localSheetId="18">#REF!</definedName>
    <definedName name="MainDataEnd" localSheetId="11">#REF!</definedName>
    <definedName name="MainDataEnd" localSheetId="12">#REF!</definedName>
    <definedName name="MainDataEnd" localSheetId="4">#REF!</definedName>
    <definedName name="MainDataEnd">#REF!</definedName>
    <definedName name="MainDataStart" localSheetId="15">#REF!</definedName>
    <definedName name="MainDataStart" localSheetId="10">#REF!</definedName>
    <definedName name="MainDataStart" localSheetId="6">#REF!</definedName>
    <definedName name="MainDataStart" localSheetId="18">#REF!</definedName>
    <definedName name="MainDataStart" localSheetId="11">#REF!</definedName>
    <definedName name="MainDataStart" localSheetId="12">#REF!</definedName>
    <definedName name="MainDataStart" localSheetId="4">#REF!</definedName>
    <definedName name="MainDataStart">#REF!</definedName>
    <definedName name="MapKeyStart" localSheetId="15">#REF!</definedName>
    <definedName name="MapKeyStart" localSheetId="10">#REF!</definedName>
    <definedName name="MapKeyStart" localSheetId="6">#REF!</definedName>
    <definedName name="MapKeyStart" localSheetId="18">#REF!</definedName>
    <definedName name="MapKeyStart" localSheetId="11">#REF!</definedName>
    <definedName name="MapKeyStart" localSheetId="12">#REF!</definedName>
    <definedName name="MapKeyStart" localSheetId="4">#REF!</definedName>
    <definedName name="MapKeyStart">#REF!</definedName>
    <definedName name="master_def" localSheetId="2">'[26]IS-2120'!#REF!</definedName>
    <definedName name="master_def" localSheetId="17">#REF!</definedName>
    <definedName name="master_def" localSheetId="14">#REF!</definedName>
    <definedName name="master_def" localSheetId="15">#REF!</definedName>
    <definedName name="master_def" localSheetId="10">#REF!</definedName>
    <definedName name="master_def" localSheetId="6">#REF!</definedName>
    <definedName name="master_def" localSheetId="18">#REF!</definedName>
    <definedName name="master_def" localSheetId="5">#REF!</definedName>
    <definedName name="master_def" localSheetId="11">#REF!</definedName>
    <definedName name="master_def" localSheetId="12">#REF!</definedName>
    <definedName name="master_def" localSheetId="0">#REF!</definedName>
    <definedName name="master_def" localSheetId="4">#REF!</definedName>
    <definedName name="master_def">#REF!</definedName>
    <definedName name="MATRIX" localSheetId="17">#REF!</definedName>
    <definedName name="MATRIX" localSheetId="18">#REF!</definedName>
    <definedName name="MATRIX">#REF!</definedName>
    <definedName name="MemoAttachment" localSheetId="17">#REF!</definedName>
    <definedName name="MemoAttachment" localSheetId="15">#REF!</definedName>
    <definedName name="MemoAttachment" localSheetId="18">#REF!</definedName>
    <definedName name="MemoAttachment" localSheetId="12">#REF!</definedName>
    <definedName name="MemoAttachment" localSheetId="4">#REF!</definedName>
    <definedName name="MemoAttachment">#REF!</definedName>
    <definedName name="MetaSet">[1]Orientation!$C$22</definedName>
    <definedName name="MFStaffPriceOut" localSheetId="17">'[14]Price Out-Reg EASTSIDE-Resi'!#REF!</definedName>
    <definedName name="MFStaffPriceOut" localSheetId="18">'[14]Price Out-Reg EASTSIDE-Resi'!#REF!</definedName>
    <definedName name="MFStaffPriceOut" localSheetId="0">'[14]Price Out-Reg EASTSIDE-Resi'!#REF!</definedName>
    <definedName name="MFStaffPriceOut">'[14]Price Out-Reg EASTSIDE-Resi'!#REF!</definedName>
    <definedName name="MonthList" localSheetId="15">'[20]Lookup Tables'!$A$1:$A$13</definedName>
    <definedName name="MonthList" localSheetId="18">'[20]Lookup Tables'!$A$1:$A$13</definedName>
    <definedName name="MonthList" localSheetId="11">'[21]Lookup Tables'!$A$1:$A$13</definedName>
    <definedName name="MonthList" localSheetId="12">'[21]Lookup Tables'!$A$1:$A$13</definedName>
    <definedName name="MonthList">'[22]Lookup Tables'!$A$1:$A$13</definedName>
    <definedName name="NewOnlyOrg">#N/A</definedName>
    <definedName name="nn" localSheetId="17">#REF!</definedName>
    <definedName name="nn" localSheetId="18">#REF!</definedName>
    <definedName name="nn" localSheetId="5">#REF!</definedName>
    <definedName name="nn" localSheetId="0">#REF!</definedName>
    <definedName name="nn">#REF!</definedName>
    <definedName name="NOTES" localSheetId="2">#REF!</definedName>
    <definedName name="NOTES" localSheetId="17">#REF!</definedName>
    <definedName name="NOTES" localSheetId="14">#REF!</definedName>
    <definedName name="NOTES" localSheetId="15">#REF!</definedName>
    <definedName name="NOTES" localSheetId="10">#REF!</definedName>
    <definedName name="NOTES" localSheetId="6">#REF!</definedName>
    <definedName name="NOTES" localSheetId="18">#REF!</definedName>
    <definedName name="NOTES" localSheetId="11">#REF!</definedName>
    <definedName name="NOTES" localSheetId="12">#REF!</definedName>
    <definedName name="NOTES" localSheetId="0">#REF!</definedName>
    <definedName name="NOTES" localSheetId="4">#REF!</definedName>
    <definedName name="NOTES">#REF!</definedName>
    <definedName name="NR" localSheetId="15">#REF!</definedName>
    <definedName name="NR" localSheetId="18">#REF!</definedName>
    <definedName name="NR" localSheetId="12">#REF!</definedName>
    <definedName name="NR" localSheetId="0">#REF!</definedName>
    <definedName name="NR" localSheetId="4">#REF!</definedName>
    <definedName name="NR">#REF!</definedName>
    <definedName name="OfficerSalary">#N/A</definedName>
    <definedName name="OffsetAcctBil">[28]JEexport!$L$10</definedName>
    <definedName name="OffsetAcctPmt">[28]JEexport!$L$9</definedName>
    <definedName name="Org11_13">#N/A</definedName>
    <definedName name="Org7_10">#N/A</definedName>
    <definedName name="p" localSheetId="17">#REF!</definedName>
    <definedName name="p" localSheetId="15">#REF!</definedName>
    <definedName name="p" localSheetId="10">#REF!</definedName>
    <definedName name="p" localSheetId="6">#REF!</definedName>
    <definedName name="p" localSheetId="18">#REF!</definedName>
    <definedName name="p" localSheetId="11">#REF!</definedName>
    <definedName name="p" localSheetId="12">#REF!</definedName>
    <definedName name="p" localSheetId="0">#REF!</definedName>
    <definedName name="p" localSheetId="4">#REF!</definedName>
    <definedName name="p">#REF!</definedName>
    <definedName name="PAGE_1" localSheetId="2">#REF!</definedName>
    <definedName name="PAGE_1" localSheetId="17">#REF!</definedName>
    <definedName name="PAGE_1" localSheetId="14">#REF!</definedName>
    <definedName name="PAGE_1" localSheetId="15">#REF!</definedName>
    <definedName name="PAGE_1" localSheetId="10">#REF!</definedName>
    <definedName name="PAGE_1" localSheetId="6">#REF!</definedName>
    <definedName name="PAGE_1" localSheetId="18">#REF!</definedName>
    <definedName name="PAGE_1" localSheetId="11">#REF!</definedName>
    <definedName name="PAGE_1" localSheetId="12">#REF!</definedName>
    <definedName name="PAGE_1" localSheetId="0">#REF!</definedName>
    <definedName name="PAGE_1" localSheetId="4">#REF!</definedName>
    <definedName name="PAGE_1">#REF!</definedName>
    <definedName name="Page16" localSheetId="18">#REF!</definedName>
    <definedName name="Page16">#REF!</definedName>
    <definedName name="Page17" localSheetId="18">#REF!</definedName>
    <definedName name="Page17">#REF!</definedName>
    <definedName name="Page18" localSheetId="18">#REF!</definedName>
    <definedName name="Page18">#REF!</definedName>
    <definedName name="Page7a" localSheetId="18">#REF!</definedName>
    <definedName name="Page7a">#REF!</definedName>
    <definedName name="pBatchID" localSheetId="15">#REF!</definedName>
    <definedName name="pBatchID" localSheetId="10">#REF!</definedName>
    <definedName name="pBatchID" localSheetId="6">#REF!</definedName>
    <definedName name="pBatchID" localSheetId="18">#REF!</definedName>
    <definedName name="pBatchID" localSheetId="11">#REF!</definedName>
    <definedName name="pBatchID" localSheetId="12">#REF!</definedName>
    <definedName name="pBatchID" localSheetId="0">#REF!</definedName>
    <definedName name="pBatchID" localSheetId="4">#REF!</definedName>
    <definedName name="pBatchID">#REF!</definedName>
    <definedName name="pBillArea" localSheetId="15">#REF!</definedName>
    <definedName name="pBillArea" localSheetId="10">#REF!</definedName>
    <definedName name="pBillArea" localSheetId="6">#REF!</definedName>
    <definedName name="pBillArea" localSheetId="18">#REF!</definedName>
    <definedName name="pBillArea" localSheetId="11">#REF!</definedName>
    <definedName name="pBillArea" localSheetId="12">#REF!</definedName>
    <definedName name="pBillArea" localSheetId="4">#REF!</definedName>
    <definedName name="pBillArea">#REF!</definedName>
    <definedName name="pBillCycle" localSheetId="15">#REF!</definedName>
    <definedName name="pBillCycle" localSheetId="10">#REF!</definedName>
    <definedName name="pBillCycle" localSheetId="6">#REF!</definedName>
    <definedName name="pBillCycle" localSheetId="18">#REF!</definedName>
    <definedName name="pBillCycle" localSheetId="11">#REF!</definedName>
    <definedName name="pBillCycle" localSheetId="12">#REF!</definedName>
    <definedName name="pBillCycle" localSheetId="4">#REF!</definedName>
    <definedName name="pBillCycle">#REF!</definedName>
    <definedName name="pCategory" localSheetId="15">#REF!</definedName>
    <definedName name="pCategory" localSheetId="10">#REF!</definedName>
    <definedName name="pCategory" localSheetId="6">#REF!</definedName>
    <definedName name="pCategory" localSheetId="18">#REF!</definedName>
    <definedName name="pCategory" localSheetId="11">#REF!</definedName>
    <definedName name="pCategory" localSheetId="12">#REF!</definedName>
    <definedName name="pCategory" localSheetId="4">#REF!</definedName>
    <definedName name="pCategory">#REF!</definedName>
    <definedName name="pCompany" localSheetId="15">#REF!</definedName>
    <definedName name="pCompany" localSheetId="10">#REF!</definedName>
    <definedName name="pCompany" localSheetId="6">#REF!</definedName>
    <definedName name="pCompany" localSheetId="18">#REF!</definedName>
    <definedName name="pCompany" localSheetId="11">#REF!</definedName>
    <definedName name="pCompany" localSheetId="12">#REF!</definedName>
    <definedName name="pCompany" localSheetId="4">#REF!</definedName>
    <definedName name="pCompany">#REF!</definedName>
    <definedName name="pCustomerNumber" localSheetId="15">#REF!</definedName>
    <definedName name="pCustomerNumber" localSheetId="10">#REF!</definedName>
    <definedName name="pCustomerNumber" localSheetId="6">#REF!</definedName>
    <definedName name="pCustomerNumber" localSheetId="18">#REF!</definedName>
    <definedName name="pCustomerNumber" localSheetId="11">#REF!</definedName>
    <definedName name="pCustomerNumber" localSheetId="12">#REF!</definedName>
    <definedName name="pCustomerNumber" localSheetId="4">#REF!</definedName>
    <definedName name="pCustomerNumber">#REF!</definedName>
    <definedName name="pDatabase" localSheetId="15">#REF!</definedName>
    <definedName name="pDatabase" localSheetId="10">#REF!</definedName>
    <definedName name="pDatabase" localSheetId="6">#REF!</definedName>
    <definedName name="pDatabase" localSheetId="18">#REF!</definedName>
    <definedName name="pDatabase" localSheetId="11">#REF!</definedName>
    <definedName name="pDatabase" localSheetId="12">#REF!</definedName>
    <definedName name="pDatabase" localSheetId="4">#REF!</definedName>
    <definedName name="pDatabase">#REF!</definedName>
    <definedName name="pEndPostDate" localSheetId="15">#REF!</definedName>
    <definedName name="pEndPostDate" localSheetId="10">#REF!</definedName>
    <definedName name="pEndPostDate" localSheetId="6">#REF!</definedName>
    <definedName name="pEndPostDate" localSheetId="18">#REF!</definedName>
    <definedName name="pEndPostDate" localSheetId="11">#REF!</definedName>
    <definedName name="pEndPostDate" localSheetId="12">#REF!</definedName>
    <definedName name="pEndPostDate" localSheetId="4">#REF!</definedName>
    <definedName name="pEndPostDate">#REF!</definedName>
    <definedName name="Period" localSheetId="2">#REF!</definedName>
    <definedName name="Period" localSheetId="14">#REF!</definedName>
    <definedName name="Period" localSheetId="15">#REF!</definedName>
    <definedName name="Period" localSheetId="10">#REF!</definedName>
    <definedName name="Period" localSheetId="6">#REF!</definedName>
    <definedName name="Period" localSheetId="18">#REF!</definedName>
    <definedName name="Period" localSheetId="11">#REF!</definedName>
    <definedName name="Period" localSheetId="12">#REF!</definedName>
    <definedName name="Period" localSheetId="4">#REF!</definedName>
    <definedName name="Period">#REF!</definedName>
    <definedName name="pMonth" localSheetId="15">#REF!</definedName>
    <definedName name="pMonth" localSheetId="10">#REF!</definedName>
    <definedName name="pMonth" localSheetId="6">#REF!</definedName>
    <definedName name="pMonth" localSheetId="18">#REF!</definedName>
    <definedName name="pMonth" localSheetId="11">#REF!</definedName>
    <definedName name="pMonth" localSheetId="12">#REF!</definedName>
    <definedName name="pMonth" localSheetId="4">#REF!</definedName>
    <definedName name="pMonth">#REF!</definedName>
    <definedName name="pOnlyShowLastTranx" localSheetId="15">#REF!</definedName>
    <definedName name="pOnlyShowLastTranx" localSheetId="10">#REF!</definedName>
    <definedName name="pOnlyShowLastTranx" localSheetId="6">#REF!</definedName>
    <definedName name="pOnlyShowLastTranx" localSheetId="18">#REF!</definedName>
    <definedName name="pOnlyShowLastTranx" localSheetId="11">#REF!</definedName>
    <definedName name="pOnlyShowLastTranx" localSheetId="12">#REF!</definedName>
    <definedName name="pOnlyShowLastTranx" localSheetId="4">#REF!</definedName>
    <definedName name="pOnlyShowLastTranx">#REF!</definedName>
    <definedName name="Posting" localSheetId="15">#REF!</definedName>
    <definedName name="Posting" localSheetId="13">#REF!</definedName>
    <definedName name="Posting" localSheetId="12">#REF!</definedName>
    <definedName name="primtbl">[1]Orientation!$C$23</definedName>
    <definedName name="_xlnm.Print_Area" localSheetId="22">'12.31.16 BS'!$D$7:$W$195</definedName>
    <definedName name="_xlnm.Print_Area" localSheetId="21">'12.31.17 BS'!$D$5:$V$185</definedName>
    <definedName name="_xlnm.Print_Area" localSheetId="1">'2025 IS'!$D$6:$AJ$273</definedName>
    <definedName name="_xlnm.Print_Area" localSheetId="2">'Bingen Consolidated IS'!$A$1:$M$249</definedName>
    <definedName name="_xlnm.Print_Area" localSheetId="17">'Corp OH'!$A$1:$I$93</definedName>
    <definedName name="_xlnm.Print_Area" localSheetId="14">'Depr Summary'!$A$2:$I$34</definedName>
    <definedName name="_xlnm.Print_Area" localSheetId="15">'DF Schedule'!$A$1:$O$44</definedName>
    <definedName name="_xlnm.Print_Area" localSheetId="23">'IS End 1.31.18'!$A$1:$AG$265</definedName>
    <definedName name="_xlnm.Print_Area" localSheetId="6">LG!$B$1:$M$25</definedName>
    <definedName name="_xlnm.Print_Area" localSheetId="7">'LG G-48'!$A$1:$M$26</definedName>
    <definedName name="_xlnm.Print_Area" localSheetId="8">'LG G-51'!$B$1:$L$29</definedName>
    <definedName name="_xlnm.Print_Area" localSheetId="18">'Mgmt Alloc In'!$A$1:$H$27</definedName>
    <definedName name="_xlnm.Print_Area" localSheetId="13">'Payroll Schedule'!$A$1:$AK$135</definedName>
    <definedName name="_xlnm.Print_Area" localSheetId="5">'Pro-forma Adj''s'!$A$1:$E$43</definedName>
    <definedName name="_xlnm.Print_Area" localSheetId="11">'Rate Schedule G-48'!$A$1:$F$243</definedName>
    <definedName name="_xlnm.Print_Area" localSheetId="12">'Rate Schedule G-51'!$A$1:$F$226</definedName>
    <definedName name="_xlnm.Print_Area" localSheetId="16">'Region OH Calc'!$A$1:$AR$110</definedName>
    <definedName name="_xlnm.Print_Area" localSheetId="4">'Restating Adj''s'!$A$1:$V$105</definedName>
    <definedName name="_xlnm.Print_Area" localSheetId="20">'WCI BS'!$A$1:$E$68</definedName>
    <definedName name="_xlnm.Print_Area" localSheetId="19">'WCI IS'!$B$11:$E$41</definedName>
    <definedName name="_xlnm.Print_Area">#REF!</definedName>
    <definedName name="Print_Area_MI" localSheetId="2">#REF!</definedName>
    <definedName name="Print_Area_MI" localSheetId="17">#REF!</definedName>
    <definedName name="Print_Area_MI" localSheetId="14">#REF!</definedName>
    <definedName name="Print_Area_MI" localSheetId="15">#REF!</definedName>
    <definedName name="Print_Area_MI" localSheetId="10">#REF!</definedName>
    <definedName name="Print_Area_MI" localSheetId="6">#REF!</definedName>
    <definedName name="Print_Area_MI" localSheetId="18">#REF!</definedName>
    <definedName name="Print_Area_MI" localSheetId="11">#REF!</definedName>
    <definedName name="Print_Area_MI" localSheetId="12">#REF!</definedName>
    <definedName name="Print_Area_MI" localSheetId="0">#REF!</definedName>
    <definedName name="Print_Area_MI" localSheetId="4">#REF!</definedName>
    <definedName name="Print_Area_MI">#REF!</definedName>
    <definedName name="Print_Area1" localSheetId="2">#REF!</definedName>
    <definedName name="Print_Area1" localSheetId="14">#REF!</definedName>
    <definedName name="Print_Area1" localSheetId="15">#REF!</definedName>
    <definedName name="Print_Area1" localSheetId="10">#REF!</definedName>
    <definedName name="Print_Area1" localSheetId="6">#REF!</definedName>
    <definedName name="Print_Area1" localSheetId="18">#REF!</definedName>
    <definedName name="Print_Area1" localSheetId="11">#REF!</definedName>
    <definedName name="Print_Area1" localSheetId="12">#REF!</definedName>
    <definedName name="Print_Area1" localSheetId="4">#REF!</definedName>
    <definedName name="Print_Area1">#REF!</definedName>
    <definedName name="Print_Area2" localSheetId="2">#REF!</definedName>
    <definedName name="Print_Area2" localSheetId="14">#REF!</definedName>
    <definedName name="Print_Area2" localSheetId="15">#REF!</definedName>
    <definedName name="Print_Area2" localSheetId="10">#REF!</definedName>
    <definedName name="Print_Area2" localSheetId="6">#REF!</definedName>
    <definedName name="Print_Area2" localSheetId="18">#REF!</definedName>
    <definedName name="Print_Area2" localSheetId="11">#REF!</definedName>
    <definedName name="Print_Area2" localSheetId="12">#REF!</definedName>
    <definedName name="Print_Area2" localSheetId="4">#REF!</definedName>
    <definedName name="Print_Area2">#REF!</definedName>
    <definedName name="Print_Area3" localSheetId="2">#REF!</definedName>
    <definedName name="Print_Area3" localSheetId="14">#REF!</definedName>
    <definedName name="Print_Area3" localSheetId="15">#REF!</definedName>
    <definedName name="Print_Area3" localSheetId="10">#REF!</definedName>
    <definedName name="Print_Area3" localSheetId="6">#REF!</definedName>
    <definedName name="Print_Area3" localSheetId="18">#REF!</definedName>
    <definedName name="Print_Area3" localSheetId="11">#REF!</definedName>
    <definedName name="Print_Area3" localSheetId="12">#REF!</definedName>
    <definedName name="Print_Area3" localSheetId="4">#REF!</definedName>
    <definedName name="Print_Area3">#REF!</definedName>
    <definedName name="Print_Area5" localSheetId="2">#REF!</definedName>
    <definedName name="Print_Area5" localSheetId="14">#REF!</definedName>
    <definedName name="Print_Area5" localSheetId="15">#REF!</definedName>
    <definedName name="Print_Area5" localSheetId="10">#REF!</definedName>
    <definedName name="Print_Area5" localSheetId="6">#REF!</definedName>
    <definedName name="Print_Area5" localSheetId="18">#REF!</definedName>
    <definedName name="Print_Area5" localSheetId="11">#REF!</definedName>
    <definedName name="Print_Area5" localSheetId="12">#REF!</definedName>
    <definedName name="Print_Area5" localSheetId="4">#REF!</definedName>
    <definedName name="Print_Area5">#REF!</definedName>
    <definedName name="_xlnm.Print_Titles" localSheetId="22">'12.31.16 BS'!$D:$H,'12.31.16 BS'!$7:$13</definedName>
    <definedName name="_xlnm.Print_Titles" localSheetId="21">'12.31.17 BS'!$D:$H,'12.31.17 BS'!$7:$13</definedName>
    <definedName name="_xlnm.Print_Titles" localSheetId="1">'2025 IS'!$D:$H,'2025 IS'!$6:$13</definedName>
    <definedName name="_xlnm.Print_Titles" localSheetId="2">'Bingen Consolidated IS'!$A:$B,'Bingen Consolidated IS'!$1:$8</definedName>
    <definedName name="_xlnm.Print_Titles" localSheetId="17">'Corp OH'!$7:$12</definedName>
    <definedName name="_xlnm.Print_Titles" localSheetId="9">'G-48 Price Out'!$1:$6</definedName>
    <definedName name="_xlnm.Print_Titles" localSheetId="10">'G-51 Price Out'!$1:$6</definedName>
    <definedName name="_xlnm.Print_Titles" localSheetId="23">'IS End 1.31.18'!$A:$E,'IS End 1.31.18'!$1:$7</definedName>
    <definedName name="_xlnm.Print_Titles" localSheetId="13">'Payroll Schedule'!$A:$D,'Payroll Schedule'!$1:$3</definedName>
    <definedName name="_xlnm.Print_Titles" localSheetId="11">'Rate Schedule G-48'!$5:$5</definedName>
    <definedName name="_xlnm.Print_Titles" localSheetId="12">'Rate Schedule G-51'!$5:$5</definedName>
    <definedName name="_xlnm.Print_Titles" localSheetId="16">'Region OH Calc'!$1:$3</definedName>
    <definedName name="_xlnm.Print_Titles" localSheetId="4">'Restating Adj''s'!$1:$3</definedName>
    <definedName name="Print1" localSheetId="2">#REF!</definedName>
    <definedName name="Print1" localSheetId="17">#REF!</definedName>
    <definedName name="Print1" localSheetId="14">#REF!</definedName>
    <definedName name="Print1" localSheetId="15">#REF!</definedName>
    <definedName name="Print1" localSheetId="10">#REF!</definedName>
    <definedName name="Print1" localSheetId="6">#REF!</definedName>
    <definedName name="Print1" localSheetId="18">#REF!</definedName>
    <definedName name="Print1" localSheetId="11">#REF!</definedName>
    <definedName name="Print1" localSheetId="12">#REF!</definedName>
    <definedName name="Print1" localSheetId="4">#REF!</definedName>
    <definedName name="Print1">#REF!</definedName>
    <definedName name="Print2" localSheetId="2">#REF!</definedName>
    <definedName name="Print2" localSheetId="14">#REF!</definedName>
    <definedName name="Print2" localSheetId="15">#REF!</definedName>
    <definedName name="Print2" localSheetId="10">#REF!</definedName>
    <definedName name="Print2" localSheetId="6">#REF!</definedName>
    <definedName name="Print2" localSheetId="18">#REF!</definedName>
    <definedName name="Print2" localSheetId="11">#REF!</definedName>
    <definedName name="Print2" localSheetId="12">#REF!</definedName>
    <definedName name="Print2" localSheetId="4">#REF!</definedName>
    <definedName name="Print2">#REF!</definedName>
    <definedName name="Print5" localSheetId="2">#REF!</definedName>
    <definedName name="Print5" localSheetId="14">#REF!</definedName>
    <definedName name="Print5" localSheetId="15">#REF!</definedName>
    <definedName name="Print5" localSheetId="10">#REF!</definedName>
    <definedName name="Print5" localSheetId="6">#REF!</definedName>
    <definedName name="Print5" localSheetId="18">#REF!</definedName>
    <definedName name="Print5" localSheetId="11">#REF!</definedName>
    <definedName name="Print5" localSheetId="12">#REF!</definedName>
    <definedName name="Print5" localSheetId="4">#REF!</definedName>
    <definedName name="Print5">#REF!</definedName>
    <definedName name="ProRev" localSheetId="15">'[8]Pacific Regulated - Price Out'!$M$49</definedName>
    <definedName name="ProRev" localSheetId="18">'[8]Pacific Regulated - Price Out'!$M$49</definedName>
    <definedName name="ProRev" localSheetId="11">'[9]Pacific Regulated - Price Out'!$M$49</definedName>
    <definedName name="ProRev" localSheetId="12">'[9]Pacific Regulated - Price Out'!$M$49</definedName>
    <definedName name="ProRev" localSheetId="0">'[9]Pacific Regulated - Price Out'!$M$49</definedName>
    <definedName name="ProRev">'[10]Pacific Regulated - Price Out'!$M$49</definedName>
    <definedName name="ProRev_com" localSheetId="15">'[8]Pacific Regulated - Price Out'!$M$213</definedName>
    <definedName name="ProRev_com" localSheetId="18">'[8]Pacific Regulated - Price Out'!$M$213</definedName>
    <definedName name="ProRev_com" localSheetId="11">'[9]Pacific Regulated - Price Out'!$M$213</definedName>
    <definedName name="ProRev_com" localSheetId="12">'[9]Pacific Regulated - Price Out'!$M$213</definedName>
    <definedName name="ProRev_com" localSheetId="0">'[9]Pacific Regulated - Price Out'!$M$213</definedName>
    <definedName name="ProRev_com">'[10]Pacific Regulated - Price Out'!$M$213</definedName>
    <definedName name="ProRev_mfr" localSheetId="15">'[8]Pacific Regulated - Price Out'!$M$221</definedName>
    <definedName name="ProRev_mfr" localSheetId="18">'[8]Pacific Regulated - Price Out'!$M$221</definedName>
    <definedName name="ProRev_mfr" localSheetId="11">'[9]Pacific Regulated - Price Out'!$M$221</definedName>
    <definedName name="ProRev_mfr" localSheetId="12">'[9]Pacific Regulated - Price Out'!$M$221</definedName>
    <definedName name="ProRev_mfr" localSheetId="0">'[9]Pacific Regulated - Price Out'!$M$221</definedName>
    <definedName name="ProRev_mfr">'[10]Pacific Regulated - Price Out'!$M$221</definedName>
    <definedName name="ProRev_ro" localSheetId="15">'[8]Pacific Regulated - Price Out'!$M$281</definedName>
    <definedName name="ProRev_ro" localSheetId="18">'[8]Pacific Regulated - Price Out'!$M$281</definedName>
    <definedName name="ProRev_ro" localSheetId="11">'[9]Pacific Regulated - Price Out'!$M$281</definedName>
    <definedName name="ProRev_ro" localSheetId="12">'[9]Pacific Regulated - Price Out'!$M$281</definedName>
    <definedName name="ProRev_ro" localSheetId="0">'[9]Pacific Regulated - Price Out'!$M$281</definedName>
    <definedName name="ProRev_ro">'[10]Pacific Regulated - Price Out'!$M$281</definedName>
    <definedName name="ProRev_rr" localSheetId="15">'[8]Pacific Regulated - Price Out'!$M$58</definedName>
    <definedName name="ProRev_rr" localSheetId="18">'[8]Pacific Regulated - Price Out'!$M$58</definedName>
    <definedName name="ProRev_rr" localSheetId="11">'[9]Pacific Regulated - Price Out'!$M$58</definedName>
    <definedName name="ProRev_rr" localSheetId="12">'[9]Pacific Regulated - Price Out'!$M$58</definedName>
    <definedName name="ProRev_rr" localSheetId="0">'[9]Pacific Regulated - Price Out'!$M$58</definedName>
    <definedName name="ProRev_rr">'[10]Pacific Regulated - Price Out'!$M$58</definedName>
    <definedName name="ProRev_yw" localSheetId="15">'[8]Pacific Regulated - Price Out'!$M$69</definedName>
    <definedName name="ProRev_yw" localSheetId="18">'[8]Pacific Regulated - Price Out'!$M$69</definedName>
    <definedName name="ProRev_yw" localSheetId="11">'[9]Pacific Regulated - Price Out'!$M$69</definedName>
    <definedName name="ProRev_yw" localSheetId="12">'[9]Pacific Regulated - Price Out'!$M$69</definedName>
    <definedName name="ProRev_yw" localSheetId="0">'[9]Pacific Regulated - Price Out'!$M$69</definedName>
    <definedName name="ProRev_yw">'[10]Pacific Regulated - Price Out'!$M$69</definedName>
    <definedName name="pServer" localSheetId="17">#REF!</definedName>
    <definedName name="pServer" localSheetId="15">#REF!</definedName>
    <definedName name="pServer" localSheetId="10">#REF!</definedName>
    <definedName name="pServer" localSheetId="6">#REF!</definedName>
    <definedName name="pServer" localSheetId="18">#REF!</definedName>
    <definedName name="pServer" localSheetId="11">#REF!</definedName>
    <definedName name="pServer" localSheetId="12">#REF!</definedName>
    <definedName name="pServer" localSheetId="0">#REF!</definedName>
    <definedName name="pServer" localSheetId="4">#REF!</definedName>
    <definedName name="pServer">#REF!</definedName>
    <definedName name="pServiceCode" localSheetId="17">#REF!</definedName>
    <definedName name="pServiceCode" localSheetId="15">#REF!</definedName>
    <definedName name="pServiceCode" localSheetId="10">#REF!</definedName>
    <definedName name="pServiceCode" localSheetId="6">#REF!</definedName>
    <definedName name="pServiceCode" localSheetId="18">#REF!</definedName>
    <definedName name="pServiceCode" localSheetId="11">#REF!</definedName>
    <definedName name="pServiceCode" localSheetId="12">#REF!</definedName>
    <definedName name="pServiceCode" localSheetId="0">#REF!</definedName>
    <definedName name="pServiceCode" localSheetId="4">#REF!</definedName>
    <definedName name="pServiceCode">#REF!</definedName>
    <definedName name="pShowAllUnposted" localSheetId="17">#REF!</definedName>
    <definedName name="pShowAllUnposted" localSheetId="15">#REF!</definedName>
    <definedName name="pShowAllUnposted" localSheetId="10">#REF!</definedName>
    <definedName name="pShowAllUnposted" localSheetId="6">#REF!</definedName>
    <definedName name="pShowAllUnposted" localSheetId="18">#REF!</definedName>
    <definedName name="pShowAllUnposted" localSheetId="11">#REF!</definedName>
    <definedName name="pShowAllUnposted" localSheetId="12">#REF!</definedName>
    <definedName name="pShowAllUnposted" localSheetId="0">#REF!</definedName>
    <definedName name="pShowAllUnposted" localSheetId="4">#REF!</definedName>
    <definedName name="pShowAllUnposted">#REF!</definedName>
    <definedName name="pShowCustomerDetail" localSheetId="15">#REF!</definedName>
    <definedName name="pShowCustomerDetail" localSheetId="10">#REF!</definedName>
    <definedName name="pShowCustomerDetail" localSheetId="6">#REF!</definedName>
    <definedName name="pShowCustomerDetail" localSheetId="18">#REF!</definedName>
    <definedName name="pShowCustomerDetail" localSheetId="11">#REF!</definedName>
    <definedName name="pShowCustomerDetail" localSheetId="12">#REF!</definedName>
    <definedName name="pShowCustomerDetail" localSheetId="4">#REF!</definedName>
    <definedName name="pShowCustomerDetail">#REF!</definedName>
    <definedName name="pSortOption" localSheetId="15">#REF!</definedName>
    <definedName name="pSortOption" localSheetId="10">#REF!</definedName>
    <definedName name="pSortOption" localSheetId="6">#REF!</definedName>
    <definedName name="pSortOption" localSheetId="18">#REF!</definedName>
    <definedName name="pSortOption" localSheetId="11">#REF!</definedName>
    <definedName name="pSortOption" localSheetId="12">#REF!</definedName>
    <definedName name="pSortOption" localSheetId="4">#REF!</definedName>
    <definedName name="pSortOption">#REF!</definedName>
    <definedName name="pStartPostDate" localSheetId="15">#REF!</definedName>
    <definedName name="pStartPostDate" localSheetId="10">#REF!</definedName>
    <definedName name="pStartPostDate" localSheetId="6">#REF!</definedName>
    <definedName name="pStartPostDate" localSheetId="18">#REF!</definedName>
    <definedName name="pStartPostDate" localSheetId="11">#REF!</definedName>
    <definedName name="pStartPostDate" localSheetId="12">#REF!</definedName>
    <definedName name="pStartPostDate" localSheetId="4">#REF!</definedName>
    <definedName name="pStartPostDate">#REF!</definedName>
    <definedName name="pTransType" localSheetId="15">#REF!</definedName>
    <definedName name="pTransType" localSheetId="10">#REF!</definedName>
    <definedName name="pTransType" localSheetId="6">#REF!</definedName>
    <definedName name="pTransType" localSheetId="18">#REF!</definedName>
    <definedName name="pTransType" localSheetId="11">#REF!</definedName>
    <definedName name="pTransType" localSheetId="12">#REF!</definedName>
    <definedName name="pTransType" localSheetId="4">#REF!</definedName>
    <definedName name="pTransType">#REF!</definedName>
    <definedName name="RCW_81.04.080">#N/A</definedName>
    <definedName name="RecyDisposal">#N/A</definedName>
    <definedName name="Reg_Cust_Billed_Percent" localSheetId="18">'[29]Consolidated IS 2009 2010'!$AK$20</definedName>
    <definedName name="Reg_Cust_Billed_Percent">'[30]Consolidated IS 2009 2010'!$AK$20</definedName>
    <definedName name="Reg_Cust_Percent" localSheetId="18">'[29]Consolidated IS 2009 2010'!$AC$20</definedName>
    <definedName name="Reg_Cust_Percent">'[30]Consolidated IS 2009 2010'!$AC$20</definedName>
    <definedName name="Reg_Drive_Percent" localSheetId="18">'[29]Consolidated IS 2009 2010'!$AC$40</definedName>
    <definedName name="Reg_Drive_Percent">'[30]Consolidated IS 2009 2010'!$AC$40</definedName>
    <definedName name="Reg_Haul_Rev_Percent" localSheetId="18">'[29]Consolidated IS 2009 2010'!$Z$18</definedName>
    <definedName name="Reg_Haul_Rev_Percent">'[30]Consolidated IS 2009 2010'!$Z$18</definedName>
    <definedName name="Reg_Lab_Percent" localSheetId="18">'[29]Consolidated IS 2009 2010'!$AC$39</definedName>
    <definedName name="Reg_Lab_Percent">'[30]Consolidated IS 2009 2010'!$AC$39</definedName>
    <definedName name="Reg_Steel_Cont_Percent" localSheetId="18">'[29]Consolidated IS 2009 2010'!$AE$120</definedName>
    <definedName name="Reg_Steel_Cont_Percent">'[30]Consolidated IS 2009 2010'!$AE$120</definedName>
    <definedName name="RegulatedIS" localSheetId="18">'[29]2009 IS'!$A$12:$Q$655</definedName>
    <definedName name="RegulatedIS">'[30]2009 IS'!$A$12:$Q$655</definedName>
    <definedName name="RelatedSalary">#N/A</definedName>
    <definedName name="report_type">[1]Orientation!$C$24</definedName>
    <definedName name="ReportNames" localSheetId="2">[15]ControlPanel!$X$2:$X$8</definedName>
    <definedName name="ReportNames" localSheetId="0">[15]ControlPanel!$X$2:$X$8</definedName>
    <definedName name="ReportNames">[31]ControlPanel!$S$2:$S$16</definedName>
    <definedName name="ReportVersion">[1]Settings!$D$5</definedName>
    <definedName name="ReslStaffPriceOut" localSheetId="17">'[14]Price Out-Reg EASTSIDE-Resi'!#REF!</definedName>
    <definedName name="ReslStaffPriceOut" localSheetId="18">'[14]Price Out-Reg EASTSIDE-Resi'!#REF!</definedName>
    <definedName name="ReslStaffPriceOut" localSheetId="0">'[14]Price Out-Reg EASTSIDE-Resi'!#REF!</definedName>
    <definedName name="ReslStaffPriceOut">'[14]Price Out-Reg EASTSIDE-Resi'!#REF!</definedName>
    <definedName name="RetainedEarnings" localSheetId="2">#REF!</definedName>
    <definedName name="RetainedEarnings" localSheetId="17">#REF!</definedName>
    <definedName name="RetainedEarnings" localSheetId="14">#REF!</definedName>
    <definedName name="RetainedEarnings" localSheetId="15">#REF!</definedName>
    <definedName name="RetainedEarnings" localSheetId="10">#REF!</definedName>
    <definedName name="RetainedEarnings" localSheetId="6">#REF!</definedName>
    <definedName name="RetainedEarnings" localSheetId="18">#REF!</definedName>
    <definedName name="RetainedEarnings" localSheetId="11">#REF!</definedName>
    <definedName name="RetainedEarnings" localSheetId="12">#REF!</definedName>
    <definedName name="RetainedEarnings" localSheetId="0">#REF!</definedName>
    <definedName name="RetainedEarnings" localSheetId="4">#REF!</definedName>
    <definedName name="RetainedEarnings">#REF!</definedName>
    <definedName name="RevCust" localSheetId="17">[32]RevenuesCust!#REF!</definedName>
    <definedName name="RevCust" localSheetId="14">[33]RevenuesCust!#REF!</definedName>
    <definedName name="RevCust" localSheetId="15">[34]RevenuesCust!#REF!</definedName>
    <definedName name="RevCust" localSheetId="10">[35]RevenuesCust!#REF!</definedName>
    <definedName name="RevCust" localSheetId="6">'[36]RevenuesCust, pg 8'!#REF!</definedName>
    <definedName name="RevCust" localSheetId="18">[34]RevenuesCust!#REF!</definedName>
    <definedName name="RevCust" localSheetId="11">[33]RevenuesCust!#REF!</definedName>
    <definedName name="RevCust" localSheetId="12">[33]RevenuesCust!#REF!</definedName>
    <definedName name="RevCust" localSheetId="0">[35]RevenuesCust!#REF!</definedName>
    <definedName name="RevCust">[32]RevenuesCust!#REF!</definedName>
    <definedName name="RevCustomer" localSheetId="17">#REF!</definedName>
    <definedName name="RevCustomer" localSheetId="15">#REF!</definedName>
    <definedName name="RevCustomer" localSheetId="18">#REF!</definedName>
    <definedName name="RevCustomer" localSheetId="11">#REF!</definedName>
    <definedName name="RevCustomer" localSheetId="12">#REF!</definedName>
    <definedName name="RevCustomer" localSheetId="0">#REF!</definedName>
    <definedName name="RevCustomer" localSheetId="4">#REF!</definedName>
    <definedName name="RevCustomer">#REF!</definedName>
    <definedName name="rngCreateLog">[1]Delivery!$B$12</definedName>
    <definedName name="rngFilePassword">[1]Delivery!$B$6</definedName>
    <definedName name="rngSourceTab">[1]Delivery!$E$8</definedName>
    <definedName name="rowgroup">[1]Orientation!$C$17</definedName>
    <definedName name="rowsegment">[1]Orientation!$B$17</definedName>
    <definedName name="Sequential_Group">[1]Settings!$J$6</definedName>
    <definedName name="Sequential_Segment">[1]Settings!$I$6</definedName>
    <definedName name="Sequential_sort">[1]Settings!$I$10:$J$11</definedName>
    <definedName name="sortcol" localSheetId="2">'[26]IS-2120'!#REF!</definedName>
    <definedName name="sortcol" localSheetId="17">#REF!</definedName>
    <definedName name="sortcol" localSheetId="14">#REF!</definedName>
    <definedName name="sortcol" localSheetId="15">#REF!</definedName>
    <definedName name="sortcol" localSheetId="10">#REF!</definedName>
    <definedName name="sortcol" localSheetId="6">#REF!</definedName>
    <definedName name="sortcol" localSheetId="18">#REF!</definedName>
    <definedName name="sortcol" localSheetId="5">#REF!</definedName>
    <definedName name="sortcol" localSheetId="11">#REF!</definedName>
    <definedName name="sortcol" localSheetId="12">#REF!</definedName>
    <definedName name="sortcol" localSheetId="0">#REF!</definedName>
    <definedName name="sortcol" localSheetId="4">#REF!</definedName>
    <definedName name="sortcol">#REF!</definedName>
    <definedName name="sSRCDate" localSheetId="17">'[37]Feb''12 FAR Data'!#REF!</definedName>
    <definedName name="sSRCDate" localSheetId="15">'[38]Feb''12 FAR Data'!#REF!</definedName>
    <definedName name="sSRCDate" localSheetId="10">'[38]Feb''12 FAR Data'!#REF!</definedName>
    <definedName name="sSRCDate" localSheetId="6">'[39]Feb''12 FAR Data'!#REF!</definedName>
    <definedName name="sSRCDate" localSheetId="18">'[38]Feb''12 FAR Data'!#REF!</definedName>
    <definedName name="sSRCDate" localSheetId="11">'[40]Feb''12 FAR Data'!#REF!</definedName>
    <definedName name="sSRCDate" localSheetId="12">'[40]Feb''12 FAR Data'!#REF!</definedName>
    <definedName name="sSRCDate" localSheetId="0">'[38]Feb''12 FAR Data'!#REF!</definedName>
    <definedName name="sSRCDate" localSheetId="4">'[38]Feb''12 FAR Data'!#REF!</definedName>
    <definedName name="sSRCDate">'[37]Feb''12 FAR Data'!#REF!</definedName>
    <definedName name="SubSystems" localSheetId="15">#REF!</definedName>
    <definedName name="SubSystems" localSheetId="13">#REF!</definedName>
    <definedName name="SubSystems" localSheetId="12">#REF!</definedName>
    <definedName name="Supplemental_filter">[1]Settings!$C$31</definedName>
    <definedName name="SWDisposal">#N/A</definedName>
    <definedName name="System" localSheetId="22">'12.31.16 BS'!$V$8</definedName>
    <definedName name="System" localSheetId="21">'12.31.17 BS'!$V$6</definedName>
    <definedName name="System" localSheetId="1">'2025 IS'!$R$7</definedName>
    <definedName name="System" localSheetId="17">#REF!</definedName>
    <definedName name="System" localSheetId="15">[41]BS_Close!$V$8</definedName>
    <definedName name="System" localSheetId="23">'IS End 1.31.18'!$O$2</definedName>
    <definedName name="System" localSheetId="18">'[42]Yakima BS'!#REF!</definedName>
    <definedName name="System" localSheetId="5">[41]BS_Close!$V$8</definedName>
    <definedName name="System" localSheetId="0">[41]BS_Close!$V$8</definedName>
    <definedName name="System" localSheetId="16">'Region OH Calc'!$O$2</definedName>
    <definedName name="System">#REF!</definedName>
    <definedName name="Systems" localSheetId="15">#REF!</definedName>
    <definedName name="Systems" localSheetId="13">#REF!</definedName>
    <definedName name="Systems" localSheetId="12">#REF!</definedName>
    <definedName name="TemplateEnd" localSheetId="17">#REF!</definedName>
    <definedName name="TemplateEnd" localSheetId="15">#REF!</definedName>
    <definedName name="TemplateEnd" localSheetId="10">#REF!</definedName>
    <definedName name="TemplateEnd" localSheetId="6">#REF!</definedName>
    <definedName name="TemplateEnd" localSheetId="18">#REF!</definedName>
    <definedName name="TemplateEnd" localSheetId="11">#REF!</definedName>
    <definedName name="TemplateEnd" localSheetId="12">#REF!</definedName>
    <definedName name="TemplateEnd" localSheetId="0">#REF!</definedName>
    <definedName name="TemplateEnd" localSheetId="4">#REF!</definedName>
    <definedName name="TemplateEnd">#REF!</definedName>
    <definedName name="TemplateStart" localSheetId="17">#REF!</definedName>
    <definedName name="TemplateStart" localSheetId="15">#REF!</definedName>
    <definedName name="TemplateStart" localSheetId="10">#REF!</definedName>
    <definedName name="TemplateStart" localSheetId="6">#REF!</definedName>
    <definedName name="TemplateStart" localSheetId="18">#REF!</definedName>
    <definedName name="TemplateStart" localSheetId="11">#REF!</definedName>
    <definedName name="TemplateStart" localSheetId="12">#REF!</definedName>
    <definedName name="TemplateStart" localSheetId="0">#REF!</definedName>
    <definedName name="TemplateStart" localSheetId="4">#REF!</definedName>
    <definedName name="TemplateStart">#REF!</definedName>
    <definedName name="TheTable" localSheetId="2">#REF!</definedName>
    <definedName name="TheTable" localSheetId="15">#REF!</definedName>
    <definedName name="TheTable" localSheetId="10">#REF!</definedName>
    <definedName name="TheTable" localSheetId="6">#REF!</definedName>
    <definedName name="TheTable" localSheetId="18">#REF!</definedName>
    <definedName name="TheTable" localSheetId="13">#REF!</definedName>
    <definedName name="TheTable" localSheetId="11">#REF!</definedName>
    <definedName name="TheTable" localSheetId="12">#REF!</definedName>
    <definedName name="TheTable" localSheetId="0">#REF!</definedName>
    <definedName name="TheTable" localSheetId="4">#REF!</definedName>
    <definedName name="TheTable">#REF!</definedName>
    <definedName name="TheTableOLD" localSheetId="2">#REF!</definedName>
    <definedName name="TheTableOLD" localSheetId="14">#REF!</definedName>
    <definedName name="TheTableOLD" localSheetId="15">#REF!</definedName>
    <definedName name="TheTableOLD" localSheetId="10">#REF!</definedName>
    <definedName name="TheTableOLD" localSheetId="6">#REF!</definedName>
    <definedName name="TheTableOLD" localSheetId="18">#REF!</definedName>
    <definedName name="TheTableOLD" localSheetId="13">#REF!</definedName>
    <definedName name="TheTableOLD" localSheetId="11">#REF!</definedName>
    <definedName name="TheTableOLD" localSheetId="12">#REF!</definedName>
    <definedName name="TheTableOLD" localSheetId="4">#REF!</definedName>
    <definedName name="TheTableOLD">#REF!</definedName>
    <definedName name="timeseries">[1]Orientation!$B$6:$C$13</definedName>
    <definedName name="ToMonth" localSheetId="15">#REF!</definedName>
    <definedName name="ToMonth" localSheetId="13">#REF!</definedName>
    <definedName name="ToMonth" localSheetId="12">#REF!</definedName>
    <definedName name="Tons" localSheetId="17">#REF!</definedName>
    <definedName name="Tons" localSheetId="18">#REF!</definedName>
    <definedName name="Tons" localSheetId="5">#REF!</definedName>
    <definedName name="Tons">#REF!</definedName>
    <definedName name="Total_Comm" localSheetId="15">'[11]Tariff Rate Sheet'!$L$214</definedName>
    <definedName name="Total_Comm" localSheetId="18">'[11]Tariff Rate Sheet'!$L$214</definedName>
    <definedName name="Total_Comm" localSheetId="11">'[12]Tariff Rate Sheet'!$L$214</definedName>
    <definedName name="Total_Comm" localSheetId="12">'[12]Tariff Rate Sheet'!$L$214</definedName>
    <definedName name="Total_Comm" localSheetId="0">'[12]Tariff Rate Sheet'!$L$214</definedName>
    <definedName name="Total_Comm">'[13]Tariff Rate Sheet'!$L$214</definedName>
    <definedName name="Total_DB" localSheetId="15">'[11]Tariff Rate Sheet'!$L$278</definedName>
    <definedName name="Total_DB" localSheetId="18">'[11]Tariff Rate Sheet'!$L$278</definedName>
    <definedName name="Total_DB" localSheetId="11">'[12]Tariff Rate Sheet'!$L$278</definedName>
    <definedName name="Total_DB" localSheetId="12">'[12]Tariff Rate Sheet'!$L$278</definedName>
    <definedName name="Total_DB" localSheetId="0">'[12]Tariff Rate Sheet'!$L$278</definedName>
    <definedName name="Total_DB">'[13]Tariff Rate Sheet'!$L$278</definedName>
    <definedName name="Total_Resi" localSheetId="15">'[11]Tariff Rate Sheet'!$L$107</definedName>
    <definedName name="Total_Resi" localSheetId="18">'[11]Tariff Rate Sheet'!$L$107</definedName>
    <definedName name="Total_Resi" localSheetId="11">'[12]Tariff Rate Sheet'!$L$107</definedName>
    <definedName name="Total_Resi" localSheetId="12">'[12]Tariff Rate Sheet'!$L$107</definedName>
    <definedName name="Total_Resi" localSheetId="0">'[12]Tariff Rate Sheet'!$L$107</definedName>
    <definedName name="Total_Resi">'[13]Tariff Rate Sheet'!$L$107</definedName>
    <definedName name="Transactions" localSheetId="17">#REF!</definedName>
    <definedName name="Transactions" localSheetId="15">#REF!</definedName>
    <definedName name="Transactions" localSheetId="10">#REF!</definedName>
    <definedName name="Transactions" localSheetId="6">#REF!</definedName>
    <definedName name="Transactions" localSheetId="18">#REF!</definedName>
    <definedName name="Transactions" localSheetId="11">#REF!</definedName>
    <definedName name="Transactions" localSheetId="12">#REF!</definedName>
    <definedName name="Transactions" localSheetId="0">#REF!</definedName>
    <definedName name="Transactions" localSheetId="4">#REF!</definedName>
    <definedName name="Transactions">#REF!</definedName>
    <definedName name="UnregulatedIS" localSheetId="18">'[29]2010 IS'!$A$12:$Q$654</definedName>
    <definedName name="UnregulatedIS">'[30]2010 IS'!$A$12:$Q$654</definedName>
    <definedName name="VendorCode" localSheetId="15">#REF!</definedName>
    <definedName name="VendorCode" localSheetId="13">#REF!</definedName>
    <definedName name="VendorCode" localSheetId="12">#REF!</definedName>
    <definedName name="Version" localSheetId="17">[22]Data!#REF!</definedName>
    <definedName name="Version" localSheetId="15">[20]Data!#REF!</definedName>
    <definedName name="Version" localSheetId="18">[20]Data!#REF!</definedName>
    <definedName name="Version" localSheetId="5">[22]Data!#REF!</definedName>
    <definedName name="Version" localSheetId="11">[21]Data!#REF!</definedName>
    <definedName name="Version" localSheetId="12">[21]Data!#REF!</definedName>
    <definedName name="Version" localSheetId="0">[22]Data!#REF!</definedName>
    <definedName name="Version" localSheetId="4">[22]Data!#REF!</definedName>
    <definedName name="Version">[22]Data!#REF!</definedName>
    <definedName name="wrn.PrintReview." localSheetId="17" hidden="1">{#N/A,#N/A,TRUE,"SUMM";#N/A,#N/A,TRUE,"Rev";#N/A,#N/A,TRUE,"Dir_Costs";#N/A,#N/A,TRUE,"G and A Costs";#N/A,#N/A,TRUE,"Itemize";#N/A,#N/A,TRUE,"Cust_Count1";#N/A,#N/A,TRUE,"Cust_Count2";#N/A,#N/A,TRUE,"Rev_Breakdown";#N/A,#N/A,TRUE,"Truck Hours";#N/A,#N/A,TRUE,"Labor Hours";#N/A,#N/A,TRUE,"Container Breakdown";#N/A,#N/A,TRUE,"Cart Breakdown"}</definedName>
    <definedName name="wrn.PrintReview." localSheetId="18" hidden="1">{#N/A,#N/A,TRUE,"SUMM";#N/A,#N/A,TRUE,"Rev";#N/A,#N/A,TRUE,"Dir_Costs";#N/A,#N/A,TRUE,"G and A Costs";#N/A,#N/A,TRUE,"Itemize";#N/A,#N/A,TRUE,"Cust_Count1";#N/A,#N/A,TRUE,"Cust_Count2";#N/A,#N/A,TRUE,"Rev_Breakdown";#N/A,#N/A,TRUE,"Truck Hours";#N/A,#N/A,TRUE,"Labor Hours";#N/A,#N/A,TRUE,"Container Breakdown";#N/A,#N/A,TRUE,"Cart Breakdown"}</definedName>
    <definedName name="wrn.PrintReview." localSheetId="5" hidden="1">{#N/A,#N/A,TRUE,"SUMM";#N/A,#N/A,TRUE,"Rev";#N/A,#N/A,TRUE,"Dir_Costs";#N/A,#N/A,TRUE,"G and A Costs";#N/A,#N/A,TRUE,"Itemize";#N/A,#N/A,TRUE,"Cust_Count1";#N/A,#N/A,TRUE,"Cust_Count2";#N/A,#N/A,TRUE,"Rev_Breakdown";#N/A,#N/A,TRUE,"Truck Hours";#N/A,#N/A,TRUE,"Labor Hours";#N/A,#N/A,TRUE,"Container Breakdown";#N/A,#N/A,TRUE,"Cart Breakdown"}</definedName>
    <definedName name="wrn.PrintReview." localSheetId="0" hidden="1">{#N/A,#N/A,TRUE,"SUMM";#N/A,#N/A,TRUE,"Rev";#N/A,#N/A,TRUE,"Dir_Costs";#N/A,#N/A,TRUE,"G and A Costs";#N/A,#N/A,TRUE,"Itemize";#N/A,#N/A,TRUE,"Cust_Count1";#N/A,#N/A,TRUE,"Cust_Count2";#N/A,#N/A,TRUE,"Rev_Breakdown";#N/A,#N/A,TRUE,"Truck Hours";#N/A,#N/A,TRUE,"Labor Hours";#N/A,#N/A,TRUE,"Container Breakdown";#N/A,#N/A,TRUE,"Cart Breakdown"}</definedName>
    <definedName name="wrn.PrintReview." hidden="1">{#N/A,#N/A,TRUE,"SUMM";#N/A,#N/A,TRUE,"Rev";#N/A,#N/A,TRUE,"Dir_Costs";#N/A,#N/A,TRUE,"G and A Costs";#N/A,#N/A,TRUE,"Itemize";#N/A,#N/A,TRUE,"Cust_Count1";#N/A,#N/A,TRUE,"Cust_Count2";#N/A,#N/A,TRUE,"Rev_Breakdown";#N/A,#N/A,TRUE,"Truck Hours";#N/A,#N/A,TRUE,"Labor Hours";#N/A,#N/A,TRUE,"Container Breakdown";#N/A,#N/A,TRUE,"Cart Breakdown"}</definedName>
    <definedName name="wrn.PrintReview2" localSheetId="17" hidden="1">{#N/A,#N/A,TRUE,"SUMM";#N/A,#N/A,TRUE,"Rev";#N/A,#N/A,TRUE,"Dir_Costs";#N/A,#N/A,TRUE,"G and A Costs";#N/A,#N/A,TRUE,"Itemize";#N/A,#N/A,TRUE,"Cust_Count1";#N/A,#N/A,TRUE,"Cust_Count2";#N/A,#N/A,TRUE,"Rev_Breakdown";#N/A,#N/A,TRUE,"Truck Hours";#N/A,#N/A,TRUE,"Labor Hours";#N/A,#N/A,TRUE,"Container Breakdown";#N/A,#N/A,TRUE,"Cart Breakdown"}</definedName>
    <definedName name="wrn.PrintReview2" localSheetId="18" hidden="1">{#N/A,#N/A,TRUE,"SUMM";#N/A,#N/A,TRUE,"Rev";#N/A,#N/A,TRUE,"Dir_Costs";#N/A,#N/A,TRUE,"G and A Costs";#N/A,#N/A,TRUE,"Itemize";#N/A,#N/A,TRUE,"Cust_Count1";#N/A,#N/A,TRUE,"Cust_Count2";#N/A,#N/A,TRUE,"Rev_Breakdown";#N/A,#N/A,TRUE,"Truck Hours";#N/A,#N/A,TRUE,"Labor Hours";#N/A,#N/A,TRUE,"Container Breakdown";#N/A,#N/A,TRUE,"Cart Breakdown"}</definedName>
    <definedName name="wrn.PrintReview2" localSheetId="5" hidden="1">{#N/A,#N/A,TRUE,"SUMM";#N/A,#N/A,TRUE,"Rev";#N/A,#N/A,TRUE,"Dir_Costs";#N/A,#N/A,TRUE,"G and A Costs";#N/A,#N/A,TRUE,"Itemize";#N/A,#N/A,TRUE,"Cust_Count1";#N/A,#N/A,TRUE,"Cust_Count2";#N/A,#N/A,TRUE,"Rev_Breakdown";#N/A,#N/A,TRUE,"Truck Hours";#N/A,#N/A,TRUE,"Labor Hours";#N/A,#N/A,TRUE,"Container Breakdown";#N/A,#N/A,TRUE,"Cart Breakdown"}</definedName>
    <definedName name="wrn.PrintReview2" localSheetId="0" hidden="1">{#N/A,#N/A,TRUE,"SUMM";#N/A,#N/A,TRUE,"Rev";#N/A,#N/A,TRUE,"Dir_Costs";#N/A,#N/A,TRUE,"G and A Costs";#N/A,#N/A,TRUE,"Itemize";#N/A,#N/A,TRUE,"Cust_Count1";#N/A,#N/A,TRUE,"Cust_Count2";#N/A,#N/A,TRUE,"Rev_Breakdown";#N/A,#N/A,TRUE,"Truck Hours";#N/A,#N/A,TRUE,"Labor Hours";#N/A,#N/A,TRUE,"Container Breakdown";#N/A,#N/A,TRUE,"Cart Breakdown"}</definedName>
    <definedName name="wrn.PrintReview2" hidden="1">{#N/A,#N/A,TRUE,"SUMM";#N/A,#N/A,TRUE,"Rev";#N/A,#N/A,TRUE,"Dir_Costs";#N/A,#N/A,TRUE,"G and A Costs";#N/A,#N/A,TRUE,"Itemize";#N/A,#N/A,TRUE,"Cust_Count1";#N/A,#N/A,TRUE,"Cust_Count2";#N/A,#N/A,TRUE,"Rev_Breakdown";#N/A,#N/A,TRUE,"Truck Hours";#N/A,#N/A,TRUE,"Labor Hours";#N/A,#N/A,TRUE,"Container Breakdown";#N/A,#N/A,TRUE,"Cart Breakdown"}</definedName>
    <definedName name="wrn.PrnPg1_Pg11." localSheetId="17" hidden="1">{"Page1",#N/A,TRUE,"SUMM";"Page2",#N/A,TRUE,"Rev";"Page3",#N/A,TRUE,"Dir_Costs";"Page4",#N/A,TRUE,"G and A Costs";"Page5",#N/A,TRUE,"Itemize";"Page6",#N/A,TRUE,"Cust_Count1";"Page7",#N/A,TRUE,"Cust_Count2";"Page8",#N/A,TRUE,"Rev_Breakdown";"Page9",#N/A,TRUE,"Truck Hours";"Page10",#N/A,TRUE,"Labor Hours";"Page11",#N/A,TRUE,"Container Breakdown"}</definedName>
    <definedName name="wrn.PrnPg1_Pg11." localSheetId="18" hidden="1">{"Page1",#N/A,TRUE,"SUMM";"Page2",#N/A,TRUE,"Rev";"Page3",#N/A,TRUE,"Dir_Costs";"Page4",#N/A,TRUE,"G and A Costs";"Page5",#N/A,TRUE,"Itemize";"Page6",#N/A,TRUE,"Cust_Count1";"Page7",#N/A,TRUE,"Cust_Count2";"Page8",#N/A,TRUE,"Rev_Breakdown";"Page9",#N/A,TRUE,"Truck Hours";"Page10",#N/A,TRUE,"Labor Hours";"Page11",#N/A,TRUE,"Container Breakdown"}</definedName>
    <definedName name="wrn.PrnPg1_Pg11." localSheetId="5" hidden="1">{"Page1",#N/A,TRUE,"SUMM";"Page2",#N/A,TRUE,"Rev";"Page3",#N/A,TRUE,"Dir_Costs";"Page4",#N/A,TRUE,"G and A Costs";"Page5",#N/A,TRUE,"Itemize";"Page6",#N/A,TRUE,"Cust_Count1";"Page7",#N/A,TRUE,"Cust_Count2";"Page8",#N/A,TRUE,"Rev_Breakdown";"Page9",#N/A,TRUE,"Truck Hours";"Page10",#N/A,TRUE,"Labor Hours";"Page11",#N/A,TRUE,"Container Breakdown"}</definedName>
    <definedName name="wrn.PrnPg1_Pg11." localSheetId="0" hidden="1">{"Page1",#N/A,TRUE,"SUMM";"Page2",#N/A,TRUE,"Rev";"Page3",#N/A,TRUE,"Dir_Costs";"Page4",#N/A,TRUE,"G and A Costs";"Page5",#N/A,TRUE,"Itemize";"Page6",#N/A,TRUE,"Cust_Count1";"Page7",#N/A,TRUE,"Cust_Count2";"Page8",#N/A,TRUE,"Rev_Breakdown";"Page9",#N/A,TRUE,"Truck Hours";"Page10",#N/A,TRUE,"Labor Hours";"Page11",#N/A,TRUE,"Container Breakdown"}</definedName>
    <definedName name="wrn.PrnPg1_Pg11." hidden="1">{"Page1",#N/A,TRUE,"SUMM";"Page2",#N/A,TRUE,"Rev";"Page3",#N/A,TRUE,"Dir_Costs";"Page4",#N/A,TRUE,"G and A Costs";"Page5",#N/A,TRUE,"Itemize";"Page6",#N/A,TRUE,"Cust_Count1";"Page7",#N/A,TRUE,"Cust_Count2";"Page8",#N/A,TRUE,"Rev_Breakdown";"Page9",#N/A,TRUE,"Truck Hours";"Page10",#N/A,TRUE,"Labor Hours";"Page11",#N/A,TRUE,"Container Breakdown"}</definedName>
    <definedName name="wrn.test." localSheetId="17" hidden="1">{"Page1",#N/A,TRUE,"SUMM";"Page2",#N/A,TRUE,"Rev";"Page3",#N/A,TRUE,"Dir_Costs"}</definedName>
    <definedName name="wrn.test." localSheetId="18" hidden="1">{"Page1",#N/A,TRUE,"SUMM";"Page2",#N/A,TRUE,"Rev";"Page3",#N/A,TRUE,"Dir_Costs"}</definedName>
    <definedName name="wrn.test." localSheetId="5" hidden="1">{"Page1",#N/A,TRUE,"SUMM";"Page2",#N/A,TRUE,"Rev";"Page3",#N/A,TRUE,"Dir_Costs"}</definedName>
    <definedName name="wrn.test." localSheetId="0" hidden="1">{"Page1",#N/A,TRUE,"SUMM";"Page2",#N/A,TRUE,"Rev";"Page3",#N/A,TRUE,"Dir_Costs"}</definedName>
    <definedName name="wrn.test." hidden="1">{"Page1",#N/A,TRUE,"SUMM";"Page2",#N/A,TRUE,"Rev";"Page3",#N/A,TRUE,"Dir_Costs"}</definedName>
    <definedName name="WTable" localSheetId="2">#REF!</definedName>
    <definedName name="WTable" localSheetId="17">#REF!</definedName>
    <definedName name="WTable" localSheetId="14">#REF!</definedName>
    <definedName name="WTable" localSheetId="15">#REF!</definedName>
    <definedName name="WTable" localSheetId="10">#REF!</definedName>
    <definedName name="WTable" localSheetId="6">#REF!</definedName>
    <definedName name="WTable" localSheetId="18">#REF!</definedName>
    <definedName name="WTable" localSheetId="13">#REF!</definedName>
    <definedName name="WTable" localSheetId="11">#REF!</definedName>
    <definedName name="WTable" localSheetId="12">#REF!</definedName>
    <definedName name="WTable" localSheetId="0">#REF!</definedName>
    <definedName name="WTable" localSheetId="4">#REF!</definedName>
    <definedName name="WTable">#REF!</definedName>
    <definedName name="WTableOld" localSheetId="2">#REF!</definedName>
    <definedName name="WTableOld" localSheetId="14">#REF!</definedName>
    <definedName name="WTableOld" localSheetId="15">#REF!</definedName>
    <definedName name="WTableOld" localSheetId="10">#REF!</definedName>
    <definedName name="WTableOld" localSheetId="6">#REF!</definedName>
    <definedName name="WTableOld" localSheetId="18">#REF!</definedName>
    <definedName name="WTableOld" localSheetId="13">#REF!</definedName>
    <definedName name="WTableOld" localSheetId="11">#REF!</definedName>
    <definedName name="WTableOld" localSheetId="12">#REF!</definedName>
    <definedName name="WTableOld" localSheetId="0">#REF!</definedName>
    <definedName name="WTableOld" localSheetId="4">#REF!</definedName>
    <definedName name="WTableOld">#REF!</definedName>
    <definedName name="ww" localSheetId="15">#REF!</definedName>
    <definedName name="ww" localSheetId="18">#REF!</definedName>
    <definedName name="ww" localSheetId="12">#REF!</definedName>
    <definedName name="ww" localSheetId="0">#REF!</definedName>
    <definedName name="ww" localSheetId="4">#REF!</definedName>
    <definedName name="ww">#REF!</definedName>
    <definedName name="xperiod">[1]Orientation!$G$15</definedName>
    <definedName name="xtabin" localSheetId="2">[4]Hidden!#REF!</definedName>
    <definedName name="xtabin" localSheetId="17">[4]Hidden!#REF!</definedName>
    <definedName name="xtabin" localSheetId="14">[5]Hidden!#REF!</definedName>
    <definedName name="xtabin" localSheetId="15">[6]Hidden!#REF!</definedName>
    <definedName name="xtabin" localSheetId="10">[7]Hidden!#REF!</definedName>
    <definedName name="xtabin" localSheetId="6">[6]Hidden!#REF!</definedName>
    <definedName name="xtabin" localSheetId="18">[6]Hidden!#REF!</definedName>
    <definedName name="xtabin" localSheetId="11">[5]Hidden!#REF!</definedName>
    <definedName name="xtabin" localSheetId="12">[5]Hidden!#REF!</definedName>
    <definedName name="xtabin" localSheetId="0">[7]Hidden!#REF!</definedName>
    <definedName name="xtabin">[4]Hidden!#REF!</definedName>
    <definedName name="xx" localSheetId="2">#REF!</definedName>
    <definedName name="xx" localSheetId="17">#REF!</definedName>
    <definedName name="xx" localSheetId="14">#REF!</definedName>
    <definedName name="xx" localSheetId="15">#REF!</definedName>
    <definedName name="xx" localSheetId="10">#REF!</definedName>
    <definedName name="xx" localSheetId="6">#REF!</definedName>
    <definedName name="xx" localSheetId="18">#REF!</definedName>
    <definedName name="xx" localSheetId="11">#REF!</definedName>
    <definedName name="xx" localSheetId="12">#REF!</definedName>
    <definedName name="xx" localSheetId="0">#REF!</definedName>
    <definedName name="xx" localSheetId="4">#REF!</definedName>
    <definedName name="xx">#REF!</definedName>
    <definedName name="xxx" localSheetId="17">#REF!</definedName>
    <definedName name="xxx" localSheetId="15">#REF!</definedName>
    <definedName name="xxx" localSheetId="18">#REF!</definedName>
    <definedName name="xxx" localSheetId="12">#REF!</definedName>
    <definedName name="xxx" localSheetId="0">#REF!</definedName>
    <definedName name="xxx" localSheetId="4">#REF!</definedName>
    <definedName name="xxx">#REF!</definedName>
    <definedName name="xxxx" localSheetId="15">#REF!</definedName>
    <definedName name="xxxx" localSheetId="18">#REF!</definedName>
    <definedName name="xxxx" localSheetId="12">#REF!</definedName>
    <definedName name="xxxx" localSheetId="0">#REF!</definedName>
    <definedName name="xxxx" localSheetId="4">#REF!</definedName>
    <definedName name="xxxx">#REF!</definedName>
    <definedName name="YearMonth" localSheetId="22">'12.31.16 BS'!$D$9</definedName>
    <definedName name="YearMonth" localSheetId="21">'12.31.17 BS'!$D$7</definedName>
    <definedName name="YearMonth" localSheetId="1">'2025 IS'!$D$8</definedName>
    <definedName name="YearMonth" localSheetId="17">#REF!</definedName>
    <definedName name="YearMonth" localSheetId="23">'IS End 1.31.18'!$A$3</definedName>
    <definedName name="YearMonth" localSheetId="18">'[23]Vashon BS'!#REF!</definedName>
    <definedName name="YearMonth" localSheetId="5">'[24]Vashon BS'!#REF!</definedName>
    <definedName name="YearMonth" localSheetId="11">'[25]Vashon BS'!#REF!</definedName>
    <definedName name="YearMonth" localSheetId="12">'[25]Vashon BS'!#REF!</definedName>
    <definedName name="YearMonth" localSheetId="0">'[25]Vashon BS'!#REF!</definedName>
    <definedName name="YearMonth" localSheetId="16">'Region OH Calc'!$A$3</definedName>
    <definedName name="YearMonth" localSheetId="4">'[24]Vashon BS'!#REF!</definedName>
    <definedName name="YearMonth">#REF!</definedName>
    <definedName name="YWMedWasteDisp">#N/A</definedName>
    <definedName name="yy" localSheetId="17">#REF!</definedName>
    <definedName name="yy" localSheetId="15">#REF!</definedName>
    <definedName name="yy" localSheetId="18">#REF!</definedName>
    <definedName name="yy" localSheetId="11">#REF!</definedName>
    <definedName name="yy" localSheetId="12">#REF!</definedName>
    <definedName name="yy" localSheetId="0">#REF!</definedName>
    <definedName name="yy" localSheetId="4">#REF!</definedName>
    <definedName name="yy">#REF!</definedName>
  </definedNames>
  <calcPr calcId="145621" iterate="1" concurrentManualCount="4"/>
</workbook>
</file>

<file path=xl/calcChain.xml><?xml version="1.0" encoding="utf-8"?>
<calcChain xmlns="http://schemas.openxmlformats.org/spreadsheetml/2006/main">
  <c r="D114" i="9" l="1"/>
  <c r="B42" i="8"/>
  <c r="B39" i="8"/>
  <c r="B191" i="9"/>
  <c r="C191" i="9" s="1"/>
  <c r="B192" i="9"/>
  <c r="C192" i="9" s="1"/>
  <c r="B190" i="9"/>
  <c r="C190" i="9"/>
  <c r="B202" i="8"/>
  <c r="B201" i="8"/>
  <c r="B200" i="8"/>
  <c r="C19" i="16"/>
  <c r="B42" i="9"/>
  <c r="B39" i="9"/>
  <c r="P75" i="22" l="1"/>
  <c r="H27" i="14" l="1"/>
  <c r="G27" i="14"/>
  <c r="F27" i="14"/>
  <c r="E27" i="14"/>
  <c r="D27" i="14"/>
  <c r="B27" i="14"/>
  <c r="H25" i="14"/>
  <c r="G25" i="14"/>
  <c r="F25" i="14"/>
  <c r="E25" i="14"/>
  <c r="D25" i="14"/>
  <c r="B25" i="14"/>
  <c r="H23" i="14"/>
  <c r="G23" i="14"/>
  <c r="F23" i="14"/>
  <c r="E23" i="14"/>
  <c r="D23" i="14"/>
  <c r="B23" i="14"/>
  <c r="H18" i="14"/>
  <c r="G18" i="14"/>
  <c r="F18" i="14"/>
  <c r="E18" i="14"/>
  <c r="D18" i="14"/>
  <c r="B18" i="14"/>
  <c r="H16" i="14"/>
  <c r="G16" i="14"/>
  <c r="F16" i="14"/>
  <c r="E16" i="14"/>
  <c r="D16" i="14"/>
  <c r="B16" i="14"/>
  <c r="H11" i="14"/>
  <c r="G11" i="14"/>
  <c r="F11" i="14"/>
  <c r="E11" i="14"/>
  <c r="D11" i="14"/>
  <c r="B11" i="14"/>
  <c r="H9" i="14"/>
  <c r="G9" i="14"/>
  <c r="F9" i="14"/>
  <c r="E9" i="14"/>
  <c r="D9" i="14"/>
  <c r="B9" i="14"/>
  <c r="I6" i="16" l="1"/>
  <c r="C43" i="16" l="1"/>
  <c r="C42" i="16"/>
  <c r="C41" i="16"/>
  <c r="D21" i="3" l="1"/>
  <c r="C17" i="10" l="1"/>
  <c r="P117" i="22" l="1"/>
  <c r="P103" i="22"/>
  <c r="P62" i="22"/>
  <c r="P44" i="22"/>
  <c r="C22" i="1" l="1"/>
  <c r="AE8" i="27" l="1"/>
  <c r="AE11" i="27"/>
  <c r="AE12" i="27"/>
  <c r="AE19" i="27" s="1"/>
  <c r="AE13" i="27"/>
  <c r="AE14" i="27"/>
  <c r="AE15" i="27"/>
  <c r="AE16" i="27"/>
  <c r="AE17" i="27"/>
  <c r="G19" i="27"/>
  <c r="I19" i="27"/>
  <c r="K19" i="27"/>
  <c r="M19" i="27"/>
  <c r="O19" i="27"/>
  <c r="Q19" i="27"/>
  <c r="S19" i="27"/>
  <c r="U19" i="27"/>
  <c r="W19" i="27"/>
  <c r="Y19" i="27"/>
  <c r="AA19" i="27"/>
  <c r="AA45" i="27" s="1"/>
  <c r="AC19" i="27"/>
  <c r="AE21" i="27"/>
  <c r="AE23" i="27" s="1"/>
  <c r="G23" i="27"/>
  <c r="I23" i="27"/>
  <c r="K23" i="27"/>
  <c r="M23" i="27"/>
  <c r="O23" i="27"/>
  <c r="Q23" i="27"/>
  <c r="S23" i="27"/>
  <c r="U23" i="27"/>
  <c r="W23" i="27"/>
  <c r="Y23" i="27"/>
  <c r="AA23" i="27"/>
  <c r="AC23" i="27"/>
  <c r="AE26" i="27"/>
  <c r="AE28" i="27" s="1"/>
  <c r="G28" i="27"/>
  <c r="I28" i="27"/>
  <c r="K28" i="27"/>
  <c r="M28" i="27"/>
  <c r="O28" i="27"/>
  <c r="Q28" i="27"/>
  <c r="S28" i="27"/>
  <c r="U28" i="27"/>
  <c r="W28" i="27"/>
  <c r="Y28" i="27"/>
  <c r="AA28" i="27"/>
  <c r="AC28" i="27"/>
  <c r="AE31" i="27"/>
  <c r="AE33" i="27" s="1"/>
  <c r="G33" i="27"/>
  <c r="I33" i="27"/>
  <c r="K33" i="27"/>
  <c r="M33" i="27"/>
  <c r="O33" i="27"/>
  <c r="Q33" i="27"/>
  <c r="S33" i="27"/>
  <c r="U33" i="27"/>
  <c r="W33" i="27"/>
  <c r="Y33" i="27"/>
  <c r="AA33" i="27"/>
  <c r="AC33" i="27"/>
  <c r="AE35" i="27"/>
  <c r="AE37" i="27" s="1"/>
  <c r="G37" i="27"/>
  <c r="I37" i="27"/>
  <c r="K37" i="27"/>
  <c r="M37" i="27"/>
  <c r="O37" i="27"/>
  <c r="Q37" i="27"/>
  <c r="S37" i="27"/>
  <c r="U37" i="27"/>
  <c r="W37" i="27"/>
  <c r="Y37" i="27"/>
  <c r="AA37" i="27"/>
  <c r="AC37" i="27"/>
  <c r="AE40" i="27"/>
  <c r="AE41" i="27"/>
  <c r="G43" i="27"/>
  <c r="I43" i="27"/>
  <c r="K43" i="27"/>
  <c r="M43" i="27"/>
  <c r="O43" i="27"/>
  <c r="Q43" i="27"/>
  <c r="S43" i="27"/>
  <c r="U43" i="27"/>
  <c r="W43" i="27"/>
  <c r="Y43" i="27"/>
  <c r="AA43" i="27"/>
  <c r="AC43" i="27"/>
  <c r="AE43" i="27"/>
  <c r="AE48" i="27"/>
  <c r="AE49" i="27"/>
  <c r="G51" i="27"/>
  <c r="G73" i="27" s="1"/>
  <c r="I51" i="27"/>
  <c r="K51" i="27"/>
  <c r="M51" i="27"/>
  <c r="O51" i="27"/>
  <c r="Q51" i="27"/>
  <c r="S51" i="27"/>
  <c r="U51" i="27"/>
  <c r="W51" i="27"/>
  <c r="Y51" i="27"/>
  <c r="AA51" i="27"/>
  <c r="AC51" i="27"/>
  <c r="AE53" i="27"/>
  <c r="AE55" i="27" s="1"/>
  <c r="G55" i="27"/>
  <c r="I55" i="27"/>
  <c r="K55" i="27"/>
  <c r="M55" i="27"/>
  <c r="O55" i="27"/>
  <c r="Q55" i="27"/>
  <c r="S55" i="27"/>
  <c r="U55" i="27"/>
  <c r="W55" i="27"/>
  <c r="Y55" i="27"/>
  <c r="AA55" i="27"/>
  <c r="AC55" i="27"/>
  <c r="AE58" i="27"/>
  <c r="AE62" i="27" s="1"/>
  <c r="AE59" i="27"/>
  <c r="AE60" i="27"/>
  <c r="G62" i="27"/>
  <c r="I62" i="27"/>
  <c r="K62" i="27"/>
  <c r="M62" i="27"/>
  <c r="O62" i="27"/>
  <c r="Q62" i="27"/>
  <c r="S62" i="27"/>
  <c r="U62" i="27"/>
  <c r="W62" i="27"/>
  <c r="Y62" i="27"/>
  <c r="AA62" i="27"/>
  <c r="AC62" i="27"/>
  <c r="AE65" i="27"/>
  <c r="AE67" i="27" s="1"/>
  <c r="G67" i="27"/>
  <c r="I67" i="27"/>
  <c r="K67" i="27"/>
  <c r="M67" i="27"/>
  <c r="O67" i="27"/>
  <c r="Q67" i="27"/>
  <c r="S67" i="27"/>
  <c r="U67" i="27"/>
  <c r="W67" i="27"/>
  <c r="Y67" i="27"/>
  <c r="AA67" i="27"/>
  <c r="AC67" i="27"/>
  <c r="AE69" i="27"/>
  <c r="AE71" i="27" s="1"/>
  <c r="G71" i="27"/>
  <c r="I71" i="27"/>
  <c r="K71" i="27"/>
  <c r="M71" i="27"/>
  <c r="O71" i="27"/>
  <c r="Q71" i="27"/>
  <c r="S71" i="27"/>
  <c r="U71" i="27"/>
  <c r="W71" i="27"/>
  <c r="Y71" i="27"/>
  <c r="AA71" i="27"/>
  <c r="AC71" i="27"/>
  <c r="AE78" i="27"/>
  <c r="AE79" i="27"/>
  <c r="AE80" i="27"/>
  <c r="AE81" i="27"/>
  <c r="AE82" i="27"/>
  <c r="AE83" i="27"/>
  <c r="AE84" i="27"/>
  <c r="AE85" i="27"/>
  <c r="AE86" i="27"/>
  <c r="AE87" i="27"/>
  <c r="AE88" i="27"/>
  <c r="G90" i="27"/>
  <c r="I90" i="27"/>
  <c r="K90" i="27"/>
  <c r="M90" i="27"/>
  <c r="O90" i="27"/>
  <c r="Q90" i="27"/>
  <c r="S90" i="27"/>
  <c r="U90" i="27"/>
  <c r="W90" i="27"/>
  <c r="Y90" i="27"/>
  <c r="AA90" i="27"/>
  <c r="AC90" i="27"/>
  <c r="AE92" i="27"/>
  <c r="AE94" i="27" s="1"/>
  <c r="G94" i="27"/>
  <c r="I94" i="27"/>
  <c r="K94" i="27"/>
  <c r="M94" i="27"/>
  <c r="O94" i="27"/>
  <c r="Q94" i="27"/>
  <c r="S94" i="27"/>
  <c r="U94" i="27"/>
  <c r="W94" i="27"/>
  <c r="Y94" i="27"/>
  <c r="AA94" i="27"/>
  <c r="AC94" i="27"/>
  <c r="AE97" i="27"/>
  <c r="AE98" i="27"/>
  <c r="AE99" i="27"/>
  <c r="AE100" i="27"/>
  <c r="AE101" i="27"/>
  <c r="AE102" i="27"/>
  <c r="AE103" i="27"/>
  <c r="AE104" i="27"/>
  <c r="AE105" i="27"/>
  <c r="AE106" i="27"/>
  <c r="AE107" i="27"/>
  <c r="AE108" i="27"/>
  <c r="AE109" i="27"/>
  <c r="B42" i="11" s="1"/>
  <c r="AE110" i="27"/>
  <c r="AE111" i="27"/>
  <c r="AE112" i="27"/>
  <c r="AE113" i="27"/>
  <c r="G115" i="27"/>
  <c r="I115" i="27"/>
  <c r="K115" i="27"/>
  <c r="M115" i="27"/>
  <c r="O115" i="27"/>
  <c r="Q115" i="27"/>
  <c r="S115" i="27"/>
  <c r="U115" i="27"/>
  <c r="W115" i="27"/>
  <c r="Y115" i="27"/>
  <c r="AA115" i="27"/>
  <c r="AC115" i="27"/>
  <c r="AE118" i="27"/>
  <c r="AE120" i="27" s="1"/>
  <c r="G120" i="27"/>
  <c r="I120" i="27"/>
  <c r="K120" i="27"/>
  <c r="M120" i="27"/>
  <c r="O120" i="27"/>
  <c r="Q120" i="27"/>
  <c r="S120" i="27"/>
  <c r="U120" i="27"/>
  <c r="W120" i="27"/>
  <c r="Y120" i="27"/>
  <c r="AA120" i="27"/>
  <c r="AC120" i="27"/>
  <c r="AE123" i="27"/>
  <c r="AE124" i="27"/>
  <c r="AE125" i="27"/>
  <c r="AE126" i="27"/>
  <c r="AE127" i="27"/>
  <c r="AE128" i="27"/>
  <c r="G130" i="27"/>
  <c r="I130" i="27"/>
  <c r="K130" i="27"/>
  <c r="M130" i="27"/>
  <c r="O130" i="27"/>
  <c r="Q130" i="27"/>
  <c r="S130" i="27"/>
  <c r="U130" i="27"/>
  <c r="W130" i="27"/>
  <c r="Y130" i="27"/>
  <c r="AA130" i="27"/>
  <c r="AC130" i="27"/>
  <c r="AE133" i="27"/>
  <c r="AE134" i="27"/>
  <c r="AE135" i="27"/>
  <c r="AE136" i="27"/>
  <c r="AE137" i="27"/>
  <c r="AE138" i="27"/>
  <c r="AE139" i="27"/>
  <c r="AE140" i="27"/>
  <c r="AE141" i="27"/>
  <c r="G143" i="27"/>
  <c r="I143" i="27"/>
  <c r="K143" i="27"/>
  <c r="M143" i="27"/>
  <c r="O143" i="27"/>
  <c r="Q143" i="27"/>
  <c r="S143" i="27"/>
  <c r="U143" i="27"/>
  <c r="W143" i="27"/>
  <c r="Y143" i="27"/>
  <c r="AA143" i="27"/>
  <c r="AC143" i="27"/>
  <c r="G147" i="27"/>
  <c r="I147" i="27"/>
  <c r="K147" i="27"/>
  <c r="M147" i="27"/>
  <c r="O147" i="27"/>
  <c r="Q147" i="27"/>
  <c r="S147" i="27"/>
  <c r="U147" i="27"/>
  <c r="W147" i="27"/>
  <c r="Y147" i="27"/>
  <c r="AA147" i="27"/>
  <c r="AC147" i="27"/>
  <c r="AE147" i="27"/>
  <c r="AE150" i="27"/>
  <c r="AE151" i="27"/>
  <c r="AE152" i="27"/>
  <c r="AE153" i="27"/>
  <c r="G155" i="27"/>
  <c r="I155" i="27"/>
  <c r="K155" i="27"/>
  <c r="M155" i="27"/>
  <c r="O155" i="27"/>
  <c r="Q155" i="27"/>
  <c r="S155" i="27"/>
  <c r="U155" i="27"/>
  <c r="W155" i="27"/>
  <c r="Y155" i="27"/>
  <c r="AA155" i="27"/>
  <c r="AC155" i="27"/>
  <c r="AE157" i="27"/>
  <c r="AE159" i="27" s="1"/>
  <c r="G159" i="27"/>
  <c r="I159" i="27"/>
  <c r="K159" i="27"/>
  <c r="M159" i="27"/>
  <c r="O159" i="27"/>
  <c r="Q159" i="27"/>
  <c r="S159" i="27"/>
  <c r="U159" i="27"/>
  <c r="W159" i="27"/>
  <c r="Y159" i="27"/>
  <c r="AA159" i="27"/>
  <c r="AC159" i="27"/>
  <c r="AE166" i="27"/>
  <c r="AE168" i="27" s="1"/>
  <c r="G168" i="27"/>
  <c r="I168" i="27"/>
  <c r="K168" i="27"/>
  <c r="M168" i="27"/>
  <c r="O168" i="27"/>
  <c r="Q168" i="27"/>
  <c r="S168" i="27"/>
  <c r="U168" i="27"/>
  <c r="W168" i="27"/>
  <c r="Y168" i="27"/>
  <c r="Y210" i="27" s="1"/>
  <c r="AA168" i="27"/>
  <c r="AC168" i="27"/>
  <c r="AE171" i="27"/>
  <c r="AE172" i="27"/>
  <c r="AE173" i="27"/>
  <c r="AE174" i="27"/>
  <c r="AE175" i="27"/>
  <c r="AE176" i="27"/>
  <c r="AE177" i="27"/>
  <c r="AE178" i="27"/>
  <c r="AE179" i="27"/>
  <c r="AE180" i="27"/>
  <c r="AE181" i="27"/>
  <c r="AE182" i="27"/>
  <c r="AE183" i="27"/>
  <c r="AE184" i="27"/>
  <c r="AE185" i="27"/>
  <c r="AE186" i="27"/>
  <c r="AE187" i="27"/>
  <c r="AE188" i="27"/>
  <c r="AE189" i="27"/>
  <c r="AE190" i="27"/>
  <c r="AE191" i="27"/>
  <c r="AE192" i="27"/>
  <c r="AE193" i="27"/>
  <c r="AE194" i="27"/>
  <c r="AE195" i="27"/>
  <c r="AE196" i="27"/>
  <c r="AE197" i="27"/>
  <c r="AE198" i="27"/>
  <c r="AE199" i="27"/>
  <c r="AE200" i="27"/>
  <c r="AE201" i="27"/>
  <c r="AE202" i="27"/>
  <c r="G204" i="27"/>
  <c r="I204" i="27"/>
  <c r="K204" i="27"/>
  <c r="M204" i="27"/>
  <c r="O204" i="27"/>
  <c r="Q204" i="27"/>
  <c r="S204" i="27"/>
  <c r="U204" i="27"/>
  <c r="W204" i="27"/>
  <c r="Y204" i="27"/>
  <c r="AA204" i="27"/>
  <c r="AC204" i="27"/>
  <c r="AE206" i="27"/>
  <c r="G208" i="27"/>
  <c r="I208" i="27"/>
  <c r="K208" i="27"/>
  <c r="M208" i="27"/>
  <c r="M210" i="27" s="1"/>
  <c r="O208" i="27"/>
  <c r="Q208" i="27"/>
  <c r="S208" i="27"/>
  <c r="U208" i="27"/>
  <c r="W208" i="27"/>
  <c r="Y208" i="27"/>
  <c r="AA208" i="27"/>
  <c r="AA210" i="27" s="1"/>
  <c r="AC208" i="27"/>
  <c r="AE208" i="27"/>
  <c r="AE217" i="27"/>
  <c r="AE218" i="27"/>
  <c r="AE219" i="27"/>
  <c r="G221" i="27"/>
  <c r="I221" i="27"/>
  <c r="K221" i="27"/>
  <c r="L221" i="27"/>
  <c r="M221" i="27"/>
  <c r="O221" i="27"/>
  <c r="Q221" i="27"/>
  <c r="R221" i="27"/>
  <c r="S221" i="27"/>
  <c r="U221" i="27"/>
  <c r="W221" i="27"/>
  <c r="X221" i="27"/>
  <c r="Y221" i="27"/>
  <c r="AA221" i="27"/>
  <c r="AC221" i="27"/>
  <c r="AD221" i="27"/>
  <c r="AE223" i="27"/>
  <c r="G225" i="27"/>
  <c r="I225" i="27"/>
  <c r="K225" i="27"/>
  <c r="L225" i="27"/>
  <c r="M225" i="27"/>
  <c r="O225" i="27"/>
  <c r="Q225" i="27"/>
  <c r="R225" i="27"/>
  <c r="S225" i="27"/>
  <c r="U225" i="27"/>
  <c r="W225" i="27"/>
  <c r="X225" i="27"/>
  <c r="Y225" i="27"/>
  <c r="AA225" i="27"/>
  <c r="AC225" i="27"/>
  <c r="AD225" i="27"/>
  <c r="AE227" i="27"/>
  <c r="G229" i="27"/>
  <c r="I229" i="27"/>
  <c r="K229" i="27"/>
  <c r="L229" i="27"/>
  <c r="M229" i="27"/>
  <c r="O229" i="27"/>
  <c r="Q229" i="27"/>
  <c r="R229" i="27"/>
  <c r="S229" i="27"/>
  <c r="U229" i="27"/>
  <c r="W229" i="27"/>
  <c r="X229" i="27"/>
  <c r="Y229" i="27"/>
  <c r="AA229" i="27"/>
  <c r="AC229" i="27"/>
  <c r="AD229" i="27"/>
  <c r="L231" i="27"/>
  <c r="R231" i="27"/>
  <c r="X231" i="27"/>
  <c r="AD231" i="27"/>
  <c r="L233" i="27"/>
  <c r="R233" i="27"/>
  <c r="X233" i="27"/>
  <c r="AD233" i="27"/>
  <c r="AE235" i="27"/>
  <c r="AE237" i="27" s="1"/>
  <c r="G237" i="27"/>
  <c r="I237" i="27"/>
  <c r="K237" i="27"/>
  <c r="L237" i="27"/>
  <c r="M237" i="27"/>
  <c r="O237" i="27"/>
  <c r="Q237" i="27"/>
  <c r="R237" i="27"/>
  <c r="S237" i="27"/>
  <c r="U237" i="27"/>
  <c r="W237" i="27"/>
  <c r="X237" i="27"/>
  <c r="Y237" i="27"/>
  <c r="AA237" i="27"/>
  <c r="AC237" i="27"/>
  <c r="AD237" i="27"/>
  <c r="AE239" i="27"/>
  <c r="AE241" i="27" s="1"/>
  <c r="G241" i="27"/>
  <c r="I241" i="27"/>
  <c r="K241" i="27"/>
  <c r="L241" i="27"/>
  <c r="M241" i="27"/>
  <c r="O241" i="27"/>
  <c r="Q241" i="27"/>
  <c r="R241" i="27"/>
  <c r="S241" i="27"/>
  <c r="U241" i="27"/>
  <c r="W241" i="27"/>
  <c r="X241" i="27"/>
  <c r="Y241" i="27"/>
  <c r="AA241" i="27"/>
  <c r="AC241" i="27"/>
  <c r="AD241" i="27"/>
  <c r="AE243" i="27"/>
  <c r="G245" i="27"/>
  <c r="I245" i="27"/>
  <c r="K245" i="27"/>
  <c r="L245" i="27"/>
  <c r="M245" i="27"/>
  <c r="O245" i="27"/>
  <c r="Q245" i="27"/>
  <c r="R245" i="27"/>
  <c r="S245" i="27"/>
  <c r="U245" i="27"/>
  <c r="W245" i="27"/>
  <c r="X245" i="27"/>
  <c r="Y245" i="27"/>
  <c r="AA245" i="27"/>
  <c r="AC245" i="27"/>
  <c r="AD245" i="27"/>
  <c r="AE245" i="27"/>
  <c r="L247" i="27"/>
  <c r="R247" i="27"/>
  <c r="X247" i="27"/>
  <c r="AD247" i="27"/>
  <c r="AE249" i="27"/>
  <c r="AE251" i="27" s="1"/>
  <c r="G251" i="27"/>
  <c r="I251" i="27"/>
  <c r="K251" i="27"/>
  <c r="L251" i="27"/>
  <c r="M251" i="27"/>
  <c r="O251" i="27"/>
  <c r="Q251" i="27"/>
  <c r="R251" i="27"/>
  <c r="S251" i="27"/>
  <c r="U251" i="27"/>
  <c r="W251" i="27"/>
  <c r="X251" i="27"/>
  <c r="Y251" i="27"/>
  <c r="AA251" i="27"/>
  <c r="AC251" i="27"/>
  <c r="AD251" i="27"/>
  <c r="L253" i="27"/>
  <c r="R253" i="27"/>
  <c r="X253" i="27"/>
  <c r="AD253" i="27"/>
  <c r="AE255" i="27"/>
  <c r="AE257" i="27" s="1"/>
  <c r="G257" i="27"/>
  <c r="I257" i="27"/>
  <c r="K257" i="27"/>
  <c r="L257" i="27"/>
  <c r="M257" i="27"/>
  <c r="O257" i="27"/>
  <c r="Q257" i="27"/>
  <c r="R257" i="27"/>
  <c r="S257" i="27"/>
  <c r="U257" i="27"/>
  <c r="W257" i="27"/>
  <c r="X257" i="27"/>
  <c r="Y257" i="27"/>
  <c r="AA257" i="27"/>
  <c r="AC257" i="27"/>
  <c r="AD257" i="27"/>
  <c r="L259" i="27"/>
  <c r="R259" i="27"/>
  <c r="X259" i="27"/>
  <c r="AD259" i="27"/>
  <c r="AE261" i="27"/>
  <c r="AE263" i="27" s="1"/>
  <c r="G263" i="27"/>
  <c r="I263" i="27"/>
  <c r="K263" i="27"/>
  <c r="L263" i="27"/>
  <c r="M263" i="27"/>
  <c r="O263" i="27"/>
  <c r="Q263" i="27"/>
  <c r="R263" i="27"/>
  <c r="S263" i="27"/>
  <c r="U263" i="27"/>
  <c r="W263" i="27"/>
  <c r="X263" i="27"/>
  <c r="Y263" i="27"/>
  <c r="AA263" i="27"/>
  <c r="AC263" i="27"/>
  <c r="AD263" i="27"/>
  <c r="L265" i="27"/>
  <c r="R265" i="27"/>
  <c r="X265" i="27"/>
  <c r="AD265" i="27"/>
  <c r="G269" i="27"/>
  <c r="I269" i="27"/>
  <c r="K269" i="27"/>
  <c r="M269" i="27"/>
  <c r="O269" i="27"/>
  <c r="Q269" i="27"/>
  <c r="S269" i="27"/>
  <c r="U269" i="27"/>
  <c r="W269" i="27"/>
  <c r="Y269" i="27"/>
  <c r="AA269" i="27"/>
  <c r="AC269" i="27"/>
  <c r="AE269" i="27"/>
  <c r="T274" i="27"/>
  <c r="T275" i="27" s="1"/>
  <c r="I210" i="27" l="1"/>
  <c r="AC231" i="27"/>
  <c r="W231" i="27"/>
  <c r="Q231" i="27"/>
  <c r="K231" i="27"/>
  <c r="W161" i="27"/>
  <c r="Y73" i="27"/>
  <c r="Q73" i="27"/>
  <c r="I73" i="27"/>
  <c r="AE90" i="27"/>
  <c r="AE51" i="27"/>
  <c r="Q210" i="27"/>
  <c r="AE115" i="27"/>
  <c r="Y231" i="27"/>
  <c r="S231" i="27"/>
  <c r="M231" i="27"/>
  <c r="G231" i="27"/>
  <c r="AC210" i="27"/>
  <c r="U210" i="27"/>
  <c r="AA161" i="27"/>
  <c r="S161" i="27"/>
  <c r="K161" i="27"/>
  <c r="AE130" i="27"/>
  <c r="AC73" i="27"/>
  <c r="AA73" i="27"/>
  <c r="AA75" i="27" s="1"/>
  <c r="AA163" i="27" s="1"/>
  <c r="AA213" i="27" s="1"/>
  <c r="AA233" i="27" s="1"/>
  <c r="AA247" i="27" s="1"/>
  <c r="AA253" i="27" s="1"/>
  <c r="AA259" i="27" s="1"/>
  <c r="AA265" i="27" s="1"/>
  <c r="AA274" i="27" s="1"/>
  <c r="AA275" i="27" s="1"/>
  <c r="S73" i="27"/>
  <c r="S45" i="27"/>
  <c r="S75" i="27" s="1"/>
  <c r="K45" i="27"/>
  <c r="Y161" i="27"/>
  <c r="AE143" i="27"/>
  <c r="AC45" i="27"/>
  <c r="AC75" i="27" s="1"/>
  <c r="U45" i="27"/>
  <c r="M45" i="27"/>
  <c r="Y45" i="27"/>
  <c r="Q45" i="27"/>
  <c r="Q75" i="27" s="1"/>
  <c r="Q163" i="27" s="1"/>
  <c r="Q213" i="27" s="1"/>
  <c r="S210" i="27"/>
  <c r="K210" i="27"/>
  <c r="AE204" i="27"/>
  <c r="AE155" i="27"/>
  <c r="AA231" i="27"/>
  <c r="U231" i="27"/>
  <c r="O231" i="27"/>
  <c r="I231" i="27"/>
  <c r="W210" i="27"/>
  <c r="O210" i="27"/>
  <c r="G210" i="27"/>
  <c r="Q161" i="27"/>
  <c r="I161" i="27"/>
  <c r="O161" i="27"/>
  <c r="G161" i="27"/>
  <c r="AC161" i="27"/>
  <c r="U161" i="27"/>
  <c r="M161" i="27"/>
  <c r="O73" i="27"/>
  <c r="W73" i="27"/>
  <c r="K73" i="27"/>
  <c r="U73" i="27"/>
  <c r="U75" i="27" s="1"/>
  <c r="U163" i="27" s="1"/>
  <c r="M73" i="27"/>
  <c r="AE73" i="27"/>
  <c r="K75" i="27"/>
  <c r="K163" i="27" s="1"/>
  <c r="K213" i="27" s="1"/>
  <c r="K215" i="27" s="1"/>
  <c r="W45" i="27"/>
  <c r="W75" i="27" s="1"/>
  <c r="W163" i="27" s="1"/>
  <c r="W213" i="27" s="1"/>
  <c r="O45" i="27"/>
  <c r="G45" i="27"/>
  <c r="G75" i="27" s="1"/>
  <c r="G163" i="27" s="1"/>
  <c r="G213" i="27" s="1"/>
  <c r="G233" i="27" s="1"/>
  <c r="G247" i="27" s="1"/>
  <c r="G253" i="27" s="1"/>
  <c r="G259" i="27" s="1"/>
  <c r="G265" i="27" s="1"/>
  <c r="I45" i="27"/>
  <c r="I75" i="27" s="1"/>
  <c r="I163" i="27" s="1"/>
  <c r="I213" i="27" s="1"/>
  <c r="Y75" i="27"/>
  <c r="Y163" i="27" s="1"/>
  <c r="Y213" i="27" s="1"/>
  <c r="Y215" i="27" s="1"/>
  <c r="AE225" i="27"/>
  <c r="AE221" i="27"/>
  <c r="AE210" i="27"/>
  <c r="AE45" i="27"/>
  <c r="AF14" i="27" s="1"/>
  <c r="AE229" i="27"/>
  <c r="AE161" i="27"/>
  <c r="AF151" i="27"/>
  <c r="O75" i="27" l="1"/>
  <c r="AC163" i="27"/>
  <c r="AC213" i="27" s="1"/>
  <c r="AC215" i="27" s="1"/>
  <c r="AF192" i="27"/>
  <c r="U213" i="27"/>
  <c r="S163" i="27"/>
  <c r="S213" i="27" s="1"/>
  <c r="O163" i="27"/>
  <c r="O213" i="27" s="1"/>
  <c r="O215" i="27" s="1"/>
  <c r="M75" i="27"/>
  <c r="M163" i="27" s="1"/>
  <c r="M213" i="27" s="1"/>
  <c r="M215" i="27" s="1"/>
  <c r="AE231" i="27"/>
  <c r="S215" i="27"/>
  <c r="S233" i="27"/>
  <c r="S247" i="27" s="1"/>
  <c r="S253" i="27" s="1"/>
  <c r="S259" i="27" s="1"/>
  <c r="S265" i="27" s="1"/>
  <c r="S274" i="27" s="1"/>
  <c r="S275" i="27" s="1"/>
  <c r="Q215" i="27"/>
  <c r="Q233" i="27"/>
  <c r="Q247" i="27" s="1"/>
  <c r="Q253" i="27" s="1"/>
  <c r="Q259" i="27" s="1"/>
  <c r="Q265" i="27" s="1"/>
  <c r="Y233" i="27"/>
  <c r="Y247" i="27" s="1"/>
  <c r="Y253" i="27" s="1"/>
  <c r="Y259" i="27" s="1"/>
  <c r="Y265" i="27" s="1"/>
  <c r="Y274" i="27" s="1"/>
  <c r="Y275" i="27" s="1"/>
  <c r="I215" i="27"/>
  <c r="I233" i="27"/>
  <c r="I247" i="27" s="1"/>
  <c r="I253" i="27" s="1"/>
  <c r="I259" i="27" s="1"/>
  <c r="I265" i="27" s="1"/>
  <c r="AF51" i="27"/>
  <c r="AF101" i="27"/>
  <c r="K233" i="27"/>
  <c r="K247" i="27" s="1"/>
  <c r="K253" i="27" s="1"/>
  <c r="K259" i="27" s="1"/>
  <c r="K265" i="27" s="1"/>
  <c r="AF177" i="27"/>
  <c r="AF17" i="27"/>
  <c r="AF80" i="27"/>
  <c r="AF126" i="27"/>
  <c r="AF143" i="27"/>
  <c r="AA215" i="27"/>
  <c r="AF219" i="27"/>
  <c r="AF83" i="27"/>
  <c r="AF176" i="27"/>
  <c r="AF49" i="27"/>
  <c r="M233" i="27"/>
  <c r="M247" i="27" s="1"/>
  <c r="M253" i="27" s="1"/>
  <c r="M259" i="27" s="1"/>
  <c r="M265" i="27" s="1"/>
  <c r="AF193" i="27"/>
  <c r="AF104" i="27"/>
  <c r="AF237" i="27"/>
  <c r="AF123" i="27"/>
  <c r="AF16" i="27"/>
  <c r="AF201" i="27"/>
  <c r="AF166" i="27"/>
  <c r="AF112" i="27"/>
  <c r="AF67" i="27"/>
  <c r="AE75" i="27"/>
  <c r="AE163" i="27" s="1"/>
  <c r="AE213" i="27" s="1"/>
  <c r="AF213" i="27" s="1"/>
  <c r="AF184" i="27"/>
  <c r="AF134" i="27"/>
  <c r="AF88" i="27"/>
  <c r="AF33" i="27"/>
  <c r="AF239" i="27"/>
  <c r="AF185" i="27"/>
  <c r="AF137" i="27"/>
  <c r="AF94" i="27"/>
  <c r="AF35" i="27"/>
  <c r="AF200" i="27"/>
  <c r="AF159" i="27"/>
  <c r="AF109" i="27"/>
  <c r="AF65" i="27"/>
  <c r="AF231" i="27"/>
  <c r="AF210" i="27"/>
  <c r="AF227" i="27"/>
  <c r="AF208" i="27"/>
  <c r="AF197" i="27"/>
  <c r="AF189" i="27"/>
  <c r="AF181" i="27"/>
  <c r="AF173" i="27"/>
  <c r="AF157" i="27"/>
  <c r="AF141" i="27"/>
  <c r="AF133" i="27"/>
  <c r="AF120" i="27"/>
  <c r="AF108" i="27"/>
  <c r="AF100" i="27"/>
  <c r="AF87" i="27"/>
  <c r="AF79" i="27"/>
  <c r="AF59" i="27"/>
  <c r="AF43" i="27"/>
  <c r="AF26" i="27"/>
  <c r="AF13" i="27"/>
  <c r="AF245" i="27"/>
  <c r="AF206" i="27"/>
  <c r="AF196" i="27"/>
  <c r="AF188" i="27"/>
  <c r="AF180" i="27"/>
  <c r="AF172" i="27"/>
  <c r="AF152" i="27"/>
  <c r="AF138" i="27"/>
  <c r="AF127" i="27"/>
  <c r="AF113" i="27"/>
  <c r="AF105" i="27"/>
  <c r="AF97" i="27"/>
  <c r="AF84" i="27"/>
  <c r="AF73" i="27"/>
  <c r="AF58" i="27"/>
  <c r="AF41" i="27"/>
  <c r="AF23" i="27"/>
  <c r="AF12" i="27"/>
  <c r="G215" i="27"/>
  <c r="AF229" i="27"/>
  <c r="AF221" i="27"/>
  <c r="AF243" i="27"/>
  <c r="AF223" i="27"/>
  <c r="AF204" i="27"/>
  <c r="AF195" i="27"/>
  <c r="AF187" i="27"/>
  <c r="AF179" i="27"/>
  <c r="AF171" i="27"/>
  <c r="AF153" i="27"/>
  <c r="AF139" i="27"/>
  <c r="AF128" i="27"/>
  <c r="AF115" i="27"/>
  <c r="AF106" i="27"/>
  <c r="AF98" i="27"/>
  <c r="AF85" i="27"/>
  <c r="AF71" i="27"/>
  <c r="AF55" i="27"/>
  <c r="AF40" i="27"/>
  <c r="AF21" i="27"/>
  <c r="AF11" i="27"/>
  <c r="AF241" i="27"/>
  <c r="AF202" i="27"/>
  <c r="AF194" i="27"/>
  <c r="AF186" i="27"/>
  <c r="AF178" i="27"/>
  <c r="AF168" i="27"/>
  <c r="AF150" i="27"/>
  <c r="AF136" i="27"/>
  <c r="AF125" i="27"/>
  <c r="AF111" i="27"/>
  <c r="AF103" i="27"/>
  <c r="AF92" i="27"/>
  <c r="AF82" i="27"/>
  <c r="AF69" i="27"/>
  <c r="AF53" i="27"/>
  <c r="AF37" i="27"/>
  <c r="AF19" i="27"/>
  <c r="AF8" i="27"/>
  <c r="AF235" i="27"/>
  <c r="AF217" i="27"/>
  <c r="AF199" i="27"/>
  <c r="AF191" i="27"/>
  <c r="AF183" i="27"/>
  <c r="AF175" i="27"/>
  <c r="AF161" i="27"/>
  <c r="AF147" i="27"/>
  <c r="AF135" i="27"/>
  <c r="AF124" i="27"/>
  <c r="AF110" i="27"/>
  <c r="AF102" i="27"/>
  <c r="AF90" i="27"/>
  <c r="AF81" i="27"/>
  <c r="AF62" i="27"/>
  <c r="AF48" i="27"/>
  <c r="AF31" i="27"/>
  <c r="AF15" i="27"/>
  <c r="AF249" i="27"/>
  <c r="AF218" i="27"/>
  <c r="AF198" i="27"/>
  <c r="AF190" i="27"/>
  <c r="AF182" i="27"/>
  <c r="AF174" i="27"/>
  <c r="AF155" i="27"/>
  <c r="AF140" i="27"/>
  <c r="AF130" i="27"/>
  <c r="AF118" i="27"/>
  <c r="AF107" i="27"/>
  <c r="AF99" i="27"/>
  <c r="AF86" i="27"/>
  <c r="AF78" i="27"/>
  <c r="AF60" i="27"/>
  <c r="AF45" i="27"/>
  <c r="AF28" i="27"/>
  <c r="AF225" i="27"/>
  <c r="AC233" i="27"/>
  <c r="AC247" i="27" s="1"/>
  <c r="AC253" i="27" s="1"/>
  <c r="AC259" i="27" s="1"/>
  <c r="AC265" i="27" s="1"/>
  <c r="AC274" i="27" s="1"/>
  <c r="AC275" i="27" s="1"/>
  <c r="AF261" i="27"/>
  <c r="AF251" i="27"/>
  <c r="AF255" i="27"/>
  <c r="AF263" i="27"/>
  <c r="AF257" i="27"/>
  <c r="U233" i="27"/>
  <c r="U247" i="27" s="1"/>
  <c r="U253" i="27" s="1"/>
  <c r="U259" i="27" s="1"/>
  <c r="U265" i="27" s="1"/>
  <c r="U274" i="27" s="1"/>
  <c r="U275" i="27" s="1"/>
  <c r="U215" i="27"/>
  <c r="AF75" i="27"/>
  <c r="W215" i="27"/>
  <c r="W233" i="27"/>
  <c r="W247" i="27" s="1"/>
  <c r="W253" i="27" s="1"/>
  <c r="W259" i="27" s="1"/>
  <c r="W265" i="27" s="1"/>
  <c r="W274" i="27" s="1"/>
  <c r="W275" i="27" s="1"/>
  <c r="O233" i="27" l="1"/>
  <c r="O247" i="27" s="1"/>
  <c r="O253" i="27" s="1"/>
  <c r="O259" i="27" s="1"/>
  <c r="O265" i="27" s="1"/>
  <c r="AE215" i="27"/>
  <c r="AF215" i="27" s="1"/>
  <c r="AE233" i="27"/>
  <c r="AE247" i="27" s="1"/>
  <c r="AF163" i="27"/>
  <c r="AF233" i="27" l="1"/>
  <c r="AE253" i="27"/>
  <c r="AF247" i="27"/>
  <c r="B101" i="10"/>
  <c r="E18" i="5"/>
  <c r="E17" i="5"/>
  <c r="D10" i="3"/>
  <c r="C10" i="3"/>
  <c r="B58" i="26"/>
  <c r="B59" i="26"/>
  <c r="B60" i="26" s="1"/>
  <c r="C58" i="26" s="1"/>
  <c r="B64" i="26"/>
  <c r="B67" i="26" s="1"/>
  <c r="E19" i="5" s="1"/>
  <c r="B65" i="26"/>
  <c r="D25" i="25"/>
  <c r="D32" i="25"/>
  <c r="D36" i="25" s="1"/>
  <c r="D40" i="25" s="1"/>
  <c r="AE259" i="27" l="1"/>
  <c r="AF253" i="27"/>
  <c r="C59" i="26"/>
  <c r="AE265" i="27" l="1"/>
  <c r="AF259" i="27"/>
  <c r="D20" i="3"/>
  <c r="E10" i="3"/>
  <c r="B32" i="11" s="1"/>
  <c r="AE274" i="27" l="1"/>
  <c r="AE275" i="27" s="1"/>
  <c r="AF265" i="27"/>
  <c r="AE272" i="27"/>
  <c r="C15" i="1" l="1"/>
  <c r="C13" i="1"/>
  <c r="C12" i="1"/>
  <c r="C11" i="1"/>
  <c r="C10" i="1"/>
  <c r="AH13" i="2"/>
  <c r="AH22" i="2"/>
  <c r="AH21" i="2"/>
  <c r="AH20" i="2"/>
  <c r="AH19" i="2"/>
  <c r="AH18" i="2"/>
  <c r="AH17" i="2"/>
  <c r="AH16" i="2"/>
  <c r="AH26" i="2"/>
  <c r="AH31" i="2"/>
  <c r="AH36" i="2"/>
  <c r="AH38" i="2" s="1"/>
  <c r="AH40" i="2"/>
  <c r="AH46" i="2"/>
  <c r="AH45" i="2"/>
  <c r="AH54" i="2"/>
  <c r="AH53" i="2"/>
  <c r="AH58" i="2"/>
  <c r="AH60" i="2" s="1"/>
  <c r="AH65" i="2"/>
  <c r="AH64" i="2"/>
  <c r="AH63" i="2"/>
  <c r="AH70" i="2"/>
  <c r="AH74" i="2"/>
  <c r="AH92" i="2"/>
  <c r="AH91" i="2"/>
  <c r="AH90" i="2"/>
  <c r="AH89" i="2"/>
  <c r="AH88" i="2"/>
  <c r="AH87" i="2"/>
  <c r="AH86" i="2"/>
  <c r="AH85" i="2"/>
  <c r="AH84" i="2"/>
  <c r="AH83" i="2"/>
  <c r="AH96" i="2"/>
  <c r="AH117" i="2"/>
  <c r="AH116" i="2"/>
  <c r="AH115" i="2"/>
  <c r="AH114" i="2"/>
  <c r="AH113" i="2"/>
  <c r="AH112" i="2"/>
  <c r="AH111" i="2"/>
  <c r="AH110" i="2"/>
  <c r="AH109" i="2"/>
  <c r="AH108" i="2"/>
  <c r="AH107" i="2"/>
  <c r="AH106" i="2"/>
  <c r="AH105" i="2"/>
  <c r="AH104" i="2"/>
  <c r="AH103" i="2"/>
  <c r="AH102" i="2"/>
  <c r="AH101" i="2"/>
  <c r="AH122" i="2"/>
  <c r="AH124" i="2" s="1"/>
  <c r="AH132" i="2"/>
  <c r="AH131" i="2"/>
  <c r="AH130" i="2"/>
  <c r="AH129" i="2"/>
  <c r="AH128" i="2"/>
  <c r="AH127" i="2"/>
  <c r="AH145" i="2"/>
  <c r="AH144" i="2"/>
  <c r="AH143" i="2"/>
  <c r="AH142" i="2"/>
  <c r="AH141" i="2"/>
  <c r="AH140" i="2"/>
  <c r="AH139" i="2"/>
  <c r="AH138" i="2"/>
  <c r="AH137" i="2"/>
  <c r="AH157" i="2"/>
  <c r="AH156" i="2"/>
  <c r="AH155" i="2"/>
  <c r="AH154" i="2"/>
  <c r="AH161" i="2"/>
  <c r="AH163" i="2" s="1"/>
  <c r="AH170" i="2"/>
  <c r="AH205" i="2"/>
  <c r="AH204" i="2"/>
  <c r="AH203" i="2"/>
  <c r="AH202" i="2"/>
  <c r="AH201" i="2"/>
  <c r="AH200" i="2"/>
  <c r="AH199" i="2"/>
  <c r="AH198" i="2"/>
  <c r="AH197" i="2"/>
  <c r="AH196" i="2"/>
  <c r="AH195" i="2"/>
  <c r="AH194" i="2"/>
  <c r="AH193" i="2"/>
  <c r="AH192" i="2"/>
  <c r="AH191" i="2"/>
  <c r="AH190" i="2"/>
  <c r="AH189" i="2"/>
  <c r="AH188" i="2"/>
  <c r="AH187" i="2"/>
  <c r="AH186" i="2"/>
  <c r="AH185" i="2"/>
  <c r="AH184" i="2"/>
  <c r="AH183" i="2"/>
  <c r="AH182" i="2"/>
  <c r="AH181" i="2"/>
  <c r="AH180" i="2"/>
  <c r="AH179" i="2"/>
  <c r="AH178" i="2"/>
  <c r="AH177" i="2"/>
  <c r="AH176" i="2"/>
  <c r="AH175" i="2"/>
  <c r="AH209" i="2"/>
  <c r="AH222" i="2"/>
  <c r="AH221" i="2"/>
  <c r="AH220" i="2"/>
  <c r="AH226" i="2"/>
  <c r="AH230" i="2"/>
  <c r="AH238" i="2"/>
  <c r="AH242" i="2"/>
  <c r="AH244" i="2" s="1"/>
  <c r="AH246" i="2"/>
  <c r="AH252" i="2"/>
  <c r="AH258" i="2"/>
  <c r="AH264" i="2"/>
  <c r="AH2" i="2"/>
  <c r="J3" i="2"/>
  <c r="L3" i="2"/>
  <c r="N3" i="2"/>
  <c r="P3" i="2"/>
  <c r="R3" i="2"/>
  <c r="T3" i="2"/>
  <c r="V3" i="2"/>
  <c r="X3" i="2"/>
  <c r="Z3" i="2"/>
  <c r="AB3" i="2"/>
  <c r="AD3" i="2"/>
  <c r="AF3" i="2"/>
  <c r="J12" i="2"/>
  <c r="L12" i="2"/>
  <c r="N12" i="2"/>
  <c r="P12" i="2"/>
  <c r="R12" i="2"/>
  <c r="T12" i="2"/>
  <c r="V12" i="2"/>
  <c r="X12" i="2"/>
  <c r="Z12" i="2"/>
  <c r="AB12" i="2"/>
  <c r="AD12" i="2"/>
  <c r="AF12" i="2"/>
  <c r="AH24" i="2"/>
  <c r="J24" i="2"/>
  <c r="L24" i="2"/>
  <c r="N24" i="2"/>
  <c r="P24" i="2"/>
  <c r="R24" i="2"/>
  <c r="T24" i="2"/>
  <c r="V24" i="2"/>
  <c r="X24" i="2"/>
  <c r="Z24" i="2"/>
  <c r="AB24" i="2"/>
  <c r="AD24" i="2"/>
  <c r="AF24" i="2"/>
  <c r="AH28" i="2"/>
  <c r="J28" i="2"/>
  <c r="L28" i="2"/>
  <c r="N28" i="2"/>
  <c r="P28" i="2"/>
  <c r="R28" i="2"/>
  <c r="T28" i="2"/>
  <c r="V28" i="2"/>
  <c r="X28" i="2"/>
  <c r="Z28" i="2"/>
  <c r="AB28" i="2"/>
  <c r="AD28" i="2"/>
  <c r="AF28" i="2"/>
  <c r="AH33" i="2"/>
  <c r="J33" i="2"/>
  <c r="L33" i="2"/>
  <c r="N33" i="2"/>
  <c r="P33" i="2"/>
  <c r="R33" i="2"/>
  <c r="T33" i="2"/>
  <c r="V33" i="2"/>
  <c r="X33" i="2"/>
  <c r="Z33" i="2"/>
  <c r="AB33" i="2"/>
  <c r="AD33" i="2"/>
  <c r="AF33" i="2"/>
  <c r="J38" i="2"/>
  <c r="L38" i="2"/>
  <c r="N38" i="2"/>
  <c r="P38" i="2"/>
  <c r="R38" i="2"/>
  <c r="T38" i="2"/>
  <c r="V38" i="2"/>
  <c r="X38" i="2"/>
  <c r="Z38" i="2"/>
  <c r="AB38" i="2"/>
  <c r="AD38" i="2"/>
  <c r="AF38" i="2"/>
  <c r="AH42" i="2"/>
  <c r="J42" i="2"/>
  <c r="L42" i="2"/>
  <c r="N42" i="2"/>
  <c r="P42" i="2"/>
  <c r="R42" i="2"/>
  <c r="T42" i="2"/>
  <c r="V42" i="2"/>
  <c r="X42" i="2"/>
  <c r="Z42" i="2"/>
  <c r="AB42" i="2"/>
  <c r="AD42" i="2"/>
  <c r="AF42" i="2"/>
  <c r="J48" i="2"/>
  <c r="L48" i="2"/>
  <c r="N48" i="2"/>
  <c r="P48" i="2"/>
  <c r="R48" i="2"/>
  <c r="T48" i="2"/>
  <c r="V48" i="2"/>
  <c r="X48" i="2"/>
  <c r="Z48" i="2"/>
  <c r="AB48" i="2"/>
  <c r="AD48" i="2"/>
  <c r="AF48" i="2"/>
  <c r="AH48" i="2"/>
  <c r="AD50" i="2"/>
  <c r="J56" i="2"/>
  <c r="L56" i="2"/>
  <c r="N56" i="2"/>
  <c r="P56" i="2"/>
  <c r="R56" i="2"/>
  <c r="T56" i="2"/>
  <c r="V56" i="2"/>
  <c r="X56" i="2"/>
  <c r="Z56" i="2"/>
  <c r="AB56" i="2"/>
  <c r="AD56" i="2"/>
  <c r="AF56" i="2"/>
  <c r="AH56" i="2"/>
  <c r="J60" i="2"/>
  <c r="L60" i="2"/>
  <c r="N60" i="2"/>
  <c r="P60" i="2"/>
  <c r="R60" i="2"/>
  <c r="T60" i="2"/>
  <c r="V60" i="2"/>
  <c r="X60" i="2"/>
  <c r="Z60" i="2"/>
  <c r="AB60" i="2"/>
  <c r="AD60" i="2"/>
  <c r="AF60" i="2"/>
  <c r="J67" i="2"/>
  <c r="L67" i="2"/>
  <c r="N67" i="2"/>
  <c r="P67" i="2"/>
  <c r="R67" i="2"/>
  <c r="T67" i="2"/>
  <c r="V67" i="2"/>
  <c r="X67" i="2"/>
  <c r="Z67" i="2"/>
  <c r="AB67" i="2"/>
  <c r="AD67" i="2"/>
  <c r="AF67" i="2"/>
  <c r="AH67" i="2"/>
  <c r="AH72" i="2"/>
  <c r="J72" i="2"/>
  <c r="L72" i="2"/>
  <c r="N72" i="2"/>
  <c r="P72" i="2"/>
  <c r="R72" i="2"/>
  <c r="T72" i="2"/>
  <c r="V72" i="2"/>
  <c r="X72" i="2"/>
  <c r="Z72" i="2"/>
  <c r="AB72" i="2"/>
  <c r="AD72" i="2"/>
  <c r="AF72" i="2"/>
  <c r="AH76" i="2"/>
  <c r="J76" i="2"/>
  <c r="L76" i="2"/>
  <c r="L78" i="2" s="1"/>
  <c r="N76" i="2"/>
  <c r="P76" i="2"/>
  <c r="R76" i="2"/>
  <c r="T76" i="2"/>
  <c r="V76" i="2"/>
  <c r="X76" i="2"/>
  <c r="Z76" i="2"/>
  <c r="AB76" i="2"/>
  <c r="AD76" i="2"/>
  <c r="AF76" i="2"/>
  <c r="J94" i="2"/>
  <c r="L94" i="2"/>
  <c r="N94" i="2"/>
  <c r="P94" i="2"/>
  <c r="R94" i="2"/>
  <c r="T94" i="2"/>
  <c r="V94" i="2"/>
  <c r="X94" i="2"/>
  <c r="Z94" i="2"/>
  <c r="AB94" i="2"/>
  <c r="AD94" i="2"/>
  <c r="AF94" i="2"/>
  <c r="J98" i="2"/>
  <c r="L98" i="2"/>
  <c r="N98" i="2"/>
  <c r="P98" i="2"/>
  <c r="R98" i="2"/>
  <c r="T98" i="2"/>
  <c r="V98" i="2"/>
  <c r="X98" i="2"/>
  <c r="Z98" i="2"/>
  <c r="AB98" i="2"/>
  <c r="AD98" i="2"/>
  <c r="AF98" i="2"/>
  <c r="J119" i="2"/>
  <c r="L119" i="2"/>
  <c r="N119" i="2"/>
  <c r="P119" i="2"/>
  <c r="R119" i="2"/>
  <c r="T119" i="2"/>
  <c r="V119" i="2"/>
  <c r="X119" i="2"/>
  <c r="Z119" i="2"/>
  <c r="AB119" i="2"/>
  <c r="AD119" i="2"/>
  <c r="AF119" i="2"/>
  <c r="J124" i="2"/>
  <c r="L124" i="2"/>
  <c r="N124" i="2"/>
  <c r="P124" i="2"/>
  <c r="R124" i="2"/>
  <c r="T124" i="2"/>
  <c r="V124" i="2"/>
  <c r="X124" i="2"/>
  <c r="Z124" i="2"/>
  <c r="AB124" i="2"/>
  <c r="AD124" i="2"/>
  <c r="AF124" i="2"/>
  <c r="J134" i="2"/>
  <c r="L134" i="2"/>
  <c r="N134" i="2"/>
  <c r="P134" i="2"/>
  <c r="R134" i="2"/>
  <c r="T134" i="2"/>
  <c r="V134" i="2"/>
  <c r="X134" i="2"/>
  <c r="Z134" i="2"/>
  <c r="AB134" i="2"/>
  <c r="AD134" i="2"/>
  <c r="AF134" i="2"/>
  <c r="J147" i="2"/>
  <c r="L147" i="2"/>
  <c r="N147" i="2"/>
  <c r="P147" i="2"/>
  <c r="R147" i="2"/>
  <c r="T147" i="2"/>
  <c r="V147" i="2"/>
  <c r="X147" i="2"/>
  <c r="Z147" i="2"/>
  <c r="Z165" i="2" s="1"/>
  <c r="AB147" i="2"/>
  <c r="AD147" i="2"/>
  <c r="AF147" i="2"/>
  <c r="AH147" i="2"/>
  <c r="J151" i="2"/>
  <c r="L151" i="2"/>
  <c r="N151" i="2"/>
  <c r="P151" i="2"/>
  <c r="R151" i="2"/>
  <c r="T151" i="2"/>
  <c r="V151" i="2"/>
  <c r="X151" i="2"/>
  <c r="Z151" i="2"/>
  <c r="AB151" i="2"/>
  <c r="AD151" i="2"/>
  <c r="AF151" i="2"/>
  <c r="AH151" i="2"/>
  <c r="J159" i="2"/>
  <c r="L159" i="2"/>
  <c r="N159" i="2"/>
  <c r="P159" i="2"/>
  <c r="R159" i="2"/>
  <c r="T159" i="2"/>
  <c r="V159" i="2"/>
  <c r="X159" i="2"/>
  <c r="Z159" i="2"/>
  <c r="AB159" i="2"/>
  <c r="AD159" i="2"/>
  <c r="AF159" i="2"/>
  <c r="J163" i="2"/>
  <c r="L163" i="2"/>
  <c r="N163" i="2"/>
  <c r="P163" i="2"/>
  <c r="R163" i="2"/>
  <c r="T163" i="2"/>
  <c r="V163" i="2"/>
  <c r="X163" i="2"/>
  <c r="Z163" i="2"/>
  <c r="AB163" i="2"/>
  <c r="AD163" i="2"/>
  <c r="AF163" i="2"/>
  <c r="AH172" i="2"/>
  <c r="J172" i="2"/>
  <c r="L172" i="2"/>
  <c r="N172" i="2"/>
  <c r="P172" i="2"/>
  <c r="R172" i="2"/>
  <c r="T172" i="2"/>
  <c r="V172" i="2"/>
  <c r="X172" i="2"/>
  <c r="Z172" i="2"/>
  <c r="AB172" i="2"/>
  <c r="AD172" i="2"/>
  <c r="AF172" i="2"/>
  <c r="AH207" i="2"/>
  <c r="J207" i="2"/>
  <c r="L207" i="2"/>
  <c r="L213" i="2" s="1"/>
  <c r="N207" i="2"/>
  <c r="P207" i="2"/>
  <c r="R207" i="2"/>
  <c r="R213" i="2" s="1"/>
  <c r="T207" i="2"/>
  <c r="V207" i="2"/>
  <c r="X207" i="2"/>
  <c r="Z207" i="2"/>
  <c r="AB207" i="2"/>
  <c r="AD207" i="2"/>
  <c r="AF207" i="2"/>
  <c r="AH211" i="2"/>
  <c r="J211" i="2"/>
  <c r="L211" i="2"/>
  <c r="N211" i="2"/>
  <c r="P211" i="2"/>
  <c r="R211" i="2"/>
  <c r="T211" i="2"/>
  <c r="V211" i="2"/>
  <c r="X211" i="2"/>
  <c r="Z211" i="2"/>
  <c r="Z213" i="2" s="1"/>
  <c r="AB211" i="2"/>
  <c r="AD211" i="2"/>
  <c r="AF211" i="2"/>
  <c r="J213" i="2"/>
  <c r="AB213" i="2"/>
  <c r="J224" i="2"/>
  <c r="L224" i="2"/>
  <c r="N224" i="2"/>
  <c r="O224" i="2"/>
  <c r="P224" i="2"/>
  <c r="R224" i="2"/>
  <c r="T224" i="2"/>
  <c r="U224" i="2"/>
  <c r="V224" i="2"/>
  <c r="X224" i="2"/>
  <c r="Z224" i="2"/>
  <c r="AA224" i="2"/>
  <c r="AB224" i="2"/>
  <c r="AD224" i="2"/>
  <c r="AF224" i="2"/>
  <c r="AG224" i="2"/>
  <c r="AH224" i="2"/>
  <c r="J228" i="2"/>
  <c r="L228" i="2"/>
  <c r="N228" i="2"/>
  <c r="AH228" i="2" s="1"/>
  <c r="O228" i="2"/>
  <c r="P228" i="2"/>
  <c r="R228" i="2"/>
  <c r="T228" i="2"/>
  <c r="U228" i="2"/>
  <c r="V228" i="2"/>
  <c r="X228" i="2"/>
  <c r="Z228" i="2"/>
  <c r="AA228" i="2"/>
  <c r="AB228" i="2"/>
  <c r="AD228" i="2"/>
  <c r="AF228" i="2"/>
  <c r="AG228" i="2"/>
  <c r="J232" i="2"/>
  <c r="L232" i="2"/>
  <c r="N232" i="2"/>
  <c r="O232" i="2"/>
  <c r="P232" i="2"/>
  <c r="R232" i="2"/>
  <c r="T232" i="2"/>
  <c r="U232" i="2"/>
  <c r="V232" i="2"/>
  <c r="X232" i="2"/>
  <c r="Z232" i="2"/>
  <c r="AA232" i="2"/>
  <c r="AB232" i="2"/>
  <c r="AD232" i="2"/>
  <c r="AF232" i="2"/>
  <c r="AG232" i="2"/>
  <c r="O234" i="2"/>
  <c r="U234" i="2"/>
  <c r="AA234" i="2"/>
  <c r="AG234" i="2"/>
  <c r="O236" i="2"/>
  <c r="U236" i="2"/>
  <c r="AA236" i="2"/>
  <c r="AG236" i="2"/>
  <c r="J240" i="2"/>
  <c r="L240" i="2"/>
  <c r="N240" i="2"/>
  <c r="O240" i="2"/>
  <c r="P240" i="2"/>
  <c r="R240" i="2"/>
  <c r="T240" i="2"/>
  <c r="U240" i="2"/>
  <c r="V240" i="2"/>
  <c r="X240" i="2"/>
  <c r="Z240" i="2"/>
  <c r="AA240" i="2"/>
  <c r="AB240" i="2"/>
  <c r="AD240" i="2"/>
  <c r="AF240" i="2"/>
  <c r="AG240" i="2"/>
  <c r="AH240" i="2"/>
  <c r="J244" i="2"/>
  <c r="L244" i="2"/>
  <c r="N244" i="2"/>
  <c r="O244" i="2"/>
  <c r="P244" i="2"/>
  <c r="R244" i="2"/>
  <c r="T244" i="2"/>
  <c r="U244" i="2"/>
  <c r="V244" i="2"/>
  <c r="X244" i="2"/>
  <c r="Z244" i="2"/>
  <c r="AA244" i="2"/>
  <c r="AB244" i="2"/>
  <c r="AD244" i="2"/>
  <c r="AF244" i="2"/>
  <c r="AG244" i="2"/>
  <c r="J248" i="2"/>
  <c r="L248" i="2"/>
  <c r="N248" i="2"/>
  <c r="O248" i="2"/>
  <c r="P248" i="2"/>
  <c r="R248" i="2"/>
  <c r="T248" i="2"/>
  <c r="U248" i="2"/>
  <c r="V248" i="2"/>
  <c r="X248" i="2"/>
  <c r="Z248" i="2"/>
  <c r="AA248" i="2"/>
  <c r="AB248" i="2"/>
  <c r="AD248" i="2"/>
  <c r="AF248" i="2"/>
  <c r="AG248" i="2"/>
  <c r="AH248" i="2"/>
  <c r="O250" i="2"/>
  <c r="U250" i="2"/>
  <c r="AA250" i="2"/>
  <c r="AG250" i="2"/>
  <c r="AH254" i="2"/>
  <c r="J254" i="2"/>
  <c r="L254" i="2"/>
  <c r="N254" i="2"/>
  <c r="O254" i="2"/>
  <c r="P254" i="2"/>
  <c r="R254" i="2"/>
  <c r="T254" i="2"/>
  <c r="U254" i="2"/>
  <c r="V254" i="2"/>
  <c r="X254" i="2"/>
  <c r="Z254" i="2"/>
  <c r="AA254" i="2"/>
  <c r="AB254" i="2"/>
  <c r="AD254" i="2"/>
  <c r="AF254" i="2"/>
  <c r="AG254" i="2"/>
  <c r="O256" i="2"/>
  <c r="U256" i="2"/>
  <c r="AA256" i="2"/>
  <c r="AG256" i="2"/>
  <c r="J260" i="2"/>
  <c r="L260" i="2"/>
  <c r="N260" i="2"/>
  <c r="O260" i="2"/>
  <c r="P260" i="2"/>
  <c r="R260" i="2"/>
  <c r="T260" i="2"/>
  <c r="U260" i="2"/>
  <c r="V260" i="2"/>
  <c r="X260" i="2"/>
  <c r="Z260" i="2"/>
  <c r="AA260" i="2"/>
  <c r="AB260" i="2"/>
  <c r="AD260" i="2"/>
  <c r="AF260" i="2"/>
  <c r="AG260" i="2"/>
  <c r="AH260" i="2"/>
  <c r="O262" i="2"/>
  <c r="U262" i="2"/>
  <c r="AA262" i="2"/>
  <c r="AG262" i="2"/>
  <c r="AH266" i="2"/>
  <c r="J266" i="2"/>
  <c r="L266" i="2"/>
  <c r="N266" i="2"/>
  <c r="O266" i="2"/>
  <c r="P266" i="2"/>
  <c r="R266" i="2"/>
  <c r="T266" i="2"/>
  <c r="U266" i="2"/>
  <c r="V266" i="2"/>
  <c r="X266" i="2"/>
  <c r="Z266" i="2"/>
  <c r="AA266" i="2"/>
  <c r="AB266" i="2"/>
  <c r="AD266" i="2"/>
  <c r="AF266" i="2"/>
  <c r="AG266" i="2"/>
  <c r="O268" i="2"/>
  <c r="U268" i="2"/>
  <c r="AA268" i="2"/>
  <c r="AG268" i="2"/>
  <c r="J272" i="2"/>
  <c r="L272" i="2"/>
  <c r="N272" i="2"/>
  <c r="P272" i="2"/>
  <c r="R272" i="2"/>
  <c r="T272" i="2"/>
  <c r="V272" i="2"/>
  <c r="X272" i="2"/>
  <c r="Z272" i="2"/>
  <c r="AB272" i="2"/>
  <c r="AD272" i="2"/>
  <c r="AF272" i="2"/>
  <c r="AH272" i="2"/>
  <c r="W277" i="2"/>
  <c r="W278" i="2"/>
  <c r="B5" i="2"/>
  <c r="B4" i="2"/>
  <c r="Z78" i="2" l="1"/>
  <c r="R78" i="2"/>
  <c r="Z234" i="2"/>
  <c r="N234" i="2"/>
  <c r="R165" i="2"/>
  <c r="AF165" i="2"/>
  <c r="J78" i="2"/>
  <c r="P165" i="2"/>
  <c r="AD165" i="2"/>
  <c r="V165" i="2"/>
  <c r="X165" i="2"/>
  <c r="N50" i="2"/>
  <c r="AB50" i="2"/>
  <c r="T50" i="2"/>
  <c r="L50" i="2"/>
  <c r="T213" i="2"/>
  <c r="AD213" i="2"/>
  <c r="V213" i="2"/>
  <c r="N213" i="2"/>
  <c r="AF213" i="2"/>
  <c r="X213" i="2"/>
  <c r="P213" i="2"/>
  <c r="AF234" i="2"/>
  <c r="T234" i="2"/>
  <c r="J165" i="2"/>
  <c r="AB78" i="2"/>
  <c r="T78" i="2"/>
  <c r="V50" i="2"/>
  <c r="AF50" i="2"/>
  <c r="X50" i="2"/>
  <c r="P50" i="2"/>
  <c r="AH232" i="2"/>
  <c r="AH234" i="2" s="1"/>
  <c r="AB234" i="2"/>
  <c r="V234" i="2"/>
  <c r="P234" i="2"/>
  <c r="J234" i="2"/>
  <c r="N165" i="2"/>
  <c r="L80" i="2"/>
  <c r="AF78" i="2"/>
  <c r="X78" i="2"/>
  <c r="P78" i="2"/>
  <c r="Z50" i="2"/>
  <c r="Z80" i="2" s="1"/>
  <c r="Z167" i="2" s="1"/>
  <c r="Z216" i="2" s="1"/>
  <c r="R50" i="2"/>
  <c r="R80" i="2" s="1"/>
  <c r="R167" i="2" s="1"/>
  <c r="R216" i="2" s="1"/>
  <c r="J50" i="2"/>
  <c r="J80" i="2" s="1"/>
  <c r="J167" i="2" s="1"/>
  <c r="J216" i="2" s="1"/>
  <c r="AD234" i="2"/>
  <c r="X234" i="2"/>
  <c r="R234" i="2"/>
  <c r="L234" i="2"/>
  <c r="AH78" i="2"/>
  <c r="AD78" i="2"/>
  <c r="AD80" i="2" s="1"/>
  <c r="V78" i="2"/>
  <c r="N78" i="2"/>
  <c r="AH213" i="2"/>
  <c r="AH159" i="2"/>
  <c r="AH119" i="2"/>
  <c r="AH94" i="2"/>
  <c r="AB165" i="2"/>
  <c r="T165" i="2"/>
  <c r="L165" i="2"/>
  <c r="AH134" i="2"/>
  <c r="AH98" i="2"/>
  <c r="AH50" i="2"/>
  <c r="AD167" i="2" l="1"/>
  <c r="AD216" i="2" s="1"/>
  <c r="T80" i="2"/>
  <c r="N80" i="2"/>
  <c r="AB80" i="2"/>
  <c r="AF80" i="2"/>
  <c r="AF167" i="2" s="1"/>
  <c r="AF216" i="2" s="1"/>
  <c r="AF218" i="2" s="1"/>
  <c r="V80" i="2"/>
  <c r="V167" i="2" s="1"/>
  <c r="V216" i="2" s="1"/>
  <c r="V236" i="2" s="1"/>
  <c r="V250" i="2" s="1"/>
  <c r="V256" i="2" s="1"/>
  <c r="V262" i="2" s="1"/>
  <c r="V268" i="2" s="1"/>
  <c r="V277" i="2" s="1"/>
  <c r="V278" i="2" s="1"/>
  <c r="L167" i="2"/>
  <c r="L216" i="2" s="1"/>
  <c r="AB167" i="2"/>
  <c r="AB216" i="2" s="1"/>
  <c r="AB218" i="2" s="1"/>
  <c r="P80" i="2"/>
  <c r="P167" i="2" s="1"/>
  <c r="P216" i="2" s="1"/>
  <c r="P218" i="2" s="1"/>
  <c r="T167" i="2"/>
  <c r="T216" i="2" s="1"/>
  <c r="T236" i="2" s="1"/>
  <c r="T250" i="2" s="1"/>
  <c r="T256" i="2" s="1"/>
  <c r="T262" i="2" s="1"/>
  <c r="T268" i="2" s="1"/>
  <c r="X80" i="2"/>
  <c r="X167" i="2" s="1"/>
  <c r="X216" i="2" s="1"/>
  <c r="V218" i="2"/>
  <c r="R218" i="2"/>
  <c r="R236" i="2"/>
  <c r="R250" i="2" s="1"/>
  <c r="R256" i="2" s="1"/>
  <c r="R262" i="2" s="1"/>
  <c r="R268" i="2" s="1"/>
  <c r="AI13" i="2"/>
  <c r="AI21" i="2"/>
  <c r="AI19" i="2"/>
  <c r="AI17" i="2"/>
  <c r="AI26" i="2"/>
  <c r="AI36" i="2"/>
  <c r="AI46" i="2"/>
  <c r="AI54" i="2"/>
  <c r="AI58" i="2"/>
  <c r="AI64" i="2"/>
  <c r="AI70" i="2"/>
  <c r="AI92" i="2"/>
  <c r="AI90" i="2"/>
  <c r="AI88" i="2"/>
  <c r="AI86" i="2"/>
  <c r="AI84" i="2"/>
  <c r="AI96" i="2"/>
  <c r="AI116" i="2"/>
  <c r="AI114" i="2"/>
  <c r="AI112" i="2"/>
  <c r="AI110" i="2"/>
  <c r="AI108" i="2"/>
  <c r="AI106" i="2"/>
  <c r="AI104" i="2"/>
  <c r="AI102" i="2"/>
  <c r="AI122" i="2"/>
  <c r="AI131" i="2"/>
  <c r="AI129" i="2"/>
  <c r="AI127" i="2"/>
  <c r="AI144" i="2"/>
  <c r="AI142" i="2"/>
  <c r="AI140" i="2"/>
  <c r="AI138" i="2"/>
  <c r="AI157" i="2"/>
  <c r="AI155" i="2"/>
  <c r="AI161" i="2"/>
  <c r="AI205" i="2"/>
  <c r="AI203" i="2"/>
  <c r="AI201" i="2"/>
  <c r="AI199" i="2"/>
  <c r="AI197" i="2"/>
  <c r="AI195" i="2"/>
  <c r="AI193" i="2"/>
  <c r="AI191" i="2"/>
  <c r="AI189" i="2"/>
  <c r="AI187" i="2"/>
  <c r="AI185" i="2"/>
  <c r="AI183" i="2"/>
  <c r="AI181" i="2"/>
  <c r="AI179" i="2"/>
  <c r="AI177" i="2"/>
  <c r="AI175" i="2"/>
  <c r="AI222" i="2"/>
  <c r="AI220" i="2"/>
  <c r="AI230" i="2"/>
  <c r="AI242" i="2"/>
  <c r="AI252" i="2"/>
  <c r="AI264" i="2"/>
  <c r="AI22" i="2"/>
  <c r="AI20" i="2"/>
  <c r="AI18" i="2"/>
  <c r="AI16" i="2"/>
  <c r="AI31" i="2"/>
  <c r="AI40" i="2"/>
  <c r="AI45" i="2"/>
  <c r="AI53" i="2"/>
  <c r="AI65" i="2"/>
  <c r="AI63" i="2"/>
  <c r="AI74" i="2"/>
  <c r="AI91" i="2"/>
  <c r="AI89" i="2"/>
  <c r="AI87" i="2"/>
  <c r="AI85" i="2"/>
  <c r="AI83" i="2"/>
  <c r="AI117" i="2"/>
  <c r="AI115" i="2"/>
  <c r="AI113" i="2"/>
  <c r="AI111" i="2"/>
  <c r="AI109" i="2"/>
  <c r="AI107" i="2"/>
  <c r="AI105" i="2"/>
  <c r="AI103" i="2"/>
  <c r="AI101" i="2"/>
  <c r="AI132" i="2"/>
  <c r="AI130" i="2"/>
  <c r="AI128" i="2"/>
  <c r="AI145" i="2"/>
  <c r="AI143" i="2"/>
  <c r="AI141" i="2"/>
  <c r="AI139" i="2"/>
  <c r="AI137" i="2"/>
  <c r="AI156" i="2"/>
  <c r="AI154" i="2"/>
  <c r="AI170" i="2"/>
  <c r="AI204" i="2"/>
  <c r="AI202" i="2"/>
  <c r="AI200" i="2"/>
  <c r="AI198" i="2"/>
  <c r="AI196" i="2"/>
  <c r="AI194" i="2"/>
  <c r="AI192" i="2"/>
  <c r="AI190" i="2"/>
  <c r="AI188" i="2"/>
  <c r="AI186" i="2"/>
  <c r="AI184" i="2"/>
  <c r="AI182" i="2"/>
  <c r="AI180" i="2"/>
  <c r="AI178" i="2"/>
  <c r="AI176" i="2"/>
  <c r="AI209" i="2"/>
  <c r="AI221" i="2"/>
  <c r="AI226" i="2"/>
  <c r="AI238" i="2"/>
  <c r="AI246" i="2"/>
  <c r="AI258" i="2"/>
  <c r="N167" i="2"/>
  <c r="N216" i="2" s="1"/>
  <c r="N218" i="2" s="1"/>
  <c r="AH165" i="2"/>
  <c r="J236" i="2"/>
  <c r="J250" i="2" s="1"/>
  <c r="J256" i="2" s="1"/>
  <c r="J262" i="2" s="1"/>
  <c r="J268" i="2" s="1"/>
  <c r="J218" i="2"/>
  <c r="T218" i="2"/>
  <c r="AI2" i="2"/>
  <c r="AH80" i="2"/>
  <c r="AI80" i="2" s="1"/>
  <c r="AI24" i="2"/>
  <c r="AI28" i="2"/>
  <c r="AI33" i="2"/>
  <c r="AI38" i="2"/>
  <c r="AI42" i="2"/>
  <c r="AI50" i="2"/>
  <c r="AI67" i="2"/>
  <c r="AI72" i="2"/>
  <c r="AI76" i="2"/>
  <c r="AI98" i="2"/>
  <c r="AI134" i="2"/>
  <c r="AI151" i="2"/>
  <c r="AI165" i="2"/>
  <c r="AI48" i="2"/>
  <c r="AI56" i="2"/>
  <c r="AI60" i="2"/>
  <c r="AI78" i="2"/>
  <c r="AI94" i="2"/>
  <c r="AI119" i="2"/>
  <c r="AI124" i="2"/>
  <c r="AI147" i="2"/>
  <c r="AI172" i="2"/>
  <c r="AI207" i="2"/>
  <c r="AI211" i="2"/>
  <c r="AI234" i="2"/>
  <c r="AI254" i="2"/>
  <c r="AI266" i="2"/>
  <c r="AI163" i="2"/>
  <c r="AI159" i="2"/>
  <c r="AI213" i="2"/>
  <c r="AI224" i="2"/>
  <c r="AI228" i="2"/>
  <c r="AI232" i="2"/>
  <c r="AI240" i="2"/>
  <c r="AI244" i="2"/>
  <c r="AI248" i="2"/>
  <c r="AI260" i="2"/>
  <c r="Z236" i="2"/>
  <c r="Z250" i="2" s="1"/>
  <c r="Z256" i="2" s="1"/>
  <c r="Z262" i="2" s="1"/>
  <c r="Z268" i="2" s="1"/>
  <c r="Z277" i="2" s="1"/>
  <c r="Z278" i="2" s="1"/>
  <c r="Z218" i="2"/>
  <c r="AD218" i="2"/>
  <c r="AD236" i="2"/>
  <c r="AD250" i="2" s="1"/>
  <c r="AD256" i="2" s="1"/>
  <c r="AD262" i="2" s="1"/>
  <c r="AD268" i="2" s="1"/>
  <c r="AD277" i="2" s="1"/>
  <c r="AD278" i="2" s="1"/>
  <c r="L218" i="2"/>
  <c r="L236" i="2"/>
  <c r="L250" i="2" s="1"/>
  <c r="L256" i="2" s="1"/>
  <c r="L262" i="2" s="1"/>
  <c r="L268" i="2" s="1"/>
  <c r="N236" i="2"/>
  <c r="N250" i="2" s="1"/>
  <c r="N256" i="2" s="1"/>
  <c r="N262" i="2" s="1"/>
  <c r="N268" i="2" s="1"/>
  <c r="T45" i="10"/>
  <c r="B102" i="10"/>
  <c r="T66" i="10" s="1"/>
  <c r="AB236" i="2" l="1"/>
  <c r="AB250" i="2" s="1"/>
  <c r="AB256" i="2" s="1"/>
  <c r="AB262" i="2" s="1"/>
  <c r="AB268" i="2" s="1"/>
  <c r="AB277" i="2" s="1"/>
  <c r="AB278" i="2" s="1"/>
  <c r="P236" i="2"/>
  <c r="P250" i="2" s="1"/>
  <c r="P256" i="2" s="1"/>
  <c r="P262" i="2" s="1"/>
  <c r="P268" i="2" s="1"/>
  <c r="AF236" i="2"/>
  <c r="AF250" i="2" s="1"/>
  <c r="AF256" i="2" s="1"/>
  <c r="AF262" i="2" s="1"/>
  <c r="AF268" i="2" s="1"/>
  <c r="AF277" i="2" s="1"/>
  <c r="AF278" i="2" s="1"/>
  <c r="X218" i="2"/>
  <c r="X236" i="2"/>
  <c r="X250" i="2" s="1"/>
  <c r="X256" i="2" s="1"/>
  <c r="X262" i="2" s="1"/>
  <c r="X268" i="2" s="1"/>
  <c r="X277" i="2" s="1"/>
  <c r="X278" i="2" s="1"/>
  <c r="AH167" i="2"/>
  <c r="AH216" i="2" s="1"/>
  <c r="AI216" i="2" s="1"/>
  <c r="AH218" i="2" l="1"/>
  <c r="AI218" i="2" s="1"/>
  <c r="AI167" i="2"/>
  <c r="AH236" i="2"/>
  <c r="AH250" i="2" s="1"/>
  <c r="K99" i="1"/>
  <c r="J99" i="1"/>
  <c r="AI236" i="2" l="1"/>
  <c r="AH256" i="2"/>
  <c r="AI250" i="2"/>
  <c r="E90" i="13"/>
  <c r="E89" i="13"/>
  <c r="C25" i="24"/>
  <c r="C26" i="24" s="1"/>
  <c r="B21" i="24"/>
  <c r="AH262" i="2" l="1"/>
  <c r="AI256" i="2"/>
  <c r="N38" i="23"/>
  <c r="J38" i="23"/>
  <c r="F38" i="23"/>
  <c r="N37" i="23"/>
  <c r="M37" i="23"/>
  <c r="L37" i="23"/>
  <c r="K37" i="23"/>
  <c r="J37" i="23"/>
  <c r="I37" i="23"/>
  <c r="H37" i="23"/>
  <c r="G37" i="23"/>
  <c r="F37" i="23"/>
  <c r="E37" i="23"/>
  <c r="D37" i="23"/>
  <c r="C37" i="23"/>
  <c r="O37" i="23" s="1"/>
  <c r="N36" i="23"/>
  <c r="M36" i="23"/>
  <c r="M38" i="23" s="1"/>
  <c r="L36" i="23"/>
  <c r="L38" i="23" s="1"/>
  <c r="K36" i="23"/>
  <c r="K38" i="23" s="1"/>
  <c r="J36" i="23"/>
  <c r="I36" i="23"/>
  <c r="I38" i="23" s="1"/>
  <c r="H36" i="23"/>
  <c r="H38" i="23" s="1"/>
  <c r="G36" i="23"/>
  <c r="G38" i="23" s="1"/>
  <c r="F36" i="23"/>
  <c r="E36" i="23"/>
  <c r="E38" i="23" s="1"/>
  <c r="D36" i="23"/>
  <c r="D38" i="23" s="1"/>
  <c r="C36" i="23"/>
  <c r="O36" i="23" s="1"/>
  <c r="N26" i="23"/>
  <c r="M26" i="23"/>
  <c r="M25" i="23" s="1"/>
  <c r="M21" i="23" s="1"/>
  <c r="L26" i="23"/>
  <c r="K26" i="23"/>
  <c r="J26" i="23"/>
  <c r="I26" i="23"/>
  <c r="I25" i="23" s="1"/>
  <c r="I21" i="23" s="1"/>
  <c r="H26" i="23"/>
  <c r="G26" i="23"/>
  <c r="F26" i="23"/>
  <c r="E26" i="23"/>
  <c r="E25" i="23" s="1"/>
  <c r="E21" i="23" s="1"/>
  <c r="D26" i="23"/>
  <c r="C26" i="23"/>
  <c r="N25" i="23"/>
  <c r="N21" i="23" s="1"/>
  <c r="N22" i="23" s="1"/>
  <c r="N23" i="23" s="1"/>
  <c r="J25" i="23"/>
  <c r="J21" i="23" s="1"/>
  <c r="J22" i="23" s="1"/>
  <c r="J23" i="23" s="1"/>
  <c r="F25" i="23"/>
  <c r="F21" i="23" s="1"/>
  <c r="F22" i="23" s="1"/>
  <c r="F23" i="23" s="1"/>
  <c r="D25" i="23"/>
  <c r="C25" i="23"/>
  <c r="N24" i="23"/>
  <c r="M24" i="23"/>
  <c r="L24" i="23"/>
  <c r="L25" i="23" s="1"/>
  <c r="L21" i="23" s="1"/>
  <c r="K24" i="23"/>
  <c r="K20" i="23" s="1"/>
  <c r="J24" i="23"/>
  <c r="I24" i="23"/>
  <c r="H24" i="23"/>
  <c r="H25" i="23" s="1"/>
  <c r="H21" i="23" s="1"/>
  <c r="G24" i="23"/>
  <c r="G20" i="23" s="1"/>
  <c r="F24" i="23"/>
  <c r="E24" i="23"/>
  <c r="D21" i="23"/>
  <c r="C21" i="23"/>
  <c r="C22" i="23" s="1"/>
  <c r="C23" i="23" s="1"/>
  <c r="N20" i="23"/>
  <c r="M20" i="23"/>
  <c r="M22" i="23" s="1"/>
  <c r="M23" i="23" s="1"/>
  <c r="L20" i="23"/>
  <c r="L22" i="23" s="1"/>
  <c r="L23" i="23" s="1"/>
  <c r="J20" i="23"/>
  <c r="I20" i="23"/>
  <c r="I22" i="23" s="1"/>
  <c r="I23" i="23" s="1"/>
  <c r="H20" i="23"/>
  <c r="F20" i="23"/>
  <c r="E20" i="23"/>
  <c r="E22" i="23" s="1"/>
  <c r="E23" i="23" s="1"/>
  <c r="D20" i="23"/>
  <c r="D22" i="23" s="1"/>
  <c r="D23" i="23" s="1"/>
  <c r="C20" i="23"/>
  <c r="D19" i="23"/>
  <c r="E19" i="23" s="1"/>
  <c r="F19" i="23" s="1"/>
  <c r="G19" i="23" s="1"/>
  <c r="H19" i="23" s="1"/>
  <c r="I19" i="23" s="1"/>
  <c r="J19" i="23" s="1"/>
  <c r="K19" i="23" s="1"/>
  <c r="L19" i="23" s="1"/>
  <c r="M19" i="23" s="1"/>
  <c r="N19" i="23" s="1"/>
  <c r="C19" i="23"/>
  <c r="N14" i="23"/>
  <c r="M14" i="23"/>
  <c r="M13" i="23" s="1"/>
  <c r="L14" i="23"/>
  <c r="K14" i="23"/>
  <c r="J14" i="23"/>
  <c r="I14" i="23"/>
  <c r="I13" i="23" s="1"/>
  <c r="H14" i="23"/>
  <c r="G14" i="23"/>
  <c r="F14" i="23"/>
  <c r="E14" i="23"/>
  <c r="E13" i="23" s="1"/>
  <c r="D14" i="23"/>
  <c r="C14" i="23"/>
  <c r="N13" i="23"/>
  <c r="N32" i="23" s="1"/>
  <c r="J13" i="23"/>
  <c r="J32" i="23" s="1"/>
  <c r="F13" i="23"/>
  <c r="F32" i="23" s="1"/>
  <c r="N12" i="23"/>
  <c r="N31" i="23" s="1"/>
  <c r="M12" i="23"/>
  <c r="M8" i="23" s="1"/>
  <c r="L12" i="23"/>
  <c r="L13" i="23" s="1"/>
  <c r="K12" i="23"/>
  <c r="K31" i="23" s="1"/>
  <c r="J12" i="23"/>
  <c r="J31" i="23" s="1"/>
  <c r="I12" i="23"/>
  <c r="I8" i="23" s="1"/>
  <c r="H12" i="23"/>
  <c r="H13" i="23" s="1"/>
  <c r="G12" i="23"/>
  <c r="G31" i="23" s="1"/>
  <c r="F12" i="23"/>
  <c r="F31" i="23" s="1"/>
  <c r="E12" i="23"/>
  <c r="E8" i="23" s="1"/>
  <c r="D12" i="23"/>
  <c r="D13" i="23" s="1"/>
  <c r="C12" i="23"/>
  <c r="C31" i="23" s="1"/>
  <c r="N8" i="23"/>
  <c r="L8" i="23"/>
  <c r="J8" i="23"/>
  <c r="H8" i="23"/>
  <c r="F8" i="23"/>
  <c r="D8" i="23"/>
  <c r="D7" i="23"/>
  <c r="E7" i="23" s="1"/>
  <c r="F7" i="23" s="1"/>
  <c r="G7" i="23" s="1"/>
  <c r="H7" i="23" s="1"/>
  <c r="I7" i="23" s="1"/>
  <c r="J7" i="23" s="1"/>
  <c r="K7" i="23" s="1"/>
  <c r="L7" i="23" s="1"/>
  <c r="M7" i="23" s="1"/>
  <c r="N7" i="23" s="1"/>
  <c r="AH268" i="2" l="1"/>
  <c r="AI262" i="2"/>
  <c r="J40" i="23"/>
  <c r="J33" i="23"/>
  <c r="J41" i="23" s="1"/>
  <c r="G40" i="23"/>
  <c r="N40" i="23"/>
  <c r="N33" i="23"/>
  <c r="N41" i="23" s="1"/>
  <c r="C40" i="23"/>
  <c r="K40" i="23"/>
  <c r="J10" i="23"/>
  <c r="J11" i="23" s="1"/>
  <c r="D9" i="23"/>
  <c r="D10" i="23" s="1"/>
  <c r="D11" i="23" s="1"/>
  <c r="D32" i="23"/>
  <c r="L9" i="23"/>
  <c r="L10" i="23" s="1"/>
  <c r="L11" i="23" s="1"/>
  <c r="L32" i="23"/>
  <c r="E9" i="23"/>
  <c r="E32" i="23"/>
  <c r="I32" i="23"/>
  <c r="I9" i="23"/>
  <c r="I10" i="23" s="1"/>
  <c r="I11" i="23" s="1"/>
  <c r="M32" i="23"/>
  <c r="M9" i="23"/>
  <c r="O20" i="23"/>
  <c r="H22" i="23"/>
  <c r="H23" i="23" s="1"/>
  <c r="F40" i="23"/>
  <c r="F33" i="23"/>
  <c r="F41" i="23" s="1"/>
  <c r="H9" i="23"/>
  <c r="H10" i="23" s="1"/>
  <c r="H11" i="23" s="1"/>
  <c r="H32" i="23"/>
  <c r="E10" i="23"/>
  <c r="M10" i="23"/>
  <c r="M11" i="23" s="1"/>
  <c r="O12" i="23"/>
  <c r="O24" i="23"/>
  <c r="D31" i="23"/>
  <c r="H31" i="23"/>
  <c r="L31" i="23"/>
  <c r="C8" i="23"/>
  <c r="F9" i="23"/>
  <c r="F10" i="23" s="1"/>
  <c r="F11" i="23" s="1"/>
  <c r="C13" i="23"/>
  <c r="G13" i="23"/>
  <c r="K13" i="23"/>
  <c r="G25" i="23"/>
  <c r="G21" i="23" s="1"/>
  <c r="G22" i="23" s="1"/>
  <c r="G23" i="23" s="1"/>
  <c r="K25" i="23"/>
  <c r="K21" i="23" s="1"/>
  <c r="K22" i="23" s="1"/>
  <c r="K23" i="23" s="1"/>
  <c r="E31" i="23"/>
  <c r="I31" i="23"/>
  <c r="M31" i="23"/>
  <c r="C38" i="23"/>
  <c r="O38" i="23" s="1"/>
  <c r="K8" i="23"/>
  <c r="N9" i="23"/>
  <c r="N10" i="23" s="1"/>
  <c r="N11" i="23" s="1"/>
  <c r="G8" i="23"/>
  <c r="J9" i="23"/>
  <c r="E11" i="23"/>
  <c r="AH277" i="2" l="1"/>
  <c r="AH278" i="2" s="1"/>
  <c r="AI268" i="2"/>
  <c r="AH275" i="2"/>
  <c r="C9" i="23"/>
  <c r="O13" i="23"/>
  <c r="C32" i="23"/>
  <c r="H40" i="23"/>
  <c r="H33" i="23"/>
  <c r="H41" i="23" s="1"/>
  <c r="M33" i="23"/>
  <c r="M41" i="23" s="1"/>
  <c r="M40" i="23"/>
  <c r="D40" i="23"/>
  <c r="D33" i="23"/>
  <c r="D41" i="23" s="1"/>
  <c r="O31" i="23"/>
  <c r="O14" i="23"/>
  <c r="I33" i="23"/>
  <c r="I41" i="23" s="1"/>
  <c r="I40" i="23"/>
  <c r="K9" i="23"/>
  <c r="K32" i="23"/>
  <c r="K33" i="23" s="1"/>
  <c r="K41" i="23" s="1"/>
  <c r="C10" i="23"/>
  <c r="C11" i="23" s="1"/>
  <c r="O8" i="23"/>
  <c r="O25" i="23"/>
  <c r="O26" i="23" s="1"/>
  <c r="K10" i="23"/>
  <c r="K11" i="23" s="1"/>
  <c r="E33" i="23"/>
  <c r="E41" i="23" s="1"/>
  <c r="E40" i="23"/>
  <c r="G9" i="23"/>
  <c r="G10" i="23" s="1"/>
  <c r="G11" i="23" s="1"/>
  <c r="G32" i="23"/>
  <c r="G33" i="23" s="1"/>
  <c r="G41" i="23" s="1"/>
  <c r="L40" i="23"/>
  <c r="O40" i="23" s="1"/>
  <c r="L33" i="23"/>
  <c r="L41" i="23" s="1"/>
  <c r="O21" i="23"/>
  <c r="O22" i="23" s="1"/>
  <c r="O32" i="23" l="1"/>
  <c r="O33" i="23" s="1"/>
  <c r="P33" i="23" s="1"/>
  <c r="C33" i="23"/>
  <c r="C41" i="23" s="1"/>
  <c r="O41" i="23" s="1"/>
  <c r="O10" i="23"/>
  <c r="O9" i="23"/>
  <c r="P127" i="22" l="1"/>
  <c r="P126" i="22"/>
  <c r="P125" i="22"/>
  <c r="P124" i="22"/>
  <c r="P123" i="22"/>
  <c r="P122" i="22"/>
  <c r="P109" i="22"/>
  <c r="P108" i="22"/>
  <c r="P107" i="22"/>
  <c r="P68" i="22"/>
  <c r="P69" i="22"/>
  <c r="P70" i="22"/>
  <c r="P71" i="22"/>
  <c r="P67" i="22"/>
  <c r="P66" i="22"/>
  <c r="P54" i="22"/>
  <c r="P53" i="22"/>
  <c r="P52" i="22"/>
  <c r="P51" i="22"/>
  <c r="P50" i="22"/>
  <c r="P49" i="22"/>
  <c r="AH7" i="22"/>
  <c r="AI7" i="22"/>
  <c r="AJ7" i="22"/>
  <c r="AK7" i="22"/>
  <c r="D11" i="22"/>
  <c r="E11" i="22"/>
  <c r="F11" i="22"/>
  <c r="G11" i="22"/>
  <c r="H11" i="22"/>
  <c r="I11" i="22"/>
  <c r="J11" i="22"/>
  <c r="K11" i="22"/>
  <c r="L11" i="22"/>
  <c r="M11" i="22"/>
  <c r="N11" i="22"/>
  <c r="O11" i="22"/>
  <c r="X11" i="22"/>
  <c r="AB11" i="22"/>
  <c r="AC11" i="22"/>
  <c r="D12" i="22"/>
  <c r="E12" i="22"/>
  <c r="F12" i="22"/>
  <c r="G12" i="22"/>
  <c r="H12" i="22"/>
  <c r="I12" i="22"/>
  <c r="J12" i="22"/>
  <c r="K12" i="22"/>
  <c r="L12" i="22"/>
  <c r="M12" i="22"/>
  <c r="N12" i="22"/>
  <c r="O12" i="22"/>
  <c r="V12" i="22"/>
  <c r="Y12" i="22" s="1"/>
  <c r="AA12" i="22" s="1"/>
  <c r="W12" i="22"/>
  <c r="X12" i="22"/>
  <c r="AB12" i="22"/>
  <c r="AC12" i="22"/>
  <c r="D13" i="22"/>
  <c r="E13" i="22"/>
  <c r="F13" i="22"/>
  <c r="G13" i="22"/>
  <c r="R13" i="22" s="1"/>
  <c r="H13" i="22"/>
  <c r="I13" i="22"/>
  <c r="J13" i="22"/>
  <c r="K13" i="22"/>
  <c r="L13" i="22"/>
  <c r="M13" i="22"/>
  <c r="N13" i="22"/>
  <c r="O13" i="22"/>
  <c r="W13" i="22"/>
  <c r="X13" i="22"/>
  <c r="AB13" i="22"/>
  <c r="AC13" i="22"/>
  <c r="D14" i="22"/>
  <c r="E14" i="22"/>
  <c r="F14" i="22"/>
  <c r="G14" i="22"/>
  <c r="G16" i="22" s="1"/>
  <c r="H14" i="22"/>
  <c r="I14" i="22"/>
  <c r="I16" i="22" s="1"/>
  <c r="J14" i="22"/>
  <c r="K14" i="22"/>
  <c r="L14" i="22"/>
  <c r="M14" i="22"/>
  <c r="M16" i="22" s="1"/>
  <c r="N14" i="22"/>
  <c r="N16" i="22" s="1"/>
  <c r="O14" i="22"/>
  <c r="W14" i="22"/>
  <c r="X14" i="22"/>
  <c r="X16" i="22" s="1"/>
  <c r="AB14" i="22"/>
  <c r="AB16" i="22" s="1"/>
  <c r="AC14" i="22"/>
  <c r="F16" i="22"/>
  <c r="J16" i="22"/>
  <c r="D19" i="22"/>
  <c r="E19" i="22"/>
  <c r="E21" i="22" s="1"/>
  <c r="F19" i="22"/>
  <c r="G19" i="22"/>
  <c r="H19" i="22"/>
  <c r="H21" i="22" s="1"/>
  <c r="I19" i="22"/>
  <c r="I21" i="22" s="1"/>
  <c r="J19" i="22"/>
  <c r="K19" i="22"/>
  <c r="K21" i="22" s="1"/>
  <c r="L19" i="22"/>
  <c r="L21" i="22" s="1"/>
  <c r="M19" i="22"/>
  <c r="N19" i="22"/>
  <c r="O19" i="22"/>
  <c r="O21" i="22" s="1"/>
  <c r="W19" i="22"/>
  <c r="X19" i="22"/>
  <c r="X21" i="22" s="1"/>
  <c r="AB19" i="22"/>
  <c r="AB21" i="22" s="1"/>
  <c r="AC19" i="22"/>
  <c r="AC21" i="22" s="1"/>
  <c r="F21" i="22"/>
  <c r="J21" i="22"/>
  <c r="N21" i="22"/>
  <c r="D24" i="22"/>
  <c r="E24" i="22"/>
  <c r="F24" i="22"/>
  <c r="G24" i="22"/>
  <c r="H24" i="22"/>
  <c r="I24" i="22"/>
  <c r="J24" i="22"/>
  <c r="K24" i="22"/>
  <c r="L24" i="22"/>
  <c r="M24" i="22"/>
  <c r="N24" i="22"/>
  <c r="O24" i="22"/>
  <c r="X24" i="22"/>
  <c r="AB24" i="22"/>
  <c r="AC24" i="22"/>
  <c r="D25" i="22"/>
  <c r="E25" i="22"/>
  <c r="F25" i="22"/>
  <c r="G25" i="22"/>
  <c r="H25" i="22"/>
  <c r="I25" i="22"/>
  <c r="J25" i="22"/>
  <c r="P25" i="22" s="1"/>
  <c r="K25" i="22"/>
  <c r="L25" i="22"/>
  <c r="M25" i="22"/>
  <c r="N25" i="22"/>
  <c r="O25" i="22"/>
  <c r="W25" i="22"/>
  <c r="X25" i="22"/>
  <c r="AB25" i="22"/>
  <c r="AC25" i="22"/>
  <c r="D26" i="22"/>
  <c r="E26" i="22"/>
  <c r="F26" i="22"/>
  <c r="G26" i="22"/>
  <c r="H26" i="22"/>
  <c r="I26" i="22"/>
  <c r="J26" i="22"/>
  <c r="K26" i="22"/>
  <c r="L26" i="22"/>
  <c r="M26" i="22"/>
  <c r="N26" i="22"/>
  <c r="O26" i="22"/>
  <c r="W26" i="22"/>
  <c r="X26" i="22"/>
  <c r="AB26" i="22"/>
  <c r="AC26" i="22"/>
  <c r="D27" i="22"/>
  <c r="E27" i="22"/>
  <c r="E29" i="22" s="1"/>
  <c r="F27" i="22"/>
  <c r="F29" i="22" s="1"/>
  <c r="G27" i="22"/>
  <c r="H27" i="22"/>
  <c r="I27" i="22"/>
  <c r="J27" i="22"/>
  <c r="K27" i="22"/>
  <c r="L27" i="22"/>
  <c r="M27" i="22"/>
  <c r="M29" i="22" s="1"/>
  <c r="N27" i="22"/>
  <c r="O27" i="22"/>
  <c r="X27" i="22"/>
  <c r="X29" i="22" s="1"/>
  <c r="AB27" i="22"/>
  <c r="AB29" i="22" s="1"/>
  <c r="AC27" i="22"/>
  <c r="AC29" i="22" s="1"/>
  <c r="J29" i="22"/>
  <c r="K29" i="22"/>
  <c r="N29" i="22"/>
  <c r="D32" i="22"/>
  <c r="E32" i="22"/>
  <c r="E34" i="22" s="1"/>
  <c r="F32" i="22"/>
  <c r="F34" i="22" s="1"/>
  <c r="G32" i="22"/>
  <c r="G34" i="22" s="1"/>
  <c r="H32" i="22"/>
  <c r="I32" i="22"/>
  <c r="I34" i="22" s="1"/>
  <c r="J32" i="22"/>
  <c r="J34" i="22" s="1"/>
  <c r="J36" i="22" s="1"/>
  <c r="J37" i="22" s="1"/>
  <c r="K32" i="22"/>
  <c r="L32" i="22"/>
  <c r="L34" i="22" s="1"/>
  <c r="M32" i="22"/>
  <c r="N32" i="22"/>
  <c r="N34" i="22" s="1"/>
  <c r="O32" i="22"/>
  <c r="O34" i="22" s="1"/>
  <c r="W32" i="22"/>
  <c r="W34" i="22" s="1"/>
  <c r="X32" i="22"/>
  <c r="X34" i="22" s="1"/>
  <c r="AB32" i="22"/>
  <c r="AC32" i="22"/>
  <c r="AC34" i="22" s="1"/>
  <c r="K34" i="22"/>
  <c r="M34" i="22"/>
  <c r="AB34" i="22"/>
  <c r="Q27" i="22" l="1"/>
  <c r="O29" i="22"/>
  <c r="G29" i="22"/>
  <c r="V25" i="22"/>
  <c r="Y25" i="22" s="1"/>
  <c r="AA25" i="22" s="1"/>
  <c r="AD25" i="22" s="1"/>
  <c r="R24" i="22"/>
  <c r="F36" i="22"/>
  <c r="F37" i="22" s="1"/>
  <c r="Q24" i="22"/>
  <c r="O16" i="22"/>
  <c r="K16" i="22"/>
  <c r="P72" i="22"/>
  <c r="R32" i="22"/>
  <c r="P26" i="22"/>
  <c r="R19" i="22"/>
  <c r="R21" i="22" s="1"/>
  <c r="P14" i="22"/>
  <c r="P12" i="22"/>
  <c r="Q12" i="22"/>
  <c r="P32" i="22"/>
  <c r="P34" i="22" s="1"/>
  <c r="AC16" i="22"/>
  <c r="V14" i="22"/>
  <c r="Y14" i="22" s="1"/>
  <c r="AA14" i="22" s="1"/>
  <c r="AD14" i="22" s="1"/>
  <c r="W16" i="22"/>
  <c r="P13" i="22"/>
  <c r="Q32" i="22"/>
  <c r="R27" i="22"/>
  <c r="S27" i="22" s="1"/>
  <c r="Q19" i="22"/>
  <c r="N36" i="22"/>
  <c r="N37" i="22" s="1"/>
  <c r="Q14" i="22"/>
  <c r="L16" i="22"/>
  <c r="H16" i="22"/>
  <c r="E16" i="22"/>
  <c r="E36" i="22" s="1"/>
  <c r="E37" i="22" s="1"/>
  <c r="L29" i="22"/>
  <c r="L36" i="22" s="1"/>
  <c r="L37" i="22" s="1"/>
  <c r="H29" i="22"/>
  <c r="AD12" i="22"/>
  <c r="V32" i="22"/>
  <c r="Y32" i="22" s="1"/>
  <c r="Y34" i="22" s="1"/>
  <c r="B26" i="10" s="1"/>
  <c r="K36" i="22"/>
  <c r="K37" i="22" s="1"/>
  <c r="AC36" i="22"/>
  <c r="V26" i="22"/>
  <c r="Y26" i="22" s="1"/>
  <c r="AA26" i="22" s="1"/>
  <c r="Q25" i="22"/>
  <c r="Q29" i="22" s="1"/>
  <c r="Q34" i="22" s="1"/>
  <c r="P24" i="22"/>
  <c r="G21" i="22"/>
  <c r="R14" i="22"/>
  <c r="S14" i="22" s="1"/>
  <c r="Q13" i="22"/>
  <c r="S13" i="22" s="1"/>
  <c r="R11" i="22"/>
  <c r="R16" i="22" s="1"/>
  <c r="Q26" i="22"/>
  <c r="P19" i="22"/>
  <c r="P21" i="22" s="1"/>
  <c r="P60" i="22" s="1"/>
  <c r="V13" i="22"/>
  <c r="Y13" i="22" s="1"/>
  <c r="AA13" i="22" s="1"/>
  <c r="AD13" i="22" s="1"/>
  <c r="R12" i="22"/>
  <c r="P11" i="22"/>
  <c r="Q11" i="22"/>
  <c r="P110" i="22"/>
  <c r="P128" i="22"/>
  <c r="P55" i="22"/>
  <c r="O36" i="22"/>
  <c r="O37" i="22" s="1"/>
  <c r="X36" i="22"/>
  <c r="S19" i="22"/>
  <c r="S21" i="22" s="1"/>
  <c r="AB36" i="22"/>
  <c r="S24" i="22"/>
  <c r="S12" i="22"/>
  <c r="P101" i="22"/>
  <c r="H34" i="22"/>
  <c r="H36" i="22" s="1"/>
  <c r="H37" i="22" s="1"/>
  <c r="V27" i="22"/>
  <c r="Y27" i="22" s="1"/>
  <c r="AA27" i="22" s="1"/>
  <c r="AD27" i="22" s="1"/>
  <c r="P27" i="22"/>
  <c r="Q21" i="22"/>
  <c r="M21" i="22"/>
  <c r="M36" i="22" s="1"/>
  <c r="M37" i="22" s="1"/>
  <c r="V19" i="22"/>
  <c r="I29" i="22"/>
  <c r="I36" i="22" s="1"/>
  <c r="I37" i="22" s="1"/>
  <c r="R26" i="22"/>
  <c r="R25" i="22"/>
  <c r="V24" i="22"/>
  <c r="V11" i="22"/>
  <c r="S11" i="22" l="1"/>
  <c r="P29" i="22"/>
  <c r="P36" i="22" s="1"/>
  <c r="P16" i="22"/>
  <c r="P42" i="22" s="1"/>
  <c r="P57" i="22" s="1"/>
  <c r="P58" i="22" s="1"/>
  <c r="G36" i="22"/>
  <c r="G37" i="22" s="1"/>
  <c r="S32" i="22"/>
  <c r="P74" i="22"/>
  <c r="R29" i="22"/>
  <c r="R34" i="22" s="1"/>
  <c r="R36" i="22" s="1"/>
  <c r="N28" i="10"/>
  <c r="B34" i="10"/>
  <c r="D230" i="1" s="1"/>
  <c r="S26" i="22"/>
  <c r="V34" i="22"/>
  <c r="AA32" i="22"/>
  <c r="Q16" i="22"/>
  <c r="P112" i="22"/>
  <c r="P113" i="22" s="1"/>
  <c r="P115" i="22"/>
  <c r="P130" i="22" s="1"/>
  <c r="Y11" i="22"/>
  <c r="V16" i="22"/>
  <c r="S25" i="22"/>
  <c r="S29" i="22" s="1"/>
  <c r="Y19" i="22"/>
  <c r="V21" i="22"/>
  <c r="AD32" i="22"/>
  <c r="AD34" i="22" s="1"/>
  <c r="B10" i="11" s="1"/>
  <c r="B19" i="11" s="1"/>
  <c r="AA34" i="22"/>
  <c r="V29" i="22"/>
  <c r="Y24" i="22"/>
  <c r="Q36" i="22"/>
  <c r="S16" i="22"/>
  <c r="V36" i="22" l="1"/>
  <c r="Y16" i="22"/>
  <c r="B24" i="10" s="1"/>
  <c r="AA11" i="22"/>
  <c r="AA19" i="22"/>
  <c r="Y21" i="22"/>
  <c r="B25" i="10" s="1"/>
  <c r="S34" i="22"/>
  <c r="S36" i="22" s="1"/>
  <c r="Y29" i="22"/>
  <c r="AA24" i="22"/>
  <c r="P134" i="22"/>
  <c r="P135" i="22" s="1"/>
  <c r="P131" i="22"/>
  <c r="Y36" i="22" l="1"/>
  <c r="B27" i="10"/>
  <c r="B32" i="10"/>
  <c r="D228" i="1" s="1"/>
  <c r="N29" i="10"/>
  <c r="N21" i="10"/>
  <c r="B33" i="10"/>
  <c r="AA21" i="22"/>
  <c r="AD19" i="22"/>
  <c r="AD21" i="22" s="1"/>
  <c r="B9" i="11" s="1"/>
  <c r="B18" i="11" s="1"/>
  <c r="AD11" i="22"/>
  <c r="AD16" i="22" s="1"/>
  <c r="B8" i="11" s="1"/>
  <c r="AA16" i="22"/>
  <c r="AD24" i="22"/>
  <c r="AD29" i="22" s="1"/>
  <c r="AA29" i="22"/>
  <c r="AD36" i="22" l="1"/>
  <c r="B11" i="11"/>
  <c r="B20" i="11" s="1"/>
  <c r="D229" i="1"/>
  <c r="B17" i="11"/>
  <c r="B22" i="11" s="1"/>
  <c r="N45" i="10"/>
  <c r="B35" i="10"/>
  <c r="D231" i="1" s="1"/>
  <c r="B28" i="10"/>
  <c r="AA36" i="22"/>
  <c r="B13" i="11" l="1"/>
  <c r="B25" i="11" s="1"/>
  <c r="B36" i="10"/>
  <c r="N66" i="10" s="1"/>
  <c r="C70" i="16" l="1"/>
  <c r="C127" i="15" l="1"/>
  <c r="D127" i="15" s="1"/>
  <c r="C126" i="15"/>
  <c r="D126" i="15" s="1"/>
  <c r="C40" i="16" l="1"/>
  <c r="C30" i="16"/>
  <c r="D22" i="15"/>
  <c r="C69" i="16" l="1"/>
  <c r="C68" i="16"/>
  <c r="C67" i="16"/>
  <c r="C66" i="16"/>
  <c r="C65" i="16"/>
  <c r="C64" i="16"/>
  <c r="C63" i="16"/>
  <c r="C62" i="16"/>
  <c r="C61" i="16"/>
  <c r="C60" i="16"/>
  <c r="C53" i="16" l="1"/>
  <c r="C52" i="16"/>
  <c r="C51" i="16"/>
  <c r="C50" i="16"/>
  <c r="C48" i="16"/>
  <c r="C46" i="16"/>
  <c r="C47" i="16"/>
  <c r="C45" i="16"/>
  <c r="C44" i="16"/>
  <c r="C39" i="16"/>
  <c r="C38" i="16"/>
  <c r="C37" i="16"/>
  <c r="C36" i="16"/>
  <c r="C35" i="16"/>
  <c r="C34" i="16"/>
  <c r="C33" i="16"/>
  <c r="C32" i="16"/>
  <c r="C31" i="16"/>
  <c r="C20" i="16"/>
  <c r="C22" i="16"/>
  <c r="C21" i="16"/>
  <c r="C18" i="16"/>
  <c r="C17" i="16"/>
  <c r="C14" i="16"/>
  <c r="C15" i="16"/>
  <c r="C16" i="16"/>
  <c r="C13" i="16"/>
  <c r="C12" i="16"/>
  <c r="D125" i="15"/>
  <c r="D124" i="15"/>
  <c r="D122" i="15"/>
  <c r="D123" i="15"/>
  <c r="D121" i="15"/>
  <c r="D120" i="15"/>
  <c r="D119" i="15"/>
  <c r="D118" i="15"/>
  <c r="D117" i="15"/>
  <c r="D115" i="15"/>
  <c r="D116" i="15"/>
  <c r="D114" i="15"/>
  <c r="D113" i="15"/>
  <c r="D112" i="15"/>
  <c r="D111" i="15"/>
  <c r="D110" i="15"/>
  <c r="D109" i="15"/>
  <c r="D108" i="15"/>
  <c r="D100" i="15"/>
  <c r="D99" i="15"/>
  <c r="D98" i="15"/>
  <c r="D97" i="15"/>
  <c r="D96" i="15"/>
  <c r="D95" i="15"/>
  <c r="D94" i="15"/>
  <c r="D92" i="15"/>
  <c r="D85" i="15"/>
  <c r="D86" i="15"/>
  <c r="D84" i="15"/>
  <c r="D83" i="15"/>
  <c r="D82" i="15"/>
  <c r="D81" i="15"/>
  <c r="D80" i="15"/>
  <c r="D79" i="15"/>
  <c r="D78" i="15"/>
  <c r="D77" i="15"/>
  <c r="D76" i="15"/>
  <c r="D75" i="15"/>
  <c r="D74" i="15"/>
  <c r="D73" i="15"/>
  <c r="D72" i="15"/>
  <c r="D71" i="15"/>
  <c r="D70" i="15"/>
  <c r="D69" i="15"/>
  <c r="D68" i="15"/>
  <c r="D67" i="15"/>
  <c r="D66" i="15"/>
  <c r="D65" i="15"/>
  <c r="D64" i="15"/>
  <c r="D63" i="15"/>
  <c r="D62" i="15"/>
  <c r="D61" i="15"/>
  <c r="D60" i="15"/>
  <c r="D59" i="15"/>
  <c r="D58" i="15"/>
  <c r="D57" i="15"/>
  <c r="D56" i="15"/>
  <c r="D55" i="15"/>
  <c r="D54" i="15"/>
  <c r="D53" i="15"/>
  <c r="D52" i="15"/>
  <c r="D41" i="15"/>
  <c r="D51" i="15"/>
  <c r="D50" i="15"/>
  <c r="D49" i="15"/>
  <c r="D48" i="15"/>
  <c r="D47" i="15"/>
  <c r="D46" i="15"/>
  <c r="D45" i="15"/>
  <c r="D44" i="15"/>
  <c r="D43" i="15"/>
  <c r="D42" i="15"/>
  <c r="D40" i="15"/>
  <c r="D32" i="15"/>
  <c r="D31" i="15"/>
  <c r="D30" i="15"/>
  <c r="D29" i="15"/>
  <c r="D28" i="15"/>
  <c r="D27" i="15"/>
  <c r="D26" i="15"/>
  <c r="D25" i="15"/>
  <c r="D24" i="15"/>
  <c r="D23" i="15"/>
  <c r="D21" i="15"/>
  <c r="D20" i="15"/>
  <c r="D19" i="15"/>
  <c r="D18" i="15"/>
  <c r="D17" i="15"/>
  <c r="D14" i="15"/>
  <c r="D15" i="15"/>
  <c r="D16" i="15"/>
  <c r="D13" i="15"/>
  <c r="D12" i="15"/>
  <c r="E12" i="15"/>
  <c r="E13" i="21"/>
  <c r="B13" i="21"/>
  <c r="H13" i="21" s="1"/>
  <c r="B12" i="21"/>
  <c r="G12" i="21" s="1"/>
  <c r="E11" i="21"/>
  <c r="B11" i="21"/>
  <c r="F11" i="21" s="1"/>
  <c r="D10" i="21"/>
  <c r="B10" i="21"/>
  <c r="E10" i="21" s="1"/>
  <c r="B8" i="21"/>
  <c r="G8" i="21" s="1"/>
  <c r="B7" i="21"/>
  <c r="F7" i="21" s="1"/>
  <c r="C7" i="21" l="1"/>
  <c r="G7" i="21"/>
  <c r="D8" i="21"/>
  <c r="H8" i="21"/>
  <c r="F10" i="21"/>
  <c r="C11" i="21"/>
  <c r="G11" i="21"/>
  <c r="D12" i="21"/>
  <c r="H12" i="21"/>
  <c r="D7" i="21"/>
  <c r="H7" i="21"/>
  <c r="E8" i="21"/>
  <c r="B9" i="21"/>
  <c r="C10" i="21"/>
  <c r="G10" i="21"/>
  <c r="D11" i="21"/>
  <c r="H11" i="21"/>
  <c r="E12" i="21"/>
  <c r="F13" i="21"/>
  <c r="E7" i="21"/>
  <c r="F8" i="21"/>
  <c r="H10" i="21"/>
  <c r="F12" i="21"/>
  <c r="C13" i="21"/>
  <c r="G13" i="21"/>
  <c r="C8" i="21"/>
  <c r="C12" i="21"/>
  <c r="D13" i="21"/>
  <c r="H9" i="21" l="1"/>
  <c r="D9" i="21"/>
  <c r="G9" i="21"/>
  <c r="C9" i="21"/>
  <c r="F9" i="21"/>
  <c r="E9" i="21"/>
  <c r="E18" i="7" l="1"/>
  <c r="E17" i="7"/>
  <c r="E18" i="6"/>
  <c r="E17" i="6"/>
  <c r="E31" i="13"/>
  <c r="D31" i="13"/>
  <c r="B85" i="10"/>
  <c r="B81" i="10"/>
  <c r="V193" i="20"/>
  <c r="T193" i="20"/>
  <c r="S193" i="20"/>
  <c r="R193" i="20"/>
  <c r="P193" i="20"/>
  <c r="N193" i="20"/>
  <c r="L193" i="20"/>
  <c r="J193" i="20"/>
  <c r="S183" i="20"/>
  <c r="R183" i="20"/>
  <c r="N183" i="20"/>
  <c r="L183" i="20"/>
  <c r="J183" i="20"/>
  <c r="P183" i="20" s="1"/>
  <c r="T181" i="20"/>
  <c r="V181" i="20" s="1"/>
  <c r="V183" i="20" s="1"/>
  <c r="P181" i="20"/>
  <c r="S179" i="20"/>
  <c r="R179" i="20"/>
  <c r="N179" i="20"/>
  <c r="L179" i="20"/>
  <c r="J179" i="20"/>
  <c r="P177" i="20"/>
  <c r="T177" i="20" s="1"/>
  <c r="S176" i="20"/>
  <c r="R176" i="20"/>
  <c r="N176" i="20"/>
  <c r="L176" i="20"/>
  <c r="J176" i="20"/>
  <c r="P174" i="20"/>
  <c r="T174" i="20" s="1"/>
  <c r="V174" i="20" s="1"/>
  <c r="V176" i="20" s="1"/>
  <c r="S173" i="20"/>
  <c r="R173" i="20"/>
  <c r="N173" i="20"/>
  <c r="L173" i="20"/>
  <c r="J173" i="20"/>
  <c r="P173" i="20" s="1"/>
  <c r="P171" i="20"/>
  <c r="T171" i="20" s="1"/>
  <c r="S170" i="20"/>
  <c r="R170" i="20"/>
  <c r="N170" i="20"/>
  <c r="L170" i="20"/>
  <c r="J170" i="20"/>
  <c r="P170" i="20" s="1"/>
  <c r="P168" i="20"/>
  <c r="T168" i="20" s="1"/>
  <c r="V168" i="20" s="1"/>
  <c r="V170" i="20" s="1"/>
  <c r="S167" i="20"/>
  <c r="R167" i="20"/>
  <c r="R185" i="20" s="1"/>
  <c r="N167" i="20"/>
  <c r="L167" i="20"/>
  <c r="J167" i="20"/>
  <c r="J185" i="20" s="1"/>
  <c r="P165" i="20"/>
  <c r="T165" i="20" s="1"/>
  <c r="S164" i="20"/>
  <c r="R164" i="20"/>
  <c r="N164" i="20"/>
  <c r="L164" i="20"/>
  <c r="J164" i="20"/>
  <c r="P162" i="20"/>
  <c r="T162" i="20" s="1"/>
  <c r="V162" i="20" s="1"/>
  <c r="V164" i="20" s="1"/>
  <c r="S161" i="20"/>
  <c r="S185" i="20" s="1"/>
  <c r="R161" i="20"/>
  <c r="N161" i="20"/>
  <c r="L161" i="20"/>
  <c r="J161" i="20"/>
  <c r="P159" i="20"/>
  <c r="T159" i="20" s="1"/>
  <c r="S155" i="20"/>
  <c r="R155" i="20"/>
  <c r="N155" i="20"/>
  <c r="L155" i="20"/>
  <c r="J155" i="20"/>
  <c r="P155" i="20" s="1"/>
  <c r="P153" i="20"/>
  <c r="T153" i="20" s="1"/>
  <c r="V153" i="20" s="1"/>
  <c r="V155" i="20" s="1"/>
  <c r="S152" i="20"/>
  <c r="R152" i="20"/>
  <c r="N152" i="20"/>
  <c r="L152" i="20"/>
  <c r="J152" i="20"/>
  <c r="P150" i="20"/>
  <c r="T150" i="20" s="1"/>
  <c r="S149" i="20"/>
  <c r="R149" i="20"/>
  <c r="N149" i="20"/>
  <c r="L149" i="20"/>
  <c r="J149" i="20"/>
  <c r="P147" i="20"/>
  <c r="T147" i="20" s="1"/>
  <c r="V147" i="20" s="1"/>
  <c r="V149" i="20" s="1"/>
  <c r="S146" i="20"/>
  <c r="R146" i="20"/>
  <c r="N146" i="20"/>
  <c r="L146" i="20"/>
  <c r="J146" i="20"/>
  <c r="P144" i="20"/>
  <c r="T144" i="20" s="1"/>
  <c r="T146" i="20" s="1"/>
  <c r="S143" i="20"/>
  <c r="R143" i="20"/>
  <c r="N143" i="20"/>
  <c r="L143" i="20"/>
  <c r="J143" i="20"/>
  <c r="P141" i="20"/>
  <c r="T141" i="20" s="1"/>
  <c r="V141" i="20" s="1"/>
  <c r="V143" i="20" s="1"/>
  <c r="S140" i="20"/>
  <c r="R140" i="20"/>
  <c r="N140" i="20"/>
  <c r="L140" i="20"/>
  <c r="P140" i="20" s="1"/>
  <c r="J140" i="20"/>
  <c r="P138" i="20"/>
  <c r="T138" i="20" s="1"/>
  <c r="S137" i="20"/>
  <c r="R137" i="20"/>
  <c r="N137" i="20"/>
  <c r="L137" i="20"/>
  <c r="J137" i="20"/>
  <c r="T135" i="20"/>
  <c r="V135" i="20" s="1"/>
  <c r="V137" i="20" s="1"/>
  <c r="P135" i="20"/>
  <c r="S130" i="20"/>
  <c r="R130" i="20"/>
  <c r="P130" i="20"/>
  <c r="N130" i="20"/>
  <c r="L130" i="20"/>
  <c r="J130" i="20"/>
  <c r="P128" i="20"/>
  <c r="T128" i="20" s="1"/>
  <c r="V128" i="20" s="1"/>
  <c r="T127" i="20"/>
  <c r="V127" i="20" s="1"/>
  <c r="P127" i="20"/>
  <c r="P126" i="20"/>
  <c r="T126" i="20" s="1"/>
  <c r="V126" i="20" s="1"/>
  <c r="T125" i="20"/>
  <c r="V125" i="20" s="1"/>
  <c r="V130" i="20" s="1"/>
  <c r="P125" i="20"/>
  <c r="V124" i="20"/>
  <c r="P124" i="20"/>
  <c r="T124" i="20" s="1"/>
  <c r="T123" i="20"/>
  <c r="S123" i="20"/>
  <c r="R123" i="20"/>
  <c r="N123" i="20"/>
  <c r="L123" i="20"/>
  <c r="J123" i="20"/>
  <c r="T121" i="20"/>
  <c r="V121" i="20" s="1"/>
  <c r="V123" i="20" s="1"/>
  <c r="P121" i="20"/>
  <c r="S120" i="20"/>
  <c r="R120" i="20"/>
  <c r="N120" i="20"/>
  <c r="L120" i="20"/>
  <c r="P120" i="20" s="1"/>
  <c r="J120" i="20"/>
  <c r="P118" i="20"/>
  <c r="T118" i="20" s="1"/>
  <c r="V118" i="20" s="1"/>
  <c r="T117" i="20"/>
  <c r="V117" i="20" s="1"/>
  <c r="P117" i="20"/>
  <c r="V116" i="20"/>
  <c r="P116" i="20"/>
  <c r="T116" i="20" s="1"/>
  <c r="T115" i="20"/>
  <c r="V115" i="20" s="1"/>
  <c r="P115" i="20"/>
  <c r="P114" i="20"/>
  <c r="T114" i="20" s="1"/>
  <c r="V114" i="20" s="1"/>
  <c r="T113" i="20"/>
  <c r="P113" i="20"/>
  <c r="S112" i="20"/>
  <c r="R112" i="20"/>
  <c r="N112" i="20"/>
  <c r="N132" i="20" s="1"/>
  <c r="L112" i="20"/>
  <c r="L132" i="20" s="1"/>
  <c r="J112" i="20"/>
  <c r="P110" i="20"/>
  <c r="T110" i="20" s="1"/>
  <c r="T112" i="20" s="1"/>
  <c r="S108" i="20"/>
  <c r="R108" i="20"/>
  <c r="N108" i="20"/>
  <c r="L108" i="20"/>
  <c r="J108" i="20"/>
  <c r="T106" i="20"/>
  <c r="V106" i="20" s="1"/>
  <c r="V108" i="20" s="1"/>
  <c r="P106" i="20"/>
  <c r="S102" i="20"/>
  <c r="R102" i="20"/>
  <c r="N102" i="20"/>
  <c r="L102" i="20"/>
  <c r="P102" i="20" s="1"/>
  <c r="J102" i="20"/>
  <c r="P100" i="20"/>
  <c r="T100" i="20" s="1"/>
  <c r="V100" i="20" s="1"/>
  <c r="T99" i="20"/>
  <c r="T102" i="20" s="1"/>
  <c r="P99" i="20"/>
  <c r="S98" i="20"/>
  <c r="R98" i="20"/>
  <c r="N98" i="20"/>
  <c r="L98" i="20"/>
  <c r="J98" i="20"/>
  <c r="P98" i="20" s="1"/>
  <c r="P96" i="20"/>
  <c r="T96" i="20" s="1"/>
  <c r="T98" i="20" s="1"/>
  <c r="S95" i="20"/>
  <c r="R95" i="20"/>
  <c r="N95" i="20"/>
  <c r="L95" i="20"/>
  <c r="J95" i="20"/>
  <c r="P93" i="20"/>
  <c r="T93" i="20" s="1"/>
  <c r="S92" i="20"/>
  <c r="R92" i="20"/>
  <c r="N92" i="20"/>
  <c r="L92" i="20"/>
  <c r="P92" i="20" s="1"/>
  <c r="J92" i="20"/>
  <c r="P90" i="20"/>
  <c r="T90" i="20" s="1"/>
  <c r="S89" i="20"/>
  <c r="R89" i="20"/>
  <c r="N89" i="20"/>
  <c r="L89" i="20"/>
  <c r="J89" i="20"/>
  <c r="P89" i="20" s="1"/>
  <c r="T87" i="20"/>
  <c r="V87" i="20" s="1"/>
  <c r="V89" i="20" s="1"/>
  <c r="P87" i="20"/>
  <c r="S86" i="20"/>
  <c r="R86" i="20"/>
  <c r="P86" i="20"/>
  <c r="N86" i="20"/>
  <c r="L86" i="20"/>
  <c r="J86" i="20"/>
  <c r="P84" i="20"/>
  <c r="T84" i="20" s="1"/>
  <c r="T86" i="20" s="1"/>
  <c r="S83" i="20"/>
  <c r="R83" i="20"/>
  <c r="N83" i="20"/>
  <c r="L83" i="20"/>
  <c r="J83" i="20"/>
  <c r="T81" i="20"/>
  <c r="V81" i="20" s="1"/>
  <c r="V83" i="20" s="1"/>
  <c r="P81" i="20"/>
  <c r="S80" i="20"/>
  <c r="R80" i="20"/>
  <c r="N80" i="20"/>
  <c r="L80" i="20"/>
  <c r="J80" i="20"/>
  <c r="P78" i="20"/>
  <c r="T78" i="20" s="1"/>
  <c r="S77" i="20"/>
  <c r="R77" i="20"/>
  <c r="N77" i="20"/>
  <c r="L77" i="20"/>
  <c r="J77" i="20"/>
  <c r="V75" i="20"/>
  <c r="T75" i="20"/>
  <c r="P75" i="20"/>
  <c r="V74" i="20"/>
  <c r="T74" i="20"/>
  <c r="P74" i="20"/>
  <c r="T73" i="20"/>
  <c r="V73" i="20" s="1"/>
  <c r="P73" i="20"/>
  <c r="P72" i="20"/>
  <c r="T72" i="20" s="1"/>
  <c r="V72" i="20" s="1"/>
  <c r="V71" i="20"/>
  <c r="T71" i="20"/>
  <c r="P71" i="20"/>
  <c r="V70" i="20"/>
  <c r="T70" i="20"/>
  <c r="P70" i="20"/>
  <c r="T69" i="20"/>
  <c r="V69" i="20" s="1"/>
  <c r="P69" i="20"/>
  <c r="P68" i="20"/>
  <c r="T68" i="20" s="1"/>
  <c r="V68" i="20" s="1"/>
  <c r="V67" i="20"/>
  <c r="T67" i="20"/>
  <c r="P67" i="20"/>
  <c r="V66" i="20"/>
  <c r="T66" i="20"/>
  <c r="P66" i="20"/>
  <c r="T65" i="20"/>
  <c r="V65" i="20" s="1"/>
  <c r="P65" i="20"/>
  <c r="P64" i="20"/>
  <c r="T64" i="20" s="1"/>
  <c r="V64" i="20" s="1"/>
  <c r="V63" i="20"/>
  <c r="T63" i="20"/>
  <c r="P63" i="20"/>
  <c r="V62" i="20"/>
  <c r="T62" i="20"/>
  <c r="P62" i="20"/>
  <c r="T61" i="20"/>
  <c r="V61" i="20" s="1"/>
  <c r="P61" i="20"/>
  <c r="P60" i="20"/>
  <c r="T60" i="20" s="1"/>
  <c r="V60" i="20" s="1"/>
  <c r="V59" i="20"/>
  <c r="T59" i="20"/>
  <c r="P59" i="20"/>
  <c r="V58" i="20"/>
  <c r="T58" i="20"/>
  <c r="P58" i="20"/>
  <c r="P57" i="20"/>
  <c r="T57" i="20" s="1"/>
  <c r="V57" i="20" s="1"/>
  <c r="P56" i="20"/>
  <c r="T56" i="20" s="1"/>
  <c r="V56" i="20" s="1"/>
  <c r="V55" i="20"/>
  <c r="T55" i="20"/>
  <c r="P55" i="20"/>
  <c r="V54" i="20"/>
  <c r="T54" i="20"/>
  <c r="P54" i="20"/>
  <c r="S49" i="20"/>
  <c r="R49" i="20"/>
  <c r="N49" i="20"/>
  <c r="L49" i="20"/>
  <c r="J49" i="20"/>
  <c r="P49" i="20" s="1"/>
  <c r="P47" i="20"/>
  <c r="T47" i="20" s="1"/>
  <c r="S46" i="20"/>
  <c r="S51" i="20" s="1"/>
  <c r="S104" i="20" s="1"/>
  <c r="R46" i="20"/>
  <c r="N46" i="20"/>
  <c r="L46" i="20"/>
  <c r="J46" i="20"/>
  <c r="P46" i="20" s="1"/>
  <c r="P44" i="20"/>
  <c r="T44" i="20" s="1"/>
  <c r="V44" i="20" s="1"/>
  <c r="V43" i="20"/>
  <c r="T43" i="20"/>
  <c r="P43" i="20"/>
  <c r="T42" i="20"/>
  <c r="T46" i="20" s="1"/>
  <c r="P42" i="20"/>
  <c r="S41" i="20"/>
  <c r="R41" i="20"/>
  <c r="N41" i="20"/>
  <c r="N51" i="20" s="1"/>
  <c r="L41" i="20"/>
  <c r="J41" i="20"/>
  <c r="P41" i="20" s="1"/>
  <c r="T39" i="20"/>
  <c r="V39" i="20" s="1"/>
  <c r="V41" i="20" s="1"/>
  <c r="P39" i="20"/>
  <c r="S38" i="20"/>
  <c r="R38" i="20"/>
  <c r="N38" i="20"/>
  <c r="L38" i="20"/>
  <c r="J38" i="20"/>
  <c r="P38" i="20" s="1"/>
  <c r="V36" i="20"/>
  <c r="P36" i="20"/>
  <c r="T36" i="20" s="1"/>
  <c r="T35" i="20"/>
  <c r="V35" i="20" s="1"/>
  <c r="P35" i="20"/>
  <c r="P34" i="20"/>
  <c r="T34" i="20" s="1"/>
  <c r="V34" i="20" s="1"/>
  <c r="P33" i="20"/>
  <c r="T33" i="20" s="1"/>
  <c r="V33" i="20" s="1"/>
  <c r="P32" i="20"/>
  <c r="T32" i="20" s="1"/>
  <c r="V32" i="20" s="1"/>
  <c r="V31" i="20"/>
  <c r="T31" i="20"/>
  <c r="P31" i="20"/>
  <c r="V30" i="20"/>
  <c r="T30" i="20"/>
  <c r="P30" i="20"/>
  <c r="P29" i="20"/>
  <c r="T29" i="20" s="1"/>
  <c r="S28" i="20"/>
  <c r="R28" i="20"/>
  <c r="P28" i="20"/>
  <c r="N28" i="20"/>
  <c r="L28" i="20"/>
  <c r="L51" i="20" s="1"/>
  <c r="J28" i="20"/>
  <c r="V26" i="20"/>
  <c r="P26" i="20"/>
  <c r="T26" i="20" s="1"/>
  <c r="T25" i="20"/>
  <c r="V25" i="20" s="1"/>
  <c r="P25" i="20"/>
  <c r="P24" i="20"/>
  <c r="T24" i="20" s="1"/>
  <c r="V24" i="20" s="1"/>
  <c r="T23" i="20"/>
  <c r="V23" i="20" s="1"/>
  <c r="P23" i="20"/>
  <c r="P22" i="20"/>
  <c r="T22" i="20" s="1"/>
  <c r="V22" i="20" s="1"/>
  <c r="V21" i="20"/>
  <c r="T21" i="20"/>
  <c r="P21" i="20"/>
  <c r="T20" i="20"/>
  <c r="V20" i="20" s="1"/>
  <c r="P20" i="20"/>
  <c r="P19" i="20"/>
  <c r="T19" i="20" s="1"/>
  <c r="V19" i="20" s="1"/>
  <c r="P18" i="20"/>
  <c r="T18" i="20" s="1"/>
  <c r="V18" i="20" s="1"/>
  <c r="V17" i="20"/>
  <c r="T17" i="20"/>
  <c r="P17" i="20"/>
  <c r="T16" i="20"/>
  <c r="P16" i="20"/>
  <c r="B7" i="20"/>
  <c r="J8" i="20" s="1"/>
  <c r="T3" i="20"/>
  <c r="P3" i="20"/>
  <c r="N3" i="20"/>
  <c r="L3" i="20"/>
  <c r="J3" i="20"/>
  <c r="P2" i="20"/>
  <c r="T2" i="20" s="1"/>
  <c r="V2" i="20" s="1"/>
  <c r="A8" i="20"/>
  <c r="A4" i="20"/>
  <c r="A6" i="20"/>
  <c r="A5" i="20"/>
  <c r="B4" i="20"/>
  <c r="A7" i="20"/>
  <c r="B6" i="20"/>
  <c r="B5" i="20"/>
  <c r="P112" i="20" l="1"/>
  <c r="L185" i="20"/>
  <c r="P167" i="20"/>
  <c r="P146" i="20"/>
  <c r="P179" i="20"/>
  <c r="P176" i="20"/>
  <c r="P164" i="20"/>
  <c r="P161" i="20"/>
  <c r="N185" i="20"/>
  <c r="P152" i="20"/>
  <c r="P149" i="20"/>
  <c r="J132" i="20"/>
  <c r="R132" i="20"/>
  <c r="R157" i="20" s="1"/>
  <c r="R187" i="20" s="1"/>
  <c r="S132" i="20"/>
  <c r="T108" i="20"/>
  <c r="V93" i="20"/>
  <c r="V95" i="20" s="1"/>
  <c r="T95" i="20"/>
  <c r="P95" i="20"/>
  <c r="S3" i="20"/>
  <c r="T38" i="20"/>
  <c r="V29" i="20"/>
  <c r="V38" i="20" s="1"/>
  <c r="L104" i="20"/>
  <c r="V47" i="20"/>
  <c r="V49" i="20" s="1"/>
  <c r="T49" i="20"/>
  <c r="T13" i="20"/>
  <c r="S13" i="20" s="1"/>
  <c r="R13" i="20" s="1"/>
  <c r="T41" i="20"/>
  <c r="T80" i="20"/>
  <c r="V78" i="20"/>
  <c r="V80" i="20" s="1"/>
  <c r="P83" i="20"/>
  <c r="V110" i="20"/>
  <c r="V112" i="20" s="1"/>
  <c r="T140" i="20"/>
  <c r="V138" i="20"/>
  <c r="V140" i="20" s="1"/>
  <c r="P143" i="20"/>
  <c r="S157" i="20"/>
  <c r="S187" i="20" s="1"/>
  <c r="S189" i="20" s="1"/>
  <c r="T167" i="20"/>
  <c r="V165" i="20"/>
  <c r="V167" i="20" s="1"/>
  <c r="R3" i="20"/>
  <c r="T77" i="20"/>
  <c r="N104" i="20"/>
  <c r="P80" i="20"/>
  <c r="T83" i="20"/>
  <c r="V96" i="20"/>
  <c r="V98" i="20" s="1"/>
  <c r="P108" i="20"/>
  <c r="T120" i="20"/>
  <c r="P123" i="20"/>
  <c r="L157" i="20"/>
  <c r="L187" i="20" s="1"/>
  <c r="T143" i="20"/>
  <c r="T152" i="20"/>
  <c r="V150" i="20"/>
  <c r="V152" i="20" s="1"/>
  <c r="V171" i="20"/>
  <c r="V173" i="20" s="1"/>
  <c r="T173" i="20"/>
  <c r="T28" i="20"/>
  <c r="T51" i="20" s="1"/>
  <c r="P51" i="20"/>
  <c r="V77" i="20"/>
  <c r="T92" i="20"/>
  <c r="V90" i="20"/>
  <c r="V92" i="20" s="1"/>
  <c r="N157" i="20"/>
  <c r="V159" i="20"/>
  <c r="V161" i="20" s="1"/>
  <c r="T161" i="20"/>
  <c r="V16" i="20"/>
  <c r="V28" i="20" s="1"/>
  <c r="J51" i="20"/>
  <c r="J104" i="20" s="1"/>
  <c r="R51" i="20"/>
  <c r="R104" i="20" s="1"/>
  <c r="V42" i="20"/>
  <c r="V46" i="20" s="1"/>
  <c r="P77" i="20"/>
  <c r="V84" i="20"/>
  <c r="V86" i="20" s="1"/>
  <c r="T132" i="20"/>
  <c r="T130" i="20"/>
  <c r="P137" i="20"/>
  <c r="J157" i="20"/>
  <c r="J187" i="20" s="1"/>
  <c r="V144" i="20"/>
  <c r="V146" i="20" s="1"/>
  <c r="T179" i="20"/>
  <c r="V177" i="20"/>
  <c r="V179" i="20" s="1"/>
  <c r="T89" i="20"/>
  <c r="T137" i="20"/>
  <c r="T149" i="20"/>
  <c r="T164" i="20"/>
  <c r="T176" i="20"/>
  <c r="V99" i="20"/>
  <c r="V102" i="20" s="1"/>
  <c r="V113" i="20"/>
  <c r="V120" i="20" s="1"/>
  <c r="T155" i="20"/>
  <c r="T170" i="20"/>
  <c r="T183" i="20"/>
  <c r="B86" i="10"/>
  <c r="B82" i="10"/>
  <c r="B83" i="10" s="1"/>
  <c r="V191" i="19"/>
  <c r="T191" i="19"/>
  <c r="S191" i="19"/>
  <c r="R191" i="19"/>
  <c r="P191" i="19"/>
  <c r="N191" i="19"/>
  <c r="L191" i="19"/>
  <c r="J191" i="19"/>
  <c r="S181" i="19"/>
  <c r="R181" i="19"/>
  <c r="N181" i="19"/>
  <c r="L181" i="19"/>
  <c r="J181" i="19"/>
  <c r="P179" i="19"/>
  <c r="T179" i="19" s="1"/>
  <c r="S177" i="19"/>
  <c r="R177" i="19"/>
  <c r="N177" i="19"/>
  <c r="L177" i="19"/>
  <c r="J177" i="19"/>
  <c r="P175" i="19"/>
  <c r="T175" i="19" s="1"/>
  <c r="S174" i="19"/>
  <c r="R174" i="19"/>
  <c r="N174" i="19"/>
  <c r="L174" i="19"/>
  <c r="J174" i="19"/>
  <c r="P172" i="19"/>
  <c r="T172" i="19" s="1"/>
  <c r="V172" i="19" s="1"/>
  <c r="V174" i="19" s="1"/>
  <c r="S171" i="19"/>
  <c r="R171" i="19"/>
  <c r="N171" i="19"/>
  <c r="L171" i="19"/>
  <c r="J171" i="19"/>
  <c r="P169" i="19"/>
  <c r="T169" i="19" s="1"/>
  <c r="S168" i="19"/>
  <c r="R168" i="19"/>
  <c r="N168" i="19"/>
  <c r="L168" i="19"/>
  <c r="J168" i="19"/>
  <c r="P166" i="19"/>
  <c r="T166" i="19" s="1"/>
  <c r="S165" i="19"/>
  <c r="R165" i="19"/>
  <c r="N165" i="19"/>
  <c r="L165" i="19"/>
  <c r="J165" i="19"/>
  <c r="P163" i="19"/>
  <c r="T163" i="19" s="1"/>
  <c r="S162" i="19"/>
  <c r="R162" i="19"/>
  <c r="N162" i="19"/>
  <c r="L162" i="19"/>
  <c r="J162" i="19"/>
  <c r="P160" i="19"/>
  <c r="T160" i="19" s="1"/>
  <c r="V160" i="19" s="1"/>
  <c r="V162" i="19" s="1"/>
  <c r="S159" i="19"/>
  <c r="R159" i="19"/>
  <c r="N159" i="19"/>
  <c r="L159" i="19"/>
  <c r="J159" i="19"/>
  <c r="P157" i="19"/>
  <c r="T157" i="19" s="1"/>
  <c r="S153" i="19"/>
  <c r="R153" i="19"/>
  <c r="N153" i="19"/>
  <c r="L153" i="19"/>
  <c r="J153" i="19"/>
  <c r="P151" i="19"/>
  <c r="T151" i="19" s="1"/>
  <c r="S150" i="19"/>
  <c r="R150" i="19"/>
  <c r="N150" i="19"/>
  <c r="L150" i="19"/>
  <c r="J150" i="19"/>
  <c r="P148" i="19"/>
  <c r="T148" i="19" s="1"/>
  <c r="S147" i="19"/>
  <c r="R147" i="19"/>
  <c r="N147" i="19"/>
  <c r="L147" i="19"/>
  <c r="J147" i="19"/>
  <c r="P145" i="19"/>
  <c r="T145" i="19" s="1"/>
  <c r="V145" i="19" s="1"/>
  <c r="V147" i="19" s="1"/>
  <c r="S144" i="19"/>
  <c r="R144" i="19"/>
  <c r="N144" i="19"/>
  <c r="L144" i="19"/>
  <c r="J144" i="19"/>
  <c r="P142" i="19"/>
  <c r="T142" i="19" s="1"/>
  <c r="S141" i="19"/>
  <c r="R141" i="19"/>
  <c r="N141" i="19"/>
  <c r="L141" i="19"/>
  <c r="J141" i="19"/>
  <c r="P139" i="19"/>
  <c r="T139" i="19" s="1"/>
  <c r="S138" i="19"/>
  <c r="R138" i="19"/>
  <c r="N138" i="19"/>
  <c r="L138" i="19"/>
  <c r="J138" i="19"/>
  <c r="P136" i="19"/>
  <c r="T136" i="19" s="1"/>
  <c r="S135" i="19"/>
  <c r="R135" i="19"/>
  <c r="N135" i="19"/>
  <c r="L135" i="19"/>
  <c r="J135" i="19"/>
  <c r="P133" i="19"/>
  <c r="T133" i="19" s="1"/>
  <c r="V133" i="19" s="1"/>
  <c r="V135" i="19" s="1"/>
  <c r="S128" i="19"/>
  <c r="R128" i="19"/>
  <c r="N128" i="19"/>
  <c r="L128" i="19"/>
  <c r="P128" i="19" s="1"/>
  <c r="J128" i="19"/>
  <c r="P126" i="19"/>
  <c r="T126" i="19" s="1"/>
  <c r="V126" i="19" s="1"/>
  <c r="P125" i="19"/>
  <c r="T125" i="19" s="1"/>
  <c r="V125" i="19" s="1"/>
  <c r="P124" i="19"/>
  <c r="T124" i="19" s="1"/>
  <c r="V124" i="19" s="1"/>
  <c r="P123" i="19"/>
  <c r="T123" i="19" s="1"/>
  <c r="V123" i="19" s="1"/>
  <c r="P122" i="19"/>
  <c r="T122" i="19" s="1"/>
  <c r="S121" i="19"/>
  <c r="R121" i="19"/>
  <c r="N121" i="19"/>
  <c r="L121" i="19"/>
  <c r="J121" i="19"/>
  <c r="P121" i="19" s="1"/>
  <c r="P119" i="19"/>
  <c r="T119" i="19" s="1"/>
  <c r="S118" i="19"/>
  <c r="R118" i="19"/>
  <c r="P118" i="19"/>
  <c r="N118" i="19"/>
  <c r="L118" i="19"/>
  <c r="J118" i="19"/>
  <c r="P116" i="19"/>
  <c r="T116" i="19" s="1"/>
  <c r="V116" i="19" s="1"/>
  <c r="P115" i="19"/>
  <c r="T115" i="19" s="1"/>
  <c r="V115" i="19" s="1"/>
  <c r="P114" i="19"/>
  <c r="T114" i="19" s="1"/>
  <c r="V114" i="19" s="1"/>
  <c r="P113" i="19"/>
  <c r="T113" i="19" s="1"/>
  <c r="V113" i="19" s="1"/>
  <c r="P112" i="19"/>
  <c r="T112" i="19" s="1"/>
  <c r="V112" i="19" s="1"/>
  <c r="P111" i="19"/>
  <c r="T111" i="19" s="1"/>
  <c r="V111" i="19" s="1"/>
  <c r="P110" i="19"/>
  <c r="T110" i="19" s="1"/>
  <c r="S109" i="19"/>
  <c r="S130" i="19" s="1"/>
  <c r="R109" i="19"/>
  <c r="N109" i="19"/>
  <c r="N130" i="19" s="1"/>
  <c r="L109" i="19"/>
  <c r="L130" i="19" s="1"/>
  <c r="J109" i="19"/>
  <c r="P107" i="19"/>
  <c r="T107" i="19" s="1"/>
  <c r="S105" i="19"/>
  <c r="R105" i="19"/>
  <c r="P105" i="19"/>
  <c r="N105" i="19"/>
  <c r="L105" i="19"/>
  <c r="J105" i="19"/>
  <c r="P103" i="19"/>
  <c r="T103" i="19" s="1"/>
  <c r="S99" i="19"/>
  <c r="R99" i="19"/>
  <c r="N99" i="19"/>
  <c r="L99" i="19"/>
  <c r="J99" i="19"/>
  <c r="P97" i="19"/>
  <c r="T97" i="19" s="1"/>
  <c r="V97" i="19" s="1"/>
  <c r="P96" i="19"/>
  <c r="T96" i="19" s="1"/>
  <c r="S95" i="19"/>
  <c r="R95" i="19"/>
  <c r="N95" i="19"/>
  <c r="L95" i="19"/>
  <c r="J95" i="19"/>
  <c r="P93" i="19"/>
  <c r="T93" i="19" s="1"/>
  <c r="S92" i="19"/>
  <c r="R92" i="19"/>
  <c r="N92" i="19"/>
  <c r="L92" i="19"/>
  <c r="J92" i="19"/>
  <c r="P90" i="19"/>
  <c r="T90" i="19" s="1"/>
  <c r="S89" i="19"/>
  <c r="R89" i="19"/>
  <c r="N89" i="19"/>
  <c r="L89" i="19"/>
  <c r="J89" i="19"/>
  <c r="P87" i="19"/>
  <c r="T87" i="19" s="1"/>
  <c r="V87" i="19" s="1"/>
  <c r="V89" i="19" s="1"/>
  <c r="S86" i="19"/>
  <c r="R86" i="19"/>
  <c r="N86" i="19"/>
  <c r="L86" i="19"/>
  <c r="J86" i="19"/>
  <c r="P84" i="19"/>
  <c r="T84" i="19" s="1"/>
  <c r="S83" i="19"/>
  <c r="R83" i="19"/>
  <c r="N83" i="19"/>
  <c r="L83" i="19"/>
  <c r="J83" i="19"/>
  <c r="P81" i="19"/>
  <c r="T81" i="19" s="1"/>
  <c r="S80" i="19"/>
  <c r="R80" i="19"/>
  <c r="N80" i="19"/>
  <c r="L80" i="19"/>
  <c r="J80" i="19"/>
  <c r="P80" i="19" s="1"/>
  <c r="P78" i="19"/>
  <c r="T78" i="19" s="1"/>
  <c r="S77" i="19"/>
  <c r="R77" i="19"/>
  <c r="N77" i="19"/>
  <c r="P77" i="19" s="1"/>
  <c r="L77" i="19"/>
  <c r="J77" i="19"/>
  <c r="T75" i="19"/>
  <c r="T77" i="19" s="1"/>
  <c r="P75" i="19"/>
  <c r="S74" i="19"/>
  <c r="R74" i="19"/>
  <c r="N74" i="19"/>
  <c r="L74" i="19"/>
  <c r="J74" i="19"/>
  <c r="P72" i="19"/>
  <c r="T72" i="19" s="1"/>
  <c r="V72" i="19" s="1"/>
  <c r="P71" i="19"/>
  <c r="T71" i="19" s="1"/>
  <c r="V71" i="19" s="1"/>
  <c r="P70" i="19"/>
  <c r="T70" i="19" s="1"/>
  <c r="V70" i="19" s="1"/>
  <c r="T69" i="19"/>
  <c r="V69" i="19" s="1"/>
  <c r="P69" i="19"/>
  <c r="P68" i="19"/>
  <c r="T68" i="19" s="1"/>
  <c r="V68" i="19" s="1"/>
  <c r="P67" i="19"/>
  <c r="T67" i="19" s="1"/>
  <c r="V67" i="19" s="1"/>
  <c r="P66" i="19"/>
  <c r="T66" i="19" s="1"/>
  <c r="V66" i="19" s="1"/>
  <c r="P65" i="19"/>
  <c r="T65" i="19" s="1"/>
  <c r="V65" i="19" s="1"/>
  <c r="P64" i="19"/>
  <c r="T64" i="19" s="1"/>
  <c r="V64" i="19" s="1"/>
  <c r="P63" i="19"/>
  <c r="T63" i="19" s="1"/>
  <c r="V63" i="19" s="1"/>
  <c r="P62" i="19"/>
  <c r="T62" i="19" s="1"/>
  <c r="V62" i="19" s="1"/>
  <c r="P61" i="19"/>
  <c r="T61" i="19" s="1"/>
  <c r="V61" i="19" s="1"/>
  <c r="T60" i="19"/>
  <c r="V60" i="19" s="1"/>
  <c r="P60" i="19"/>
  <c r="P59" i="19"/>
  <c r="T59" i="19" s="1"/>
  <c r="V59" i="19" s="1"/>
  <c r="P58" i="19"/>
  <c r="T58" i="19" s="1"/>
  <c r="V58" i="19" s="1"/>
  <c r="P57" i="19"/>
  <c r="T57" i="19" s="1"/>
  <c r="V57" i="19" s="1"/>
  <c r="P56" i="19"/>
  <c r="T56" i="19" s="1"/>
  <c r="V56" i="19" s="1"/>
  <c r="P55" i="19"/>
  <c r="T55" i="19" s="1"/>
  <c r="V55" i="19" s="1"/>
  <c r="P54" i="19"/>
  <c r="T54" i="19" s="1"/>
  <c r="V54" i="19" s="1"/>
  <c r="T53" i="19"/>
  <c r="V53" i="19" s="1"/>
  <c r="P53" i="19"/>
  <c r="P52" i="19"/>
  <c r="T52" i="19" s="1"/>
  <c r="V52" i="19" s="1"/>
  <c r="P51" i="19"/>
  <c r="T51" i="19" s="1"/>
  <c r="S46" i="19"/>
  <c r="R46" i="19"/>
  <c r="N46" i="19"/>
  <c r="L46" i="19"/>
  <c r="J46" i="19"/>
  <c r="P44" i="19"/>
  <c r="T44" i="19" s="1"/>
  <c r="S43" i="19"/>
  <c r="R43" i="19"/>
  <c r="N43" i="19"/>
  <c r="L43" i="19"/>
  <c r="J43" i="19"/>
  <c r="P43" i="19" s="1"/>
  <c r="P41" i="19"/>
  <c r="T41" i="19" s="1"/>
  <c r="V41" i="19" s="1"/>
  <c r="T40" i="19"/>
  <c r="V40" i="19" s="1"/>
  <c r="P40" i="19"/>
  <c r="P39" i="19"/>
  <c r="T39" i="19" s="1"/>
  <c r="V39" i="19" s="1"/>
  <c r="P38" i="19"/>
  <c r="T38" i="19" s="1"/>
  <c r="S37" i="19"/>
  <c r="R37" i="19"/>
  <c r="N37" i="19"/>
  <c r="L37" i="19"/>
  <c r="J37" i="19"/>
  <c r="P37" i="19" s="1"/>
  <c r="S34" i="19"/>
  <c r="R34" i="19"/>
  <c r="N34" i="19"/>
  <c r="L34" i="19"/>
  <c r="P34" i="19" s="1"/>
  <c r="J34" i="19"/>
  <c r="P32" i="19"/>
  <c r="T32" i="19" s="1"/>
  <c r="V32" i="19" s="1"/>
  <c r="P31" i="19"/>
  <c r="T31" i="19" s="1"/>
  <c r="V31" i="19" s="1"/>
  <c r="P30" i="19"/>
  <c r="T30" i="19" s="1"/>
  <c r="V30" i="19" s="1"/>
  <c r="P29" i="19"/>
  <c r="T29" i="19" s="1"/>
  <c r="V29" i="19" s="1"/>
  <c r="T28" i="19"/>
  <c r="V28" i="19" s="1"/>
  <c r="P28" i="19"/>
  <c r="P27" i="19"/>
  <c r="T27" i="19" s="1"/>
  <c r="V27" i="19" s="1"/>
  <c r="P26" i="19"/>
  <c r="T26" i="19" s="1"/>
  <c r="S25" i="19"/>
  <c r="R25" i="19"/>
  <c r="N25" i="19"/>
  <c r="N48" i="19" s="1"/>
  <c r="L25" i="19"/>
  <c r="J25" i="19"/>
  <c r="T23" i="19"/>
  <c r="V23" i="19" s="1"/>
  <c r="P23" i="19"/>
  <c r="P22" i="19"/>
  <c r="T22" i="19" s="1"/>
  <c r="V22" i="19" s="1"/>
  <c r="P21" i="19"/>
  <c r="T21" i="19" s="1"/>
  <c r="V21" i="19" s="1"/>
  <c r="P20" i="19"/>
  <c r="T20" i="19" s="1"/>
  <c r="V20" i="19" s="1"/>
  <c r="P19" i="19"/>
  <c r="T19" i="19" s="1"/>
  <c r="V19" i="19" s="1"/>
  <c r="T18" i="19"/>
  <c r="V18" i="19" s="1"/>
  <c r="P18" i="19"/>
  <c r="P17" i="19"/>
  <c r="T17" i="19" s="1"/>
  <c r="V17" i="19" s="1"/>
  <c r="P16" i="19"/>
  <c r="T16" i="19" s="1"/>
  <c r="V16" i="19" s="1"/>
  <c r="P15" i="19"/>
  <c r="T15" i="19" s="1"/>
  <c r="V15" i="19" s="1"/>
  <c r="T14" i="19"/>
  <c r="V14" i="19" s="1"/>
  <c r="P14" i="19"/>
  <c r="B7" i="19"/>
  <c r="T11" i="19" s="1"/>
  <c r="S11" i="19" s="1"/>
  <c r="R11" i="19" s="1"/>
  <c r="T3" i="19"/>
  <c r="P3" i="19"/>
  <c r="N3" i="19"/>
  <c r="L3" i="19"/>
  <c r="J3" i="19"/>
  <c r="P2" i="19"/>
  <c r="T2" i="19" s="1"/>
  <c r="V2" i="19" s="1"/>
  <c r="A5" i="19"/>
  <c r="A8" i="19"/>
  <c r="A4" i="19"/>
  <c r="A6" i="19"/>
  <c r="B6" i="19"/>
  <c r="B4" i="19"/>
  <c r="A7" i="19"/>
  <c r="B5" i="19"/>
  <c r="P132" i="20" l="1"/>
  <c r="P185" i="20"/>
  <c r="N183" i="19"/>
  <c r="P92" i="19"/>
  <c r="P138" i="19"/>
  <c r="P147" i="19"/>
  <c r="P150" i="19"/>
  <c r="T37" i="19"/>
  <c r="V37" i="19"/>
  <c r="J48" i="19"/>
  <c r="J101" i="19" s="1"/>
  <c r="R48" i="19"/>
  <c r="R101" i="19" s="1"/>
  <c r="P86" i="19"/>
  <c r="P165" i="19"/>
  <c r="P177" i="19"/>
  <c r="L48" i="19"/>
  <c r="L101" i="19" s="1"/>
  <c r="S48" i="19"/>
  <c r="P83" i="19"/>
  <c r="P95" i="19"/>
  <c r="P153" i="19"/>
  <c r="P181" i="19"/>
  <c r="P25" i="19"/>
  <c r="V75" i="19"/>
  <c r="V77" i="19" s="1"/>
  <c r="P99" i="19"/>
  <c r="N187" i="20"/>
  <c r="N189" i="20" s="1"/>
  <c r="T157" i="20"/>
  <c r="J189" i="20"/>
  <c r="L189" i="20"/>
  <c r="R189" i="20"/>
  <c r="P46" i="19"/>
  <c r="P48" i="19" s="1"/>
  <c r="P174" i="19"/>
  <c r="P171" i="19"/>
  <c r="P168" i="19"/>
  <c r="S183" i="19"/>
  <c r="P162" i="19"/>
  <c r="R183" i="19"/>
  <c r="P159" i="19"/>
  <c r="P144" i="19"/>
  <c r="P141" i="19"/>
  <c r="N155" i="19"/>
  <c r="N185" i="19" s="1"/>
  <c r="R130" i="19"/>
  <c r="J130" i="19"/>
  <c r="P89" i="19"/>
  <c r="T185" i="20"/>
  <c r="V185" i="20"/>
  <c r="P157" i="20"/>
  <c r="P187" i="20" s="1"/>
  <c r="P104" i="20"/>
  <c r="S3" i="19"/>
  <c r="R3" i="19"/>
  <c r="V51" i="20"/>
  <c r="V104" i="20"/>
  <c r="T104" i="20"/>
  <c r="V132" i="20"/>
  <c r="V157" i="20" s="1"/>
  <c r="T43" i="19"/>
  <c r="V38" i="19"/>
  <c r="V43" i="19" s="1"/>
  <c r="T92" i="19"/>
  <c r="V90" i="19"/>
  <c r="V92" i="19" s="1"/>
  <c r="V107" i="19"/>
  <c r="V109" i="19" s="1"/>
  <c r="T109" i="19"/>
  <c r="V139" i="19"/>
  <c r="V141" i="19" s="1"/>
  <c r="T141" i="19"/>
  <c r="R155" i="19"/>
  <c r="V157" i="19"/>
  <c r="V159" i="19" s="1"/>
  <c r="T159" i="19"/>
  <c r="V166" i="19"/>
  <c r="V168" i="19" s="1"/>
  <c r="T168" i="19"/>
  <c r="T46" i="19"/>
  <c r="V44" i="19"/>
  <c r="V46" i="19" s="1"/>
  <c r="S101" i="19"/>
  <c r="V81" i="19"/>
  <c r="V83" i="19" s="1"/>
  <c r="T83" i="19"/>
  <c r="V96" i="19"/>
  <c r="V99" i="19" s="1"/>
  <c r="T99" i="19"/>
  <c r="T105" i="19"/>
  <c r="V103" i="19"/>
  <c r="V105" i="19" s="1"/>
  <c r="V119" i="19"/>
  <c r="V121" i="19" s="1"/>
  <c r="T121" i="19"/>
  <c r="T138" i="19"/>
  <c r="V136" i="19"/>
  <c r="V138" i="19" s="1"/>
  <c r="S155" i="19"/>
  <c r="T165" i="19"/>
  <c r="V163" i="19"/>
  <c r="V165" i="19" s="1"/>
  <c r="T118" i="19"/>
  <c r="V110" i="19"/>
  <c r="V118" i="19" s="1"/>
  <c r="L155" i="19"/>
  <c r="V142" i="19"/>
  <c r="V144" i="19" s="1"/>
  <c r="T144" i="19"/>
  <c r="V151" i="19"/>
  <c r="V153" i="19" s="1"/>
  <c r="T153" i="19"/>
  <c r="V169" i="19"/>
  <c r="V171" i="19" s="1"/>
  <c r="T171" i="19"/>
  <c r="V179" i="19"/>
  <c r="V181" i="19" s="1"/>
  <c r="T181" i="19"/>
  <c r="V25" i="19"/>
  <c r="T34" i="19"/>
  <c r="V26" i="19"/>
  <c r="V34" i="19" s="1"/>
  <c r="V51" i="19"/>
  <c r="V74" i="19" s="1"/>
  <c r="T74" i="19"/>
  <c r="N101" i="19"/>
  <c r="T80" i="19"/>
  <c r="V78" i="19"/>
  <c r="V80" i="19" s="1"/>
  <c r="V84" i="19"/>
  <c r="V86" i="19" s="1"/>
  <c r="T86" i="19"/>
  <c r="V93" i="19"/>
  <c r="V95" i="19" s="1"/>
  <c r="T95" i="19"/>
  <c r="V122" i="19"/>
  <c r="V128" i="19" s="1"/>
  <c r="T128" i="19"/>
  <c r="T150" i="19"/>
  <c r="V148" i="19"/>
  <c r="V150" i="19" s="1"/>
  <c r="T177" i="19"/>
  <c r="V175" i="19"/>
  <c r="V177" i="19" s="1"/>
  <c r="J6" i="19"/>
  <c r="T25" i="19"/>
  <c r="T89" i="19"/>
  <c r="T135" i="19"/>
  <c r="T147" i="19"/>
  <c r="J155" i="19"/>
  <c r="T162" i="19"/>
  <c r="T174" i="19"/>
  <c r="J183" i="19"/>
  <c r="P135" i="19"/>
  <c r="L183" i="19"/>
  <c r="P74" i="19"/>
  <c r="P109" i="19"/>
  <c r="P130" i="19" s="1"/>
  <c r="T187" i="20" l="1"/>
  <c r="V187" i="20"/>
  <c r="V189" i="20" s="1"/>
  <c r="T189" i="20"/>
  <c r="P101" i="19"/>
  <c r="P183" i="19"/>
  <c r="S185" i="19"/>
  <c r="S187" i="19" s="1"/>
  <c r="R185" i="19"/>
  <c r="R187" i="19" s="1"/>
  <c r="N187" i="19"/>
  <c r="P189" i="20"/>
  <c r="T183" i="19"/>
  <c r="T155" i="19"/>
  <c r="L185" i="19"/>
  <c r="L187" i="19" s="1"/>
  <c r="V183" i="19"/>
  <c r="T130" i="19"/>
  <c r="V130" i="19"/>
  <c r="V155" i="19" s="1"/>
  <c r="P155" i="19"/>
  <c r="J185" i="19"/>
  <c r="J187" i="19" s="1"/>
  <c r="T48" i="19"/>
  <c r="T101" i="19" s="1"/>
  <c r="V48" i="19"/>
  <c r="V101" i="19" s="1"/>
  <c r="P185" i="19" l="1"/>
  <c r="P187" i="19" s="1"/>
  <c r="V185" i="19"/>
  <c r="V187" i="19" s="1"/>
  <c r="T185" i="19"/>
  <c r="T187" i="19" s="1"/>
  <c r="D23" i="3" l="1"/>
  <c r="C21" i="3"/>
  <c r="E21" i="3" s="1"/>
  <c r="C20" i="3"/>
  <c r="C23" i="3" l="1"/>
  <c r="D82" i="16"/>
  <c r="D81" i="16"/>
  <c r="D80" i="16"/>
  <c r="D75" i="16"/>
  <c r="C75" i="16"/>
  <c r="D70" i="16"/>
  <c r="D69" i="16"/>
  <c r="D68" i="16"/>
  <c r="D67" i="16"/>
  <c r="D66" i="16"/>
  <c r="D65" i="16"/>
  <c r="D64" i="16"/>
  <c r="D63" i="16"/>
  <c r="D62" i="16"/>
  <c r="D61" i="16"/>
  <c r="D60" i="16"/>
  <c r="D53" i="16"/>
  <c r="D52" i="16"/>
  <c r="D51" i="16"/>
  <c r="D50" i="16"/>
  <c r="D49" i="16"/>
  <c r="D48" i="16"/>
  <c r="D47" i="16"/>
  <c r="D46" i="16"/>
  <c r="D45" i="16"/>
  <c r="D44" i="16"/>
  <c r="D43" i="16"/>
  <c r="D42" i="16"/>
  <c r="D41" i="16"/>
  <c r="D40" i="16"/>
  <c r="D39" i="16"/>
  <c r="D38" i="16"/>
  <c r="D37" i="16"/>
  <c r="D36" i="16"/>
  <c r="D35" i="16"/>
  <c r="D34" i="16"/>
  <c r="D33" i="16"/>
  <c r="D32" i="16"/>
  <c r="D31" i="16"/>
  <c r="D30" i="16"/>
  <c r="D23" i="16"/>
  <c r="C23" i="16"/>
  <c r="D22" i="16"/>
  <c r="D21" i="16"/>
  <c r="D20" i="16"/>
  <c r="D19" i="16"/>
  <c r="D18" i="16"/>
  <c r="D17" i="16"/>
  <c r="D16" i="16"/>
  <c r="D15" i="16"/>
  <c r="D14" i="16"/>
  <c r="D13" i="16"/>
  <c r="D12" i="16"/>
  <c r="F140" i="15"/>
  <c r="E140" i="15"/>
  <c r="F139" i="15"/>
  <c r="E139" i="15"/>
  <c r="F138" i="15"/>
  <c r="E138" i="15"/>
  <c r="F137" i="15"/>
  <c r="F133" i="15"/>
  <c r="F135" i="15" s="1"/>
  <c r="E133" i="15"/>
  <c r="D133" i="15"/>
  <c r="C133" i="15"/>
  <c r="F128" i="15"/>
  <c r="J128" i="15" s="1"/>
  <c r="E128" i="15"/>
  <c r="I128" i="15" s="1"/>
  <c r="F127" i="15"/>
  <c r="J127" i="15" s="1"/>
  <c r="E127" i="15"/>
  <c r="I127" i="15" s="1"/>
  <c r="F126" i="15"/>
  <c r="J126" i="15" s="1"/>
  <c r="E126" i="15"/>
  <c r="I126" i="15" s="1"/>
  <c r="F125" i="15"/>
  <c r="J125" i="15" s="1"/>
  <c r="E125" i="15"/>
  <c r="C125" i="15"/>
  <c r="F124" i="15"/>
  <c r="J124" i="15" s="1"/>
  <c r="E124" i="15"/>
  <c r="C124" i="15"/>
  <c r="F123" i="15"/>
  <c r="J123" i="15" s="1"/>
  <c r="E123" i="15"/>
  <c r="C123" i="15"/>
  <c r="F122" i="15"/>
  <c r="J122" i="15" s="1"/>
  <c r="E122" i="15"/>
  <c r="C122" i="15"/>
  <c r="F121" i="15"/>
  <c r="J121" i="15" s="1"/>
  <c r="E121" i="15"/>
  <c r="C121" i="15"/>
  <c r="F120" i="15"/>
  <c r="J120" i="15" s="1"/>
  <c r="E120" i="15"/>
  <c r="C120" i="15"/>
  <c r="F119" i="15"/>
  <c r="J119" i="15" s="1"/>
  <c r="E119" i="15"/>
  <c r="C119" i="15"/>
  <c r="F118" i="15"/>
  <c r="J118" i="15" s="1"/>
  <c r="E118" i="15"/>
  <c r="C118" i="15"/>
  <c r="F117" i="15"/>
  <c r="J117" i="15" s="1"/>
  <c r="E117" i="15"/>
  <c r="C117" i="15"/>
  <c r="F116" i="15"/>
  <c r="J116" i="15" s="1"/>
  <c r="E116" i="15"/>
  <c r="C116" i="15"/>
  <c r="F115" i="15"/>
  <c r="J115" i="15" s="1"/>
  <c r="E115" i="15"/>
  <c r="C115" i="15"/>
  <c r="F114" i="15"/>
  <c r="J114" i="15" s="1"/>
  <c r="E114" i="15"/>
  <c r="C114" i="15"/>
  <c r="F113" i="15"/>
  <c r="J113" i="15" s="1"/>
  <c r="E113" i="15"/>
  <c r="C113" i="15"/>
  <c r="F112" i="15"/>
  <c r="J112" i="15" s="1"/>
  <c r="E112" i="15"/>
  <c r="C112" i="15"/>
  <c r="F111" i="15"/>
  <c r="J111" i="15" s="1"/>
  <c r="E111" i="15"/>
  <c r="C111" i="15"/>
  <c r="F110" i="15"/>
  <c r="J110" i="15" s="1"/>
  <c r="E110" i="15"/>
  <c r="C110" i="15"/>
  <c r="F109" i="15"/>
  <c r="J109" i="15" s="1"/>
  <c r="E109" i="15"/>
  <c r="C109" i="15"/>
  <c r="F108" i="15"/>
  <c r="J108" i="15" s="1"/>
  <c r="E108" i="15"/>
  <c r="C108" i="15"/>
  <c r="F101" i="15"/>
  <c r="J101" i="15" s="1"/>
  <c r="E101" i="15"/>
  <c r="C101" i="15"/>
  <c r="F100" i="15"/>
  <c r="J100" i="15" s="1"/>
  <c r="E100" i="15"/>
  <c r="C100" i="15"/>
  <c r="F99" i="15"/>
  <c r="J99" i="15" s="1"/>
  <c r="E99" i="15"/>
  <c r="C99" i="15"/>
  <c r="F98" i="15"/>
  <c r="J98" i="15" s="1"/>
  <c r="E98" i="15"/>
  <c r="C98" i="15"/>
  <c r="F97" i="15"/>
  <c r="J97" i="15" s="1"/>
  <c r="E97" i="15"/>
  <c r="C97" i="15"/>
  <c r="F96" i="15"/>
  <c r="J96" i="15" s="1"/>
  <c r="E96" i="15"/>
  <c r="C96" i="15"/>
  <c r="F95" i="15"/>
  <c r="J95" i="15" s="1"/>
  <c r="E95" i="15"/>
  <c r="C95" i="15"/>
  <c r="F94" i="15"/>
  <c r="J94" i="15" s="1"/>
  <c r="E94" i="15"/>
  <c r="C94" i="15"/>
  <c r="F93" i="15"/>
  <c r="J93" i="15" s="1"/>
  <c r="E93" i="15"/>
  <c r="C93" i="15"/>
  <c r="F92" i="15"/>
  <c r="J92" i="15" s="1"/>
  <c r="E92" i="15"/>
  <c r="C92" i="15"/>
  <c r="F91" i="15"/>
  <c r="J91" i="15" s="1"/>
  <c r="E91" i="15"/>
  <c r="F90" i="15"/>
  <c r="J90" i="15" s="1"/>
  <c r="E90" i="15"/>
  <c r="F89" i="15"/>
  <c r="J89" i="15" s="1"/>
  <c r="E89" i="15"/>
  <c r="F88" i="15"/>
  <c r="J88" i="15" s="1"/>
  <c r="E88" i="15"/>
  <c r="F87" i="15"/>
  <c r="J87" i="15" s="1"/>
  <c r="E87" i="15"/>
  <c r="F86" i="15"/>
  <c r="J86" i="15" s="1"/>
  <c r="E86" i="15"/>
  <c r="C86" i="15"/>
  <c r="F85" i="15"/>
  <c r="J85" i="15" s="1"/>
  <c r="E85" i="15"/>
  <c r="C85" i="15"/>
  <c r="F84" i="15"/>
  <c r="J84" i="15" s="1"/>
  <c r="E84" i="15"/>
  <c r="C84" i="15"/>
  <c r="F83" i="15"/>
  <c r="J83" i="15" s="1"/>
  <c r="E83" i="15"/>
  <c r="C83" i="15"/>
  <c r="F82" i="15"/>
  <c r="J82" i="15" s="1"/>
  <c r="E82" i="15"/>
  <c r="C82" i="15"/>
  <c r="F81" i="15"/>
  <c r="J81" i="15" s="1"/>
  <c r="E81" i="15"/>
  <c r="C81" i="15"/>
  <c r="F80" i="15"/>
  <c r="J80" i="15" s="1"/>
  <c r="E80" i="15"/>
  <c r="C80" i="15"/>
  <c r="F79" i="15"/>
  <c r="J79" i="15" s="1"/>
  <c r="E79" i="15"/>
  <c r="C79" i="15"/>
  <c r="F78" i="15"/>
  <c r="J78" i="15" s="1"/>
  <c r="E78" i="15"/>
  <c r="I78" i="15" s="1"/>
  <c r="F77" i="15"/>
  <c r="J77" i="15" s="1"/>
  <c r="E77" i="15"/>
  <c r="I77" i="15" s="1"/>
  <c r="F76" i="15"/>
  <c r="J76" i="15" s="1"/>
  <c r="E76" i="15"/>
  <c r="C76" i="15"/>
  <c r="F75" i="15"/>
  <c r="J75" i="15" s="1"/>
  <c r="E75" i="15"/>
  <c r="C75" i="15"/>
  <c r="F74" i="15"/>
  <c r="J74" i="15" s="1"/>
  <c r="E74" i="15"/>
  <c r="I74" i="15" s="1"/>
  <c r="C74" i="15"/>
  <c r="F73" i="15"/>
  <c r="J73" i="15" s="1"/>
  <c r="E73" i="15"/>
  <c r="C73" i="15"/>
  <c r="F72" i="15"/>
  <c r="C72" i="15"/>
  <c r="I72" i="15" s="1"/>
  <c r="F71" i="15"/>
  <c r="J71" i="15" s="1"/>
  <c r="E71" i="15"/>
  <c r="I71" i="15" s="1"/>
  <c r="C71" i="15"/>
  <c r="F70" i="15"/>
  <c r="E70" i="15"/>
  <c r="C70" i="15"/>
  <c r="F69" i="15"/>
  <c r="J69" i="15" s="1"/>
  <c r="E69" i="15"/>
  <c r="C69" i="15"/>
  <c r="F68" i="15"/>
  <c r="J68" i="15" s="1"/>
  <c r="E68" i="15"/>
  <c r="C68" i="15"/>
  <c r="F67" i="15"/>
  <c r="E67" i="15"/>
  <c r="C67" i="15"/>
  <c r="F66" i="15"/>
  <c r="E66" i="15"/>
  <c r="C66" i="15"/>
  <c r="F65" i="15"/>
  <c r="E65" i="15"/>
  <c r="C65" i="15"/>
  <c r="F64" i="15"/>
  <c r="E64" i="15"/>
  <c r="C64" i="15"/>
  <c r="F63" i="15"/>
  <c r="E63" i="15"/>
  <c r="C63" i="15"/>
  <c r="F62" i="15"/>
  <c r="E62" i="15"/>
  <c r="C62" i="15"/>
  <c r="F61" i="15"/>
  <c r="E61" i="15"/>
  <c r="C61" i="15"/>
  <c r="F60" i="15"/>
  <c r="E60" i="15"/>
  <c r="C60" i="15"/>
  <c r="F59" i="15"/>
  <c r="E59" i="15"/>
  <c r="C59" i="15"/>
  <c r="F58" i="15"/>
  <c r="E58" i="15"/>
  <c r="C58" i="15"/>
  <c r="F57" i="15"/>
  <c r="E57" i="15"/>
  <c r="C57" i="15"/>
  <c r="F56" i="15"/>
  <c r="E56" i="15"/>
  <c r="C56" i="15"/>
  <c r="F55" i="15"/>
  <c r="E55" i="15"/>
  <c r="C55" i="15"/>
  <c r="F54" i="15"/>
  <c r="E54" i="15"/>
  <c r="C54" i="15"/>
  <c r="F53" i="15"/>
  <c r="E53" i="15"/>
  <c r="C53" i="15"/>
  <c r="F52" i="15"/>
  <c r="E52" i="15"/>
  <c r="C52" i="15"/>
  <c r="F51" i="15"/>
  <c r="E51" i="15"/>
  <c r="C51" i="15"/>
  <c r="F50" i="15"/>
  <c r="E50" i="15"/>
  <c r="C50" i="15"/>
  <c r="F49" i="15"/>
  <c r="E49" i="15"/>
  <c r="C49" i="15"/>
  <c r="F48" i="15"/>
  <c r="E48" i="15"/>
  <c r="C48" i="15"/>
  <c r="F47" i="15"/>
  <c r="E47" i="15"/>
  <c r="C47" i="15"/>
  <c r="F46" i="15"/>
  <c r="E46" i="15"/>
  <c r="C46" i="15"/>
  <c r="F45" i="15"/>
  <c r="E45" i="15"/>
  <c r="C45" i="15"/>
  <c r="F44" i="15"/>
  <c r="E44" i="15"/>
  <c r="C44" i="15"/>
  <c r="F43" i="15"/>
  <c r="E43" i="15"/>
  <c r="C43" i="15"/>
  <c r="F42" i="15"/>
  <c r="E42" i="15"/>
  <c r="C42" i="15"/>
  <c r="F41" i="15"/>
  <c r="E41" i="15"/>
  <c r="C41" i="15"/>
  <c r="F40" i="15"/>
  <c r="E40" i="15"/>
  <c r="C40" i="15"/>
  <c r="F39" i="15"/>
  <c r="F33" i="15"/>
  <c r="J33" i="15" s="1"/>
  <c r="E33" i="15"/>
  <c r="C33" i="15"/>
  <c r="F32" i="15"/>
  <c r="J32" i="15" s="1"/>
  <c r="E32" i="15"/>
  <c r="C32" i="15"/>
  <c r="F31" i="15"/>
  <c r="J31" i="15" s="1"/>
  <c r="E31" i="15"/>
  <c r="C31" i="15"/>
  <c r="F30" i="15"/>
  <c r="J30" i="15" s="1"/>
  <c r="E30" i="15"/>
  <c r="C30" i="15"/>
  <c r="F29" i="15"/>
  <c r="J29" i="15" s="1"/>
  <c r="E29" i="15"/>
  <c r="C29" i="15"/>
  <c r="F28" i="15"/>
  <c r="J28" i="15" s="1"/>
  <c r="E28" i="15"/>
  <c r="C28" i="15"/>
  <c r="F27" i="15"/>
  <c r="J27" i="15" s="1"/>
  <c r="E27" i="15"/>
  <c r="C27" i="15"/>
  <c r="F26" i="15"/>
  <c r="J26" i="15" s="1"/>
  <c r="E26" i="15"/>
  <c r="C26" i="15"/>
  <c r="F25" i="15"/>
  <c r="J25" i="15" s="1"/>
  <c r="E25" i="15"/>
  <c r="C25" i="15"/>
  <c r="F24" i="15"/>
  <c r="J24" i="15" s="1"/>
  <c r="E24" i="15"/>
  <c r="C24" i="15"/>
  <c r="F23" i="15"/>
  <c r="J23" i="15" s="1"/>
  <c r="E23" i="15"/>
  <c r="C23" i="15"/>
  <c r="F22" i="15"/>
  <c r="J22" i="15" s="1"/>
  <c r="E22" i="15"/>
  <c r="C22" i="15"/>
  <c r="F21" i="15"/>
  <c r="E21" i="15"/>
  <c r="C21" i="15"/>
  <c r="F20" i="15"/>
  <c r="E20" i="15"/>
  <c r="C20" i="15"/>
  <c r="F19" i="15"/>
  <c r="J19" i="15" s="1"/>
  <c r="E19" i="15"/>
  <c r="C19" i="15"/>
  <c r="F18" i="15"/>
  <c r="J18" i="15" s="1"/>
  <c r="E18" i="15"/>
  <c r="C18" i="15"/>
  <c r="F17" i="15"/>
  <c r="E17" i="15"/>
  <c r="C17" i="15"/>
  <c r="F16" i="15"/>
  <c r="E16" i="15"/>
  <c r="C16" i="15"/>
  <c r="F15" i="15"/>
  <c r="E15" i="15"/>
  <c r="C15" i="15"/>
  <c r="F14" i="15"/>
  <c r="E14" i="15"/>
  <c r="C14" i="15"/>
  <c r="F13" i="15"/>
  <c r="E13" i="15"/>
  <c r="C13" i="15"/>
  <c r="F12" i="15"/>
  <c r="J12" i="15" s="1"/>
  <c r="C12" i="15"/>
  <c r="I12" i="15" s="1"/>
  <c r="I118" i="15" l="1"/>
  <c r="I114" i="15"/>
  <c r="I122" i="15"/>
  <c r="I80" i="15"/>
  <c r="K80" i="15" s="1"/>
  <c r="I84" i="15"/>
  <c r="I88" i="15"/>
  <c r="I92" i="15"/>
  <c r="K92" i="15" s="1"/>
  <c r="I96" i="15"/>
  <c r="K96" i="15" s="1"/>
  <c r="I100" i="15"/>
  <c r="I110" i="15"/>
  <c r="K118" i="15"/>
  <c r="I81" i="15"/>
  <c r="I85" i="15"/>
  <c r="I89" i="15"/>
  <c r="K89" i="15" s="1"/>
  <c r="I93" i="15"/>
  <c r="I97" i="15"/>
  <c r="K97" i="15" s="1"/>
  <c r="I101" i="15"/>
  <c r="K78" i="15"/>
  <c r="I82" i="15"/>
  <c r="K82" i="15" s="1"/>
  <c r="I86" i="15"/>
  <c r="K86" i="15" s="1"/>
  <c r="I90" i="15"/>
  <c r="K90" i="15" s="1"/>
  <c r="I94" i="15"/>
  <c r="K94" i="15" s="1"/>
  <c r="I98" i="15"/>
  <c r="K98" i="15" s="1"/>
  <c r="I79" i="15"/>
  <c r="I83" i="15"/>
  <c r="I87" i="15"/>
  <c r="I91" i="15"/>
  <c r="I95" i="15"/>
  <c r="I99" i="15"/>
  <c r="I73" i="15"/>
  <c r="K73" i="15" s="1"/>
  <c r="K74" i="15"/>
  <c r="K79" i="15"/>
  <c r="K83" i="15"/>
  <c r="K87" i="15"/>
  <c r="K91" i="15"/>
  <c r="K95" i="15"/>
  <c r="K99" i="15"/>
  <c r="I109" i="15"/>
  <c r="K109" i="15" s="1"/>
  <c r="K127" i="15"/>
  <c r="I76" i="15"/>
  <c r="K76" i="15" s="1"/>
  <c r="I108" i="15"/>
  <c r="K108" i="15" s="1"/>
  <c r="I112" i="15"/>
  <c r="K112" i="15" s="1"/>
  <c r="I116" i="15"/>
  <c r="K116" i="15" s="1"/>
  <c r="I120" i="15"/>
  <c r="K120" i="15" s="1"/>
  <c r="I124" i="15"/>
  <c r="K124" i="15" s="1"/>
  <c r="I24" i="15"/>
  <c r="K24" i="15" s="1"/>
  <c r="I28" i="15"/>
  <c r="K28" i="15" s="1"/>
  <c r="I32" i="15"/>
  <c r="K32" i="15" s="1"/>
  <c r="G72" i="15"/>
  <c r="J72" i="15"/>
  <c r="K72" i="15" s="1"/>
  <c r="I75" i="15"/>
  <c r="K75" i="15" s="1"/>
  <c r="K81" i="15"/>
  <c r="K85" i="15"/>
  <c r="K93" i="15"/>
  <c r="K101" i="15"/>
  <c r="I111" i="15"/>
  <c r="K111" i="15" s="1"/>
  <c r="I115" i="15"/>
  <c r="K115" i="15" s="1"/>
  <c r="I119" i="15"/>
  <c r="K119" i="15" s="1"/>
  <c r="I123" i="15"/>
  <c r="K123" i="15" s="1"/>
  <c r="K126" i="15"/>
  <c r="K128" i="15"/>
  <c r="K71" i="15"/>
  <c r="K77" i="15"/>
  <c r="K84" i="15"/>
  <c r="K88" i="15"/>
  <c r="K100" i="15"/>
  <c r="K110" i="15"/>
  <c r="K114" i="15"/>
  <c r="K122" i="15"/>
  <c r="I113" i="15"/>
  <c r="K113" i="15" s="1"/>
  <c r="I117" i="15"/>
  <c r="K117" i="15" s="1"/>
  <c r="I121" i="15"/>
  <c r="K121" i="15" s="1"/>
  <c r="I125" i="15"/>
  <c r="K125" i="15" s="1"/>
  <c r="F15" i="16"/>
  <c r="G15" i="16"/>
  <c r="F37" i="16"/>
  <c r="G37" i="16"/>
  <c r="G13" i="16"/>
  <c r="F13" i="16"/>
  <c r="G17" i="16"/>
  <c r="F17" i="16"/>
  <c r="F30" i="16"/>
  <c r="G30" i="16"/>
  <c r="G34" i="16"/>
  <c r="F34" i="16"/>
  <c r="G38" i="16"/>
  <c r="F38" i="16"/>
  <c r="G42" i="16"/>
  <c r="F42" i="16"/>
  <c r="G46" i="16"/>
  <c r="F46" i="16"/>
  <c r="G50" i="16"/>
  <c r="F50" i="16"/>
  <c r="G60" i="16"/>
  <c r="F60" i="16"/>
  <c r="G64" i="16"/>
  <c r="F64" i="16"/>
  <c r="G68" i="16"/>
  <c r="F68" i="16"/>
  <c r="F19" i="16"/>
  <c r="G19" i="16"/>
  <c r="G12" i="16"/>
  <c r="F12" i="16"/>
  <c r="G20" i="16"/>
  <c r="F20" i="16"/>
  <c r="F23" i="16"/>
  <c r="G23" i="16"/>
  <c r="F45" i="16"/>
  <c r="G45" i="16"/>
  <c r="F49" i="16"/>
  <c r="G49" i="16"/>
  <c r="G21" i="16"/>
  <c r="F21" i="16"/>
  <c r="F14" i="16"/>
  <c r="G14" i="16"/>
  <c r="F18" i="16"/>
  <c r="G18" i="16"/>
  <c r="F22" i="16"/>
  <c r="G22" i="16"/>
  <c r="F31" i="16"/>
  <c r="G31" i="16"/>
  <c r="G35" i="16"/>
  <c r="F35" i="16"/>
  <c r="G39" i="16"/>
  <c r="F39" i="16"/>
  <c r="G43" i="16"/>
  <c r="F43" i="16"/>
  <c r="G47" i="16"/>
  <c r="F47" i="16"/>
  <c r="F51" i="16"/>
  <c r="G51" i="16"/>
  <c r="F61" i="16"/>
  <c r="G61" i="16"/>
  <c r="F65" i="16"/>
  <c r="G65" i="16"/>
  <c r="F69" i="16"/>
  <c r="G69" i="16"/>
  <c r="F32" i="16"/>
  <c r="G32" i="16"/>
  <c r="F36" i="16"/>
  <c r="G36" i="16"/>
  <c r="F40" i="16"/>
  <c r="G40" i="16"/>
  <c r="F44" i="16"/>
  <c r="G44" i="16"/>
  <c r="F48" i="16"/>
  <c r="G48" i="16"/>
  <c r="F52" i="16"/>
  <c r="G52" i="16"/>
  <c r="F62" i="16"/>
  <c r="G62" i="16"/>
  <c r="F66" i="16"/>
  <c r="G66" i="16"/>
  <c r="F70" i="16"/>
  <c r="G70" i="16"/>
  <c r="G72" i="16" s="1"/>
  <c r="G16" i="16"/>
  <c r="F16" i="16"/>
  <c r="F33" i="16"/>
  <c r="G33" i="16"/>
  <c r="F41" i="16"/>
  <c r="G41" i="16"/>
  <c r="F53" i="16"/>
  <c r="G53" i="16"/>
  <c r="G63" i="16"/>
  <c r="F63" i="16"/>
  <c r="G67" i="16"/>
  <c r="F67" i="16"/>
  <c r="I30" i="15"/>
  <c r="K30" i="15" s="1"/>
  <c r="I22" i="15"/>
  <c r="K22" i="15" s="1"/>
  <c r="I27" i="15"/>
  <c r="K27" i="15" s="1"/>
  <c r="I26" i="15"/>
  <c r="K26" i="15" s="1"/>
  <c r="I25" i="15"/>
  <c r="K25" i="15" s="1"/>
  <c r="I29" i="15"/>
  <c r="K29" i="15" s="1"/>
  <c r="I33" i="15"/>
  <c r="K33" i="15" s="1"/>
  <c r="I23" i="15"/>
  <c r="K23" i="15" s="1"/>
  <c r="I31" i="15"/>
  <c r="K31" i="15" s="1"/>
  <c r="G95" i="15"/>
  <c r="G117" i="15"/>
  <c r="G121" i="15"/>
  <c r="I18" i="15"/>
  <c r="K18" i="15" s="1"/>
  <c r="G23" i="15"/>
  <c r="G31" i="15"/>
  <c r="G67" i="15"/>
  <c r="I49" i="15"/>
  <c r="I53" i="15"/>
  <c r="I57" i="15"/>
  <c r="G19" i="15"/>
  <c r="G24" i="15"/>
  <c r="G28" i="15"/>
  <c r="I67" i="15"/>
  <c r="I68" i="15"/>
  <c r="K68" i="15" s="1"/>
  <c r="I64" i="15"/>
  <c r="G65" i="15"/>
  <c r="G140" i="15"/>
  <c r="G25" i="15"/>
  <c r="G81" i="15"/>
  <c r="G93" i="15"/>
  <c r="I17" i="15"/>
  <c r="I16" i="15"/>
  <c r="I48" i="15"/>
  <c r="I52" i="15"/>
  <c r="I56" i="15"/>
  <c r="G76" i="15"/>
  <c r="G78" i="15"/>
  <c r="G86" i="15"/>
  <c r="G90" i="15"/>
  <c r="G127" i="15"/>
  <c r="E142" i="15"/>
  <c r="G26" i="15"/>
  <c r="G30" i="15"/>
  <c r="I51" i="15"/>
  <c r="I55" i="15"/>
  <c r="G63" i="15"/>
  <c r="G97" i="15"/>
  <c r="G101" i="15"/>
  <c r="G111" i="15"/>
  <c r="G115" i="15"/>
  <c r="G119" i="15"/>
  <c r="G124" i="15"/>
  <c r="G128" i="15"/>
  <c r="G133" i="15"/>
  <c r="G135" i="15" s="1"/>
  <c r="B12" i="10" s="1"/>
  <c r="F142" i="15"/>
  <c r="I50" i="15"/>
  <c r="I54" i="15"/>
  <c r="G66" i="15"/>
  <c r="G71" i="15"/>
  <c r="G88" i="15"/>
  <c r="G92" i="15"/>
  <c r="G118" i="15"/>
  <c r="G122" i="15"/>
  <c r="J13" i="15"/>
  <c r="J14" i="15"/>
  <c r="J16" i="15"/>
  <c r="J17" i="15"/>
  <c r="I14" i="15"/>
  <c r="I21" i="15"/>
  <c r="I63" i="15"/>
  <c r="J64" i="15"/>
  <c r="K64" i="15" s="1"/>
  <c r="J65" i="15"/>
  <c r="G69" i="15"/>
  <c r="G70" i="15"/>
  <c r="G77" i="15"/>
  <c r="G89" i="15"/>
  <c r="G112" i="15"/>
  <c r="I42" i="15"/>
  <c r="I43" i="15"/>
  <c r="I44" i="15"/>
  <c r="I45" i="15"/>
  <c r="I46" i="15"/>
  <c r="I47" i="15"/>
  <c r="G75" i="15"/>
  <c r="G79" i="15"/>
  <c r="G82" i="15"/>
  <c r="G85" i="15"/>
  <c r="G91" i="15"/>
  <c r="G98" i="15"/>
  <c r="J50" i="15"/>
  <c r="J51" i="15"/>
  <c r="J52" i="15"/>
  <c r="K52" i="15" s="1"/>
  <c r="J53" i="15"/>
  <c r="K53" i="15" s="1"/>
  <c r="G94" i="15"/>
  <c r="G123" i="15"/>
  <c r="E103" i="15"/>
  <c r="I20" i="15"/>
  <c r="G68" i="15"/>
  <c r="G13" i="15"/>
  <c r="J15" i="15"/>
  <c r="J20" i="15"/>
  <c r="J21" i="15"/>
  <c r="G32" i="15"/>
  <c r="G33" i="15"/>
  <c r="J54" i="15"/>
  <c r="J55" i="15"/>
  <c r="J56" i="15"/>
  <c r="K56" i="15" s="1"/>
  <c r="J57" i="15"/>
  <c r="I58" i="15"/>
  <c r="I59" i="15"/>
  <c r="I60" i="15"/>
  <c r="I61" i="15"/>
  <c r="I62" i="15"/>
  <c r="I65" i="15"/>
  <c r="J66" i="15"/>
  <c r="I69" i="15"/>
  <c r="K69" i="15" s="1"/>
  <c r="J70" i="15"/>
  <c r="G84" i="15"/>
  <c r="G87" i="15"/>
  <c r="G100" i="15"/>
  <c r="E130" i="15"/>
  <c r="G109" i="15"/>
  <c r="G110" i="15"/>
  <c r="G120" i="15"/>
  <c r="G125" i="15"/>
  <c r="G126" i="15"/>
  <c r="G139" i="15"/>
  <c r="D55" i="16"/>
  <c r="D72" i="16"/>
  <c r="F35" i="15"/>
  <c r="G15" i="15"/>
  <c r="G17" i="15"/>
  <c r="J58" i="15"/>
  <c r="K58" i="15" s="1"/>
  <c r="J59" i="15"/>
  <c r="J60" i="15"/>
  <c r="J61" i="15"/>
  <c r="J62" i="15"/>
  <c r="J63" i="15"/>
  <c r="I66" i="15"/>
  <c r="K66" i="15" s="1"/>
  <c r="J67" i="15"/>
  <c r="I70" i="15"/>
  <c r="K70" i="15" s="1"/>
  <c r="G73" i="15"/>
  <c r="G74" i="15"/>
  <c r="G80" i="15"/>
  <c r="G83" i="15"/>
  <c r="G96" i="15"/>
  <c r="G99" i="15"/>
  <c r="F130" i="15"/>
  <c r="G113" i="15"/>
  <c r="G114" i="15"/>
  <c r="D84" i="16"/>
  <c r="C13" i="10" s="1"/>
  <c r="D25" i="16"/>
  <c r="G27" i="15"/>
  <c r="G64" i="15"/>
  <c r="G116" i="15"/>
  <c r="K12" i="15"/>
  <c r="K21" i="15"/>
  <c r="J42" i="15"/>
  <c r="G42" i="15"/>
  <c r="J46" i="15"/>
  <c r="G46" i="15"/>
  <c r="I13" i="15"/>
  <c r="G14" i="15"/>
  <c r="G18" i="15"/>
  <c r="G22" i="15"/>
  <c r="J40" i="15"/>
  <c r="F103" i="15"/>
  <c r="J43" i="15"/>
  <c r="K43" i="15" s="1"/>
  <c r="G43" i="15"/>
  <c r="J47" i="15"/>
  <c r="G47" i="15"/>
  <c r="I15" i="15"/>
  <c r="I19" i="15"/>
  <c r="K19" i="15" s="1"/>
  <c r="G21" i="15"/>
  <c r="G40" i="15"/>
  <c r="I41" i="15"/>
  <c r="J44" i="15"/>
  <c r="G44" i="15"/>
  <c r="J48" i="15"/>
  <c r="G48" i="15"/>
  <c r="E35" i="15"/>
  <c r="G12" i="15"/>
  <c r="G16" i="15"/>
  <c r="G20" i="15"/>
  <c r="G29" i="15"/>
  <c r="J41" i="15"/>
  <c r="G41" i="15"/>
  <c r="J45" i="15"/>
  <c r="K45" i="15" s="1"/>
  <c r="G45" i="15"/>
  <c r="J49" i="15"/>
  <c r="K49" i="15" s="1"/>
  <c r="G49" i="15"/>
  <c r="G50" i="15"/>
  <c r="G51" i="15"/>
  <c r="G52" i="15"/>
  <c r="G53" i="15"/>
  <c r="G54" i="15"/>
  <c r="G55" i="15"/>
  <c r="G56" i="15"/>
  <c r="G57" i="15"/>
  <c r="G58" i="15"/>
  <c r="G59" i="15"/>
  <c r="G60" i="15"/>
  <c r="G61" i="15"/>
  <c r="G62" i="15"/>
  <c r="E135" i="15"/>
  <c r="G138" i="15"/>
  <c r="D77" i="16"/>
  <c r="I40" i="15"/>
  <c r="G108" i="15"/>
  <c r="K130" i="15" l="1"/>
  <c r="K15" i="15"/>
  <c r="K20" i="15"/>
  <c r="C9" i="10"/>
  <c r="G142" i="15"/>
  <c r="B13" i="10" s="1"/>
  <c r="K47" i="15"/>
  <c r="K51" i="15"/>
  <c r="K50" i="15"/>
  <c r="K17" i="15"/>
  <c r="K54" i="15"/>
  <c r="K48" i="15"/>
  <c r="K46" i="15"/>
  <c r="K67" i="15"/>
  <c r="K57" i="15"/>
  <c r="K44" i="15"/>
  <c r="K13" i="15"/>
  <c r="K42" i="15"/>
  <c r="K63" i="15"/>
  <c r="K55" i="15"/>
  <c r="G55" i="16"/>
  <c r="D9" i="3" s="1"/>
  <c r="G25" i="16"/>
  <c r="D8" i="3" s="1"/>
  <c r="K65" i="15"/>
  <c r="G130" i="15"/>
  <c r="B11" i="10" s="1"/>
  <c r="J12" i="1" s="1"/>
  <c r="K14" i="15"/>
  <c r="K16" i="15"/>
  <c r="C11" i="10"/>
  <c r="K12" i="1" s="1"/>
  <c r="C10" i="10"/>
  <c r="K41" i="15"/>
  <c r="K61" i="15"/>
  <c r="K60" i="15"/>
  <c r="D86" i="16"/>
  <c r="C12" i="10"/>
  <c r="K59" i="15"/>
  <c r="K40" i="15"/>
  <c r="E144" i="15"/>
  <c r="F144" i="15"/>
  <c r="G103" i="15"/>
  <c r="B10" i="10" s="1"/>
  <c r="G35" i="15"/>
  <c r="B9" i="10" s="1"/>
  <c r="K103" i="15" l="1"/>
  <c r="C9" i="3" s="1"/>
  <c r="E9" i="3" s="1"/>
  <c r="K35" i="15"/>
  <c r="C8" i="3" s="1"/>
  <c r="D12" i="3"/>
  <c r="C15" i="10"/>
  <c r="B15" i="10"/>
  <c r="G144" i="15"/>
  <c r="C12" i="3" l="1"/>
  <c r="E8" i="3"/>
  <c r="E12" i="3" s="1"/>
  <c r="D13" i="3" s="1"/>
  <c r="D72" i="10"/>
  <c r="D71" i="10"/>
  <c r="C21" i="14"/>
  <c r="H7" i="14"/>
  <c r="E30" i="14" l="1"/>
  <c r="B13" i="14"/>
  <c r="G13" i="14"/>
  <c r="B21" i="14"/>
  <c r="G21" i="14"/>
  <c r="F30" i="14"/>
  <c r="C13" i="3"/>
  <c r="D13" i="14"/>
  <c r="H21" i="14"/>
  <c r="G30" i="14"/>
  <c r="H13" i="14"/>
  <c r="D21" i="14"/>
  <c r="E13" i="14"/>
  <c r="D68" i="10" s="1"/>
  <c r="C11" i="14"/>
  <c r="E21" i="14"/>
  <c r="D69" i="10" s="1"/>
  <c r="C23" i="14"/>
  <c r="C30" i="14" s="1"/>
  <c r="H30" i="14"/>
  <c r="B30" i="14"/>
  <c r="D30" i="14"/>
  <c r="F13" i="14"/>
  <c r="F21" i="14"/>
  <c r="C9" i="14"/>
  <c r="C13" i="14" l="1"/>
  <c r="C32" i="14" s="1"/>
  <c r="H32" i="14"/>
  <c r="D32" i="14"/>
  <c r="B32" i="14"/>
  <c r="G32" i="14"/>
  <c r="E32" i="14"/>
  <c r="F32" i="14"/>
  <c r="H248" i="1" l="1"/>
  <c r="E9" i="5" s="1"/>
  <c r="D54" i="13" l="1"/>
  <c r="E54" i="13" s="1"/>
  <c r="C87" i="13"/>
  <c r="C90" i="13" s="1"/>
  <c r="D86" i="13"/>
  <c r="E86" i="13" s="1"/>
  <c r="E85" i="13"/>
  <c r="E84" i="13"/>
  <c r="E83" i="13"/>
  <c r="E82" i="13"/>
  <c r="E81" i="13"/>
  <c r="D81" i="13"/>
  <c r="E80" i="13"/>
  <c r="E79" i="13"/>
  <c r="E78" i="13"/>
  <c r="E77" i="13"/>
  <c r="D76" i="13"/>
  <c r="E76" i="13" s="1"/>
  <c r="E75" i="13"/>
  <c r="E74" i="13"/>
  <c r="E73" i="13"/>
  <c r="D72" i="13"/>
  <c r="E72" i="13" s="1"/>
  <c r="E71" i="13"/>
  <c r="E70" i="13"/>
  <c r="D69" i="13"/>
  <c r="E69" i="13" s="1"/>
  <c r="E68" i="13"/>
  <c r="E67" i="13"/>
  <c r="E66" i="13"/>
  <c r="E65" i="13"/>
  <c r="E64" i="13"/>
  <c r="E63" i="13"/>
  <c r="E62" i="13"/>
  <c r="E61" i="13"/>
  <c r="E60" i="13"/>
  <c r="E59" i="13"/>
  <c r="E58" i="13"/>
  <c r="E57" i="13"/>
  <c r="D57" i="13"/>
  <c r="E56" i="13"/>
  <c r="D55" i="13"/>
  <c r="E55" i="13" s="1"/>
  <c r="D53" i="13"/>
  <c r="E53" i="13" s="1"/>
  <c r="E52" i="13"/>
  <c r="E51" i="13"/>
  <c r="E50" i="13"/>
  <c r="E49" i="13"/>
  <c r="E48" i="13"/>
  <c r="E47" i="13"/>
  <c r="D46" i="13"/>
  <c r="E46" i="13" s="1"/>
  <c r="E45" i="13"/>
  <c r="E44" i="13"/>
  <c r="D43" i="13"/>
  <c r="E43" i="13" s="1"/>
  <c r="E42" i="13"/>
  <c r="D41" i="13"/>
  <c r="E41" i="13" s="1"/>
  <c r="E40" i="13"/>
  <c r="D40" i="13"/>
  <c r="D39" i="13"/>
  <c r="E39" i="13" s="1"/>
  <c r="E38" i="13"/>
  <c r="D38" i="13"/>
  <c r="D37" i="13"/>
  <c r="E37" i="13" s="1"/>
  <c r="E36" i="13"/>
  <c r="E35" i="13"/>
  <c r="E34" i="13"/>
  <c r="E33" i="13"/>
  <c r="E32" i="13"/>
  <c r="F31" i="13"/>
  <c r="E30" i="13"/>
  <c r="E29" i="13"/>
  <c r="D29" i="13"/>
  <c r="D28" i="13"/>
  <c r="E28" i="13" s="1"/>
  <c r="E27" i="13"/>
  <c r="D27" i="13"/>
  <c r="E26" i="13"/>
  <c r="E25" i="13"/>
  <c r="E24" i="13"/>
  <c r="E23" i="13"/>
  <c r="E22" i="13"/>
  <c r="E21" i="13"/>
  <c r="E20" i="13"/>
  <c r="E19" i="13"/>
  <c r="E18" i="13"/>
  <c r="E17" i="13"/>
  <c r="E16" i="13"/>
  <c r="E15" i="13"/>
  <c r="E14" i="13"/>
  <c r="E13" i="13"/>
  <c r="E87" i="13" l="1"/>
  <c r="B44" i="10" s="1"/>
  <c r="AH3" i="12" l="1"/>
  <c r="A2" i="12"/>
  <c r="AC47" i="12"/>
  <c r="AA47" i="12"/>
  <c r="Y47" i="12"/>
  <c r="W47" i="12"/>
  <c r="U47" i="12"/>
  <c r="S47" i="12"/>
  <c r="Q47" i="12"/>
  <c r="O47" i="12"/>
  <c r="I6" i="12"/>
  <c r="K6" i="12" s="1"/>
  <c r="M6" i="12" s="1"/>
  <c r="O6" i="12" s="1"/>
  <c r="Q6" i="12" s="1"/>
  <c r="S6" i="12" s="1"/>
  <c r="U6" i="12" s="1"/>
  <c r="W6" i="12" s="1"/>
  <c r="Y6" i="12" s="1"/>
  <c r="AA6" i="12" s="1"/>
  <c r="AC6" i="12" s="1"/>
  <c r="AH44" i="12"/>
  <c r="AJ44" i="12" s="1"/>
  <c r="G47" i="12" l="1"/>
  <c r="AE14" i="12"/>
  <c r="AE15" i="12"/>
  <c r="AE16" i="12"/>
  <c r="AE17" i="12"/>
  <c r="AE19" i="12"/>
  <c r="AE20" i="12"/>
  <c r="AE22" i="12"/>
  <c r="AE23" i="12"/>
  <c r="AE24" i="12"/>
  <c r="AE27" i="12"/>
  <c r="AE28" i="12"/>
  <c r="AE29" i="12"/>
  <c r="AE31" i="12"/>
  <c r="AE32" i="12"/>
  <c r="AE33" i="12"/>
  <c r="AE35" i="12"/>
  <c r="AE36" i="12"/>
  <c r="AE37" i="12"/>
  <c r="AE38" i="12"/>
  <c r="AE40" i="12"/>
  <c r="AE41" i="12"/>
  <c r="AE44" i="12"/>
  <c r="AE45" i="12"/>
  <c r="K47" i="12"/>
  <c r="M47" i="12"/>
  <c r="AE9" i="12"/>
  <c r="AE10" i="12"/>
  <c r="AE13" i="12"/>
  <c r="AE11" i="12"/>
  <c r="AE12" i="12"/>
  <c r="AE18" i="12"/>
  <c r="AE21" i="12"/>
  <c r="AE25" i="12"/>
  <c r="AE26" i="12"/>
  <c r="AE42" i="12"/>
  <c r="AE30" i="12"/>
  <c r="AE34" i="12"/>
  <c r="AE39" i="12"/>
  <c r="AE43" i="12"/>
  <c r="AH11" i="12"/>
  <c r="AH12" i="12"/>
  <c r="AJ12" i="12" s="1"/>
  <c r="AH18" i="12"/>
  <c r="AJ18" i="12" s="1"/>
  <c r="AH8" i="12"/>
  <c r="AJ8" i="12" s="1"/>
  <c r="AH13" i="12"/>
  <c r="AI13" i="12" s="1"/>
  <c r="AJ13" i="12" s="1"/>
  <c r="AH14" i="12"/>
  <c r="AI14" i="12" s="1"/>
  <c r="AJ14" i="12" s="1"/>
  <c r="AH15" i="12"/>
  <c r="AJ15" i="12" s="1"/>
  <c r="AH19" i="12"/>
  <c r="AI11" i="12"/>
  <c r="AH21" i="12"/>
  <c r="AJ21" i="12" s="1"/>
  <c r="AH25" i="12"/>
  <c r="AH26" i="12"/>
  <c r="AJ26" i="12" s="1"/>
  <c r="AH30" i="12"/>
  <c r="AJ30" i="12" s="1"/>
  <c r="AH34" i="12"/>
  <c r="AJ34" i="12" s="1"/>
  <c r="AH39" i="12"/>
  <c r="AJ39" i="12" s="1"/>
  <c r="AH43" i="12"/>
  <c r="AJ43" i="12" s="1"/>
  <c r="AH10" i="12"/>
  <c r="AJ10" i="12" s="1"/>
  <c r="AH17" i="12"/>
  <c r="AJ17" i="12" s="1"/>
  <c r="AH20" i="12"/>
  <c r="AJ20" i="12" s="1"/>
  <c r="AH24" i="12"/>
  <c r="AJ24" i="12" s="1"/>
  <c r="AH29" i="12"/>
  <c r="AJ29" i="12" s="1"/>
  <c r="AH33" i="12"/>
  <c r="AJ33" i="12" s="1"/>
  <c r="AH38" i="12"/>
  <c r="AJ38" i="12" s="1"/>
  <c r="AH42" i="12"/>
  <c r="AJ42" i="12" s="1"/>
  <c r="I47" i="12"/>
  <c r="AE8" i="12"/>
  <c r="AH9" i="12"/>
  <c r="AJ9" i="12" s="1"/>
  <c r="AH16" i="12"/>
  <c r="AJ16" i="12" s="1"/>
  <c r="AH23" i="12"/>
  <c r="AJ23" i="12" s="1"/>
  <c r="AH28" i="12"/>
  <c r="AJ28" i="12" s="1"/>
  <c r="AH32" i="12"/>
  <c r="AJ32" i="12" s="1"/>
  <c r="AH37" i="12"/>
  <c r="AJ37" i="12" s="1"/>
  <c r="AH41" i="12"/>
  <c r="AJ41" i="12" s="1"/>
  <c r="AH45" i="12"/>
  <c r="AJ45" i="12" s="1"/>
  <c r="AH22" i="12"/>
  <c r="AJ22" i="12" s="1"/>
  <c r="AH27" i="12"/>
  <c r="AJ27" i="12" s="1"/>
  <c r="AH31" i="12"/>
  <c r="AJ31" i="12" s="1"/>
  <c r="AH35" i="12"/>
  <c r="AH36" i="12"/>
  <c r="AJ36" i="12" s="1"/>
  <c r="AH40" i="12"/>
  <c r="AJ40" i="12" s="1"/>
  <c r="AE47" i="12" l="1"/>
  <c r="AI25" i="12"/>
  <c r="AJ25" i="12" s="1"/>
  <c r="AJ11" i="12"/>
  <c r="AI35" i="12"/>
  <c r="AJ35" i="12" s="1"/>
  <c r="AH47" i="12"/>
  <c r="AI47" i="12" l="1"/>
  <c r="AJ47" i="12"/>
  <c r="K14" i="1" l="1"/>
  <c r="K13" i="1"/>
  <c r="K100" i="1" s="1"/>
  <c r="K11" i="1"/>
  <c r="K10" i="1"/>
  <c r="J14" i="1"/>
  <c r="J13" i="1"/>
  <c r="J100" i="1" s="1"/>
  <c r="J11" i="1"/>
  <c r="J10" i="1"/>
  <c r="G228" i="1" l="1"/>
  <c r="A3" i="11"/>
  <c r="A2" i="11"/>
  <c r="V69" i="10"/>
  <c r="V68" i="10"/>
  <c r="V67" i="10"/>
  <c r="V66" i="10"/>
  <c r="V65" i="10"/>
  <c r="V64" i="10"/>
  <c r="V63" i="10"/>
  <c r="V62" i="10"/>
  <c r="V61" i="10"/>
  <c r="V60" i="10"/>
  <c r="V51" i="10"/>
  <c r="V50" i="10"/>
  <c r="V49" i="10"/>
  <c r="V48" i="10"/>
  <c r="V47" i="10"/>
  <c r="V46" i="10"/>
  <c r="V28" i="10"/>
  <c r="D68" i="1" s="1"/>
  <c r="V42" i="10"/>
  <c r="D126" i="1" s="1"/>
  <c r="V41" i="10"/>
  <c r="V39" i="10"/>
  <c r="V38" i="10"/>
  <c r="V37" i="10"/>
  <c r="V36" i="10"/>
  <c r="V35" i="10"/>
  <c r="V34" i="10"/>
  <c r="V33" i="10"/>
  <c r="V21" i="10"/>
  <c r="D28" i="1" s="1"/>
  <c r="D33" i="1" s="1"/>
  <c r="V32" i="10"/>
  <c r="V31" i="10"/>
  <c r="V30" i="10"/>
  <c r="V27" i="10"/>
  <c r="V26" i="10"/>
  <c r="V25" i="10"/>
  <c r="V24" i="10"/>
  <c r="V20" i="10"/>
  <c r="U15" i="10"/>
  <c r="U70" i="10" s="1"/>
  <c r="T15" i="10"/>
  <c r="T70" i="10" s="1"/>
  <c r="S15" i="10"/>
  <c r="R15" i="10"/>
  <c r="Q15" i="10"/>
  <c r="P15" i="10"/>
  <c r="O15" i="10"/>
  <c r="N15" i="10"/>
  <c r="N70" i="10" s="1"/>
  <c r="D13" i="10"/>
  <c r="D12" i="10"/>
  <c r="D10" i="10"/>
  <c r="D9" i="10"/>
  <c r="G231" i="1" l="1"/>
  <c r="G132" i="1"/>
  <c r="G229" i="1"/>
  <c r="G28" i="1"/>
  <c r="V45" i="10"/>
  <c r="D132" i="1"/>
  <c r="G74" i="1"/>
  <c r="G230" i="1"/>
  <c r="G68" i="1"/>
  <c r="B87" i="10"/>
  <c r="D11" i="10"/>
  <c r="D15" i="10" s="1"/>
  <c r="V29" i="10"/>
  <c r="D74" i="1" s="1"/>
  <c r="V22" i="10"/>
  <c r="D75" i="10"/>
  <c r="D76" i="10" s="1"/>
  <c r="B89" i="10" l="1"/>
  <c r="C239" i="1" l="1"/>
  <c r="C235" i="1"/>
  <c r="C101" i="1"/>
  <c r="C14" i="1"/>
  <c r="E11" i="10"/>
  <c r="F11" i="10" s="1"/>
  <c r="M11" i="10" s="1"/>
  <c r="E10" i="10"/>
  <c r="F10" i="10" s="1"/>
  <c r="M10" i="10" s="1"/>
  <c r="D11" i="1" s="1"/>
  <c r="E9" i="10"/>
  <c r="C231" i="1"/>
  <c r="C230" i="1"/>
  <c r="C229" i="1"/>
  <c r="C228" i="1"/>
  <c r="C224" i="1"/>
  <c r="C220" i="1"/>
  <c r="C219" i="1"/>
  <c r="C215" i="1"/>
  <c r="C211" i="1"/>
  <c r="C207" i="1"/>
  <c r="C73" i="10" s="1"/>
  <c r="E73" i="10" s="1"/>
  <c r="Q59" i="10" s="1"/>
  <c r="C206" i="1"/>
  <c r="C72" i="10" s="1"/>
  <c r="E72" i="10" s="1"/>
  <c r="Q58" i="10" s="1"/>
  <c r="C205" i="1"/>
  <c r="C71" i="10" s="1"/>
  <c r="E71" i="10" s="1"/>
  <c r="Q57" i="10" s="1"/>
  <c r="C204" i="1"/>
  <c r="C70" i="10" s="1"/>
  <c r="E70" i="10" s="1"/>
  <c r="Q56" i="10" s="1"/>
  <c r="C203" i="1"/>
  <c r="C69" i="10" s="1"/>
  <c r="E69" i="10" s="1"/>
  <c r="Q55" i="10" s="1"/>
  <c r="C202" i="1"/>
  <c r="C68" i="10" s="1"/>
  <c r="C198" i="1"/>
  <c r="C197" i="1"/>
  <c r="C196" i="1"/>
  <c r="C195" i="1"/>
  <c r="C194" i="1"/>
  <c r="C193" i="1"/>
  <c r="C192" i="1"/>
  <c r="C191" i="1"/>
  <c r="C190" i="1"/>
  <c r="C189" i="1"/>
  <c r="C188" i="1"/>
  <c r="C187" i="1"/>
  <c r="C186" i="1"/>
  <c r="D186" i="1" s="1"/>
  <c r="C185" i="1"/>
  <c r="C184" i="1"/>
  <c r="C180" i="1"/>
  <c r="B91" i="10" s="1"/>
  <c r="B93" i="10" s="1"/>
  <c r="C176" i="1"/>
  <c r="C175" i="1"/>
  <c r="C171" i="1"/>
  <c r="C170" i="1"/>
  <c r="C169" i="1"/>
  <c r="C168" i="1"/>
  <c r="C164" i="1"/>
  <c r="C160" i="1"/>
  <c r="C159" i="1"/>
  <c r="C155" i="1"/>
  <c r="C151" i="1"/>
  <c r="C150" i="1"/>
  <c r="C149" i="1"/>
  <c r="C148" i="1"/>
  <c r="C147" i="1"/>
  <c r="C146" i="1"/>
  <c r="C145" i="1"/>
  <c r="C141" i="1"/>
  <c r="B47" i="10" s="1"/>
  <c r="C137" i="1"/>
  <c r="C136" i="1"/>
  <c r="C135" i="1"/>
  <c r="C134" i="1"/>
  <c r="C133" i="1"/>
  <c r="C132" i="1"/>
  <c r="C128" i="1"/>
  <c r="C127" i="1"/>
  <c r="C126" i="1"/>
  <c r="C125" i="1"/>
  <c r="B96" i="10" s="1"/>
  <c r="B97" i="10" s="1"/>
  <c r="S43" i="10" s="1"/>
  <c r="C121" i="1"/>
  <c r="C116" i="1"/>
  <c r="C117" i="1"/>
  <c r="C112" i="1"/>
  <c r="B62" i="10" s="1"/>
  <c r="C109" i="1"/>
  <c r="C105" i="1"/>
  <c r="C100" i="1"/>
  <c r="C99" i="1"/>
  <c r="C95" i="1"/>
  <c r="C94" i="1"/>
  <c r="C93" i="1"/>
  <c r="C92" i="1"/>
  <c r="C88" i="1"/>
  <c r="C87" i="1"/>
  <c r="B41" i="11" s="1"/>
  <c r="B43" i="11" s="1"/>
  <c r="G87" i="1" s="1"/>
  <c r="G89" i="1" s="1"/>
  <c r="C83" i="1"/>
  <c r="C79" i="1"/>
  <c r="C78" i="1"/>
  <c r="C77" i="1"/>
  <c r="C76" i="1"/>
  <c r="C75" i="1"/>
  <c r="C74" i="1"/>
  <c r="C70" i="1"/>
  <c r="C69" i="1"/>
  <c r="C68" i="1"/>
  <c r="C64" i="1"/>
  <c r="C63" i="1"/>
  <c r="C59" i="1"/>
  <c r="C55" i="1"/>
  <c r="C51" i="1"/>
  <c r="C47" i="1"/>
  <c r="C46" i="1"/>
  <c r="C45" i="1"/>
  <c r="C41" i="1"/>
  <c r="C40" i="1"/>
  <c r="C39" i="1"/>
  <c r="C38" i="1"/>
  <c r="C37" i="1"/>
  <c r="C36" i="1"/>
  <c r="C32" i="1"/>
  <c r="C31" i="1"/>
  <c r="C30" i="1"/>
  <c r="C29" i="1"/>
  <c r="C28" i="1"/>
  <c r="C27" i="1"/>
  <c r="C23" i="1"/>
  <c r="C24" i="1" s="1"/>
  <c r="C33" i="1" l="1"/>
  <c r="E13" i="10"/>
  <c r="F13" i="10" s="1"/>
  <c r="M13" i="10" s="1"/>
  <c r="V13" i="10" s="1"/>
  <c r="C16" i="1"/>
  <c r="D125" i="1"/>
  <c r="V43" i="10"/>
  <c r="S70" i="10"/>
  <c r="AH49" i="12"/>
  <c r="B52" i="10"/>
  <c r="D101" i="1"/>
  <c r="H101" i="1" s="1"/>
  <c r="J101" i="1" s="1"/>
  <c r="R52" i="10"/>
  <c r="V55" i="10"/>
  <c r="D203" i="1"/>
  <c r="V59" i="10"/>
  <c r="D207" i="1"/>
  <c r="V56" i="10"/>
  <c r="D204" i="1"/>
  <c r="V57" i="10"/>
  <c r="D205" i="1"/>
  <c r="E12" i="10"/>
  <c r="F12" i="10" s="1"/>
  <c r="M12" i="10" s="1"/>
  <c r="D13" i="1" s="1"/>
  <c r="D100" i="1" s="1"/>
  <c r="E68" i="10"/>
  <c r="Q54" i="10" s="1"/>
  <c r="C75" i="10"/>
  <c r="E75" i="10" s="1"/>
  <c r="V58" i="10"/>
  <c r="D206" i="1"/>
  <c r="V10" i="10"/>
  <c r="M14" i="10"/>
  <c r="V14" i="10" s="1"/>
  <c r="V11" i="10"/>
  <c r="D12" i="1"/>
  <c r="F9" i="10"/>
  <c r="C56" i="1"/>
  <c r="D14" i="1" l="1"/>
  <c r="D99" i="1"/>
  <c r="E101" i="1"/>
  <c r="AH50" i="12"/>
  <c r="AJ49" i="12"/>
  <c r="F15" i="10"/>
  <c r="C18" i="10" s="1"/>
  <c r="E15" i="10"/>
  <c r="D180" i="1"/>
  <c r="R70" i="10"/>
  <c r="V12" i="10"/>
  <c r="V52" i="10"/>
  <c r="V54" i="10"/>
  <c r="D202" i="1"/>
  <c r="Q70" i="10"/>
  <c r="M9" i="10"/>
  <c r="D10" i="1" s="1"/>
  <c r="D16" i="1" l="1"/>
  <c r="AJ50" i="12"/>
  <c r="B53" i="10"/>
  <c r="G15" i="10"/>
  <c r="M15" i="10"/>
  <c r="M70" i="10" s="1"/>
  <c r="V9" i="10"/>
  <c r="V15" i="10" s="1"/>
  <c r="Z56" i="7"/>
  <c r="Z55" i="7"/>
  <c r="Z54" i="7"/>
  <c r="Z53" i="7"/>
  <c r="Z50" i="7"/>
  <c r="Z49" i="7"/>
  <c r="Z48" i="7"/>
  <c r="Z47" i="7"/>
  <c r="Z44" i="7"/>
  <c r="Z43" i="7"/>
  <c r="Z42" i="7"/>
  <c r="Z41" i="7"/>
  <c r="Z38" i="7"/>
  <c r="Z37" i="7"/>
  <c r="Z36" i="7"/>
  <c r="Z35" i="7"/>
  <c r="Z32" i="7"/>
  <c r="Z31" i="7"/>
  <c r="Z30" i="7"/>
  <c r="Z29" i="7"/>
  <c r="Z26" i="7"/>
  <c r="Z25" i="7"/>
  <c r="Z24" i="7"/>
  <c r="Z23" i="7"/>
  <c r="Z20" i="7"/>
  <c r="Z19" i="7"/>
  <c r="Z18" i="7"/>
  <c r="Z17" i="7"/>
  <c r="Z14" i="7"/>
  <c r="Z13" i="7"/>
  <c r="Z12" i="7"/>
  <c r="Z11" i="7"/>
  <c r="Z8" i="7"/>
  <c r="Z7" i="7"/>
  <c r="Z6" i="7"/>
  <c r="Z5" i="7"/>
  <c r="Z56" i="6"/>
  <c r="Z55" i="6"/>
  <c r="Z54" i="6"/>
  <c r="Z53" i="6"/>
  <c r="Z50" i="6"/>
  <c r="Z49" i="6"/>
  <c r="Z48" i="6"/>
  <c r="Z47" i="6"/>
  <c r="Z44" i="6"/>
  <c r="Z43" i="6"/>
  <c r="Z42" i="6"/>
  <c r="Z41" i="6"/>
  <c r="Z38" i="6"/>
  <c r="Z37" i="6"/>
  <c r="Z36" i="6"/>
  <c r="Z35" i="6"/>
  <c r="Z32" i="6"/>
  <c r="Z31" i="6"/>
  <c r="Z30" i="6"/>
  <c r="Z29" i="6"/>
  <c r="Z26" i="6"/>
  <c r="Z25" i="6"/>
  <c r="Z24" i="6"/>
  <c r="Z23" i="6"/>
  <c r="Z20" i="6"/>
  <c r="Z19" i="6"/>
  <c r="Z18" i="6"/>
  <c r="Z17" i="6"/>
  <c r="Z14" i="6"/>
  <c r="Z13" i="6"/>
  <c r="Z12" i="6"/>
  <c r="Z11" i="6"/>
  <c r="Z8" i="6"/>
  <c r="Z7" i="6"/>
  <c r="Z6" i="6"/>
  <c r="Z5" i="6"/>
  <c r="AA56" i="5"/>
  <c r="AA55" i="5"/>
  <c r="AA54" i="5"/>
  <c r="AA53" i="5"/>
  <c r="AA50" i="5"/>
  <c r="AA49" i="5"/>
  <c r="AA48" i="5"/>
  <c r="AA47" i="5"/>
  <c r="AA44" i="5"/>
  <c r="AA43" i="5"/>
  <c r="AA42" i="5"/>
  <c r="AA41" i="5"/>
  <c r="AA38" i="5"/>
  <c r="AA37" i="5"/>
  <c r="AA36" i="5"/>
  <c r="AA35" i="5"/>
  <c r="AA32" i="5"/>
  <c r="AA31" i="5"/>
  <c r="AA30" i="5"/>
  <c r="AA29" i="5"/>
  <c r="AA26" i="5"/>
  <c r="AA25" i="5"/>
  <c r="AA24" i="5"/>
  <c r="AA23" i="5"/>
  <c r="AA20" i="5"/>
  <c r="AA19" i="5"/>
  <c r="AA18" i="5"/>
  <c r="AA17" i="5"/>
  <c r="AA14" i="5"/>
  <c r="AA13" i="5"/>
  <c r="AA12" i="5"/>
  <c r="AA11" i="5"/>
  <c r="AA8" i="5"/>
  <c r="AA7" i="5"/>
  <c r="AA6" i="5"/>
  <c r="AA5" i="5"/>
  <c r="E20" i="3"/>
  <c r="B54" i="10" l="1"/>
  <c r="E19" i="7"/>
  <c r="E19" i="6"/>
  <c r="V23" i="10"/>
  <c r="B31" i="11"/>
  <c r="O53" i="10" l="1"/>
  <c r="V53" i="10" s="1"/>
  <c r="D187" i="1"/>
  <c r="B30" i="11"/>
  <c r="D32" i="11" s="1"/>
  <c r="D34" i="11" s="1"/>
  <c r="E23" i="3"/>
  <c r="D24" i="3" s="1"/>
  <c r="K248" i="1" l="1"/>
  <c r="E36" i="11"/>
  <c r="C24" i="3"/>
  <c r="G149" i="1" l="1"/>
  <c r="J248" i="1"/>
  <c r="M248" i="1" l="1"/>
  <c r="E9" i="6"/>
  <c r="E9" i="7"/>
  <c r="J240" i="1"/>
  <c r="G240" i="1"/>
  <c r="D240" i="1"/>
  <c r="C240" i="1"/>
  <c r="G236" i="1"/>
  <c r="D236" i="1"/>
  <c r="H235" i="1"/>
  <c r="H229" i="1"/>
  <c r="E228" i="1"/>
  <c r="G225" i="1"/>
  <c r="D225" i="1"/>
  <c r="H224" i="1"/>
  <c r="G221" i="1"/>
  <c r="D221" i="1"/>
  <c r="H219" i="1"/>
  <c r="C221" i="1"/>
  <c r="G216" i="1"/>
  <c r="D216" i="1"/>
  <c r="E215" i="1"/>
  <c r="E216" i="1" s="1"/>
  <c r="H215" i="1"/>
  <c r="G212" i="1"/>
  <c r="D212" i="1"/>
  <c r="E211" i="1"/>
  <c r="H211" i="1"/>
  <c r="G208" i="1"/>
  <c r="H207" i="1"/>
  <c r="H206" i="1"/>
  <c r="E205" i="1"/>
  <c r="E204" i="1"/>
  <c r="E203" i="1"/>
  <c r="H203" i="1"/>
  <c r="H202" i="1"/>
  <c r="G199" i="1"/>
  <c r="E198" i="1"/>
  <c r="E196" i="1"/>
  <c r="H195" i="1"/>
  <c r="E195" i="1"/>
  <c r="H194" i="1"/>
  <c r="E194" i="1"/>
  <c r="H193" i="1"/>
  <c r="E193" i="1"/>
  <c r="E192" i="1"/>
  <c r="E191" i="1"/>
  <c r="E190" i="1"/>
  <c r="E189" i="1"/>
  <c r="H188" i="1"/>
  <c r="E188" i="1"/>
  <c r="H187" i="1"/>
  <c r="G181" i="1"/>
  <c r="D181" i="1"/>
  <c r="G177" i="1"/>
  <c r="F177" i="1"/>
  <c r="D177" i="1"/>
  <c r="H176" i="1"/>
  <c r="E176" i="1"/>
  <c r="H175" i="1"/>
  <c r="E175" i="1"/>
  <c r="C177" i="1"/>
  <c r="G172" i="1"/>
  <c r="D172" i="1"/>
  <c r="H171" i="1"/>
  <c r="H170" i="1"/>
  <c r="E170" i="1"/>
  <c r="H169" i="1"/>
  <c r="C172" i="1"/>
  <c r="G165" i="1"/>
  <c r="D165" i="1"/>
  <c r="E164" i="1"/>
  <c r="H164" i="1"/>
  <c r="G161" i="1"/>
  <c r="D161" i="1"/>
  <c r="H160" i="1"/>
  <c r="E160" i="1"/>
  <c r="E159" i="1"/>
  <c r="G156" i="1"/>
  <c r="D156" i="1"/>
  <c r="H155" i="1"/>
  <c r="D152" i="1"/>
  <c r="H150" i="1"/>
  <c r="G152" i="1"/>
  <c r="E148" i="1"/>
  <c r="H147" i="1"/>
  <c r="E147" i="1"/>
  <c r="H146" i="1"/>
  <c r="H145" i="1"/>
  <c r="E145" i="1"/>
  <c r="C152" i="1"/>
  <c r="G142" i="1"/>
  <c r="C142" i="1"/>
  <c r="H137" i="1"/>
  <c r="E137" i="1"/>
  <c r="H136" i="1"/>
  <c r="E136" i="1"/>
  <c r="H134" i="1"/>
  <c r="E134" i="1"/>
  <c r="E133" i="1"/>
  <c r="H133" i="1"/>
  <c r="K133" i="1" s="1"/>
  <c r="G138" i="1"/>
  <c r="D138" i="1"/>
  <c r="G129" i="1"/>
  <c r="H128" i="1"/>
  <c r="E128" i="1"/>
  <c r="H127" i="1"/>
  <c r="E127" i="1"/>
  <c r="D129" i="1"/>
  <c r="C129" i="1"/>
  <c r="H125" i="1"/>
  <c r="E125" i="1"/>
  <c r="G122" i="1"/>
  <c r="D122" i="1"/>
  <c r="H121" i="1"/>
  <c r="E121" i="1"/>
  <c r="C122" i="1"/>
  <c r="G118" i="1"/>
  <c r="D118" i="1"/>
  <c r="H117" i="1"/>
  <c r="J117" i="1" s="1"/>
  <c r="K117" i="1" s="1"/>
  <c r="E117" i="1"/>
  <c r="E116" i="1"/>
  <c r="C118" i="1"/>
  <c r="G113" i="1"/>
  <c r="C113" i="1"/>
  <c r="E109" i="1"/>
  <c r="K106" i="1"/>
  <c r="J106" i="1"/>
  <c r="G106" i="1"/>
  <c r="D106" i="1"/>
  <c r="H105" i="1"/>
  <c r="H106" i="1" s="1"/>
  <c r="E105" i="1"/>
  <c r="L102" i="1"/>
  <c r="G102" i="1"/>
  <c r="H100" i="1"/>
  <c r="E99" i="1"/>
  <c r="G96" i="1"/>
  <c r="D96" i="1"/>
  <c r="E94" i="1"/>
  <c r="H94" i="1"/>
  <c r="E93" i="1"/>
  <c r="H92" i="1"/>
  <c r="E92" i="1"/>
  <c r="D89" i="1"/>
  <c r="E88" i="1"/>
  <c r="E87" i="1"/>
  <c r="G84" i="1"/>
  <c r="D84" i="1"/>
  <c r="C84" i="1"/>
  <c r="H79" i="1"/>
  <c r="H78" i="1"/>
  <c r="H77" i="1"/>
  <c r="E77" i="1"/>
  <c r="H76" i="1"/>
  <c r="E76" i="1"/>
  <c r="H75" i="1"/>
  <c r="G80" i="1"/>
  <c r="C80" i="1"/>
  <c r="H70" i="1"/>
  <c r="E70" i="1"/>
  <c r="H69" i="1"/>
  <c r="G71" i="1"/>
  <c r="D71" i="1"/>
  <c r="G65" i="1"/>
  <c r="D65" i="1"/>
  <c r="H64" i="1"/>
  <c r="H63" i="1"/>
  <c r="E63" i="1"/>
  <c r="C65" i="1"/>
  <c r="G60" i="1"/>
  <c r="D60" i="1"/>
  <c r="C60" i="1"/>
  <c r="H59" i="1"/>
  <c r="E59" i="1"/>
  <c r="G56" i="1"/>
  <c r="D56" i="1"/>
  <c r="H55" i="1"/>
  <c r="E55" i="1"/>
  <c r="G52" i="1"/>
  <c r="D52" i="1"/>
  <c r="H51" i="1"/>
  <c r="G48" i="1"/>
  <c r="H47" i="1"/>
  <c r="E47" i="1"/>
  <c r="H46" i="1"/>
  <c r="E46" i="1"/>
  <c r="G42" i="1"/>
  <c r="D42" i="1"/>
  <c r="H40" i="1"/>
  <c r="J40" i="1" s="1"/>
  <c r="K40" i="1" s="1"/>
  <c r="H39" i="1"/>
  <c r="J39" i="1" s="1"/>
  <c r="K39" i="1" s="1"/>
  <c r="E39" i="1"/>
  <c r="H38" i="1"/>
  <c r="J38" i="1" s="1"/>
  <c r="K38" i="1" s="1"/>
  <c r="E38" i="1"/>
  <c r="E37" i="1"/>
  <c r="E32" i="1"/>
  <c r="H31" i="1"/>
  <c r="H30" i="1"/>
  <c r="E30" i="1"/>
  <c r="E29" i="1"/>
  <c r="G33" i="1"/>
  <c r="D24" i="1"/>
  <c r="G24" i="1"/>
  <c r="H22" i="1"/>
  <c r="E22" i="1"/>
  <c r="G16" i="1"/>
  <c r="D48" i="1"/>
  <c r="E11" i="1"/>
  <c r="K211" i="1" l="1"/>
  <c r="J211" i="1"/>
  <c r="J212" i="1" s="1"/>
  <c r="J219" i="1"/>
  <c r="K219" i="1"/>
  <c r="J235" i="1"/>
  <c r="K235" i="1"/>
  <c r="K229" i="1"/>
  <c r="J229" i="1"/>
  <c r="K195" i="1"/>
  <c r="J195" i="1"/>
  <c r="K203" i="1"/>
  <c r="J203" i="1"/>
  <c r="K206" i="1"/>
  <c r="J206" i="1"/>
  <c r="K193" i="1"/>
  <c r="J193" i="1"/>
  <c r="K188" i="1"/>
  <c r="J188" i="1"/>
  <c r="K194" i="1"/>
  <c r="J194" i="1"/>
  <c r="K187" i="1"/>
  <c r="J187" i="1"/>
  <c r="K202" i="1"/>
  <c r="J202" i="1"/>
  <c r="K22" i="1"/>
  <c r="J22" i="1"/>
  <c r="K47" i="1"/>
  <c r="J47" i="1"/>
  <c r="K63" i="1"/>
  <c r="J63" i="1"/>
  <c r="K70" i="1"/>
  <c r="J70" i="1"/>
  <c r="K78" i="1"/>
  <c r="J78" i="1"/>
  <c r="J136" i="1"/>
  <c r="K136" i="1"/>
  <c r="J146" i="1"/>
  <c r="K146" i="1"/>
  <c r="J169" i="1"/>
  <c r="K169" i="1"/>
  <c r="J175" i="1"/>
  <c r="K175" i="1"/>
  <c r="K31" i="1"/>
  <c r="J31" i="1"/>
  <c r="K64" i="1"/>
  <c r="J64" i="1"/>
  <c r="K76" i="1"/>
  <c r="J76" i="1"/>
  <c r="K79" i="1"/>
  <c r="J79" i="1"/>
  <c r="J92" i="1"/>
  <c r="K92" i="1"/>
  <c r="K121" i="1"/>
  <c r="J121" i="1"/>
  <c r="K125" i="1"/>
  <c r="J125" i="1"/>
  <c r="K127" i="1"/>
  <c r="J127" i="1"/>
  <c r="K150" i="1"/>
  <c r="J150" i="1"/>
  <c r="K30" i="1"/>
  <c r="J30" i="1"/>
  <c r="K46" i="1"/>
  <c r="J46" i="1"/>
  <c r="K51" i="1"/>
  <c r="K52" i="1" s="1"/>
  <c r="J51" i="1"/>
  <c r="K55" i="1"/>
  <c r="J55" i="1"/>
  <c r="K59" i="1"/>
  <c r="K60" i="1" s="1"/>
  <c r="J59" i="1"/>
  <c r="K69" i="1"/>
  <c r="J69" i="1"/>
  <c r="J134" i="1"/>
  <c r="K134" i="1"/>
  <c r="K137" i="1"/>
  <c r="J137" i="1"/>
  <c r="K147" i="1"/>
  <c r="J147" i="1"/>
  <c r="K170" i="1"/>
  <c r="J170" i="1"/>
  <c r="J176" i="1"/>
  <c r="K176" i="1"/>
  <c r="J75" i="1"/>
  <c r="K75" i="1"/>
  <c r="J77" i="1"/>
  <c r="K77" i="1"/>
  <c r="K94" i="1"/>
  <c r="J94" i="1"/>
  <c r="K128" i="1"/>
  <c r="J128" i="1"/>
  <c r="J145" i="1"/>
  <c r="K145" i="1"/>
  <c r="J164" i="1"/>
  <c r="K164" i="1"/>
  <c r="K165" i="1" s="1"/>
  <c r="K171" i="1"/>
  <c r="J171" i="1"/>
  <c r="J133" i="1"/>
  <c r="J155" i="1"/>
  <c r="K155" i="1" s="1"/>
  <c r="K156" i="1" s="1"/>
  <c r="J224" i="1"/>
  <c r="K224" i="1" s="1"/>
  <c r="K225" i="1" s="1"/>
  <c r="J160" i="1"/>
  <c r="K160" i="1" s="1"/>
  <c r="E106" i="1"/>
  <c r="E165" i="1"/>
  <c r="E60" i="1"/>
  <c r="E187" i="1"/>
  <c r="H231" i="1"/>
  <c r="H212" i="1"/>
  <c r="E212" i="1"/>
  <c r="D80" i="1"/>
  <c r="E206" i="1"/>
  <c r="E132" i="1"/>
  <c r="E161" i="1"/>
  <c r="H230" i="1"/>
  <c r="E13" i="1"/>
  <c r="D102" i="1"/>
  <c r="H132" i="1"/>
  <c r="D208" i="1"/>
  <c r="D232" i="1"/>
  <c r="E10" i="1"/>
  <c r="E12" i="1"/>
  <c r="H14" i="1"/>
  <c r="M14" i="1" s="1"/>
  <c r="E15" i="1"/>
  <c r="E202" i="1"/>
  <c r="H10" i="1"/>
  <c r="H12" i="1"/>
  <c r="H15" i="1"/>
  <c r="K15" i="1" s="1"/>
  <c r="M207" i="1"/>
  <c r="G232" i="1"/>
  <c r="E118" i="1"/>
  <c r="C17" i="1"/>
  <c r="E14" i="1"/>
  <c r="H27" i="1"/>
  <c r="C42" i="1"/>
  <c r="H36" i="1"/>
  <c r="J36" i="1" s="1"/>
  <c r="K36" i="1" s="1"/>
  <c r="H11" i="1"/>
  <c r="M11" i="1" s="1"/>
  <c r="H13" i="1"/>
  <c r="M13" i="1" s="1"/>
  <c r="H23" i="1"/>
  <c r="E28" i="1"/>
  <c r="H29" i="1"/>
  <c r="H32" i="1"/>
  <c r="E36" i="1"/>
  <c r="E40" i="1"/>
  <c r="H52" i="1"/>
  <c r="E23" i="1"/>
  <c r="E24" i="1" s="1"/>
  <c r="E27" i="1"/>
  <c r="H28" i="1"/>
  <c r="E31" i="1"/>
  <c r="H37" i="1"/>
  <c r="J37" i="1" s="1"/>
  <c r="K37" i="1" s="1"/>
  <c r="H41" i="1"/>
  <c r="J41" i="1" s="1"/>
  <c r="K41" i="1" s="1"/>
  <c r="E41" i="1"/>
  <c r="H45" i="1"/>
  <c r="H60" i="1"/>
  <c r="H68" i="1"/>
  <c r="C71" i="1"/>
  <c r="E51" i="1"/>
  <c r="C52" i="1"/>
  <c r="H56" i="1"/>
  <c r="E78" i="1"/>
  <c r="E83" i="1"/>
  <c r="C96" i="1"/>
  <c r="E45" i="1"/>
  <c r="C48" i="1"/>
  <c r="E64" i="1"/>
  <c r="H65" i="1"/>
  <c r="E68" i="1"/>
  <c r="E75" i="1"/>
  <c r="E79" i="1"/>
  <c r="H83" i="1"/>
  <c r="C89" i="1"/>
  <c r="H95" i="1"/>
  <c r="E95" i="1"/>
  <c r="E89" i="1"/>
  <c r="H88" i="1"/>
  <c r="C102" i="1"/>
  <c r="H93" i="1"/>
  <c r="H99" i="1"/>
  <c r="C106" i="1"/>
  <c r="E135" i="1"/>
  <c r="C138" i="1"/>
  <c r="E126" i="1"/>
  <c r="H135" i="1"/>
  <c r="E100" i="1"/>
  <c r="H116" i="1"/>
  <c r="J116" i="1" s="1"/>
  <c r="K116" i="1" s="1"/>
  <c r="H126" i="1"/>
  <c r="E146" i="1"/>
  <c r="H148" i="1"/>
  <c r="E149" i="1"/>
  <c r="E150" i="1"/>
  <c r="C156" i="1"/>
  <c r="E155" i="1"/>
  <c r="C161" i="1"/>
  <c r="H159" i="1"/>
  <c r="C165" i="1"/>
  <c r="H165" i="1"/>
  <c r="E168" i="1"/>
  <c r="E171" i="1"/>
  <c r="E185" i="1"/>
  <c r="H185" i="1"/>
  <c r="H151" i="1"/>
  <c r="H156" i="1"/>
  <c r="H168" i="1"/>
  <c r="E177" i="1"/>
  <c r="H180" i="1"/>
  <c r="C181" i="1"/>
  <c r="E180" i="1"/>
  <c r="C199" i="1"/>
  <c r="H149" i="1"/>
  <c r="E151" i="1"/>
  <c r="E169" i="1"/>
  <c r="D199" i="1"/>
  <c r="E184" i="1"/>
  <c r="E186" i="1"/>
  <c r="H189" i="1"/>
  <c r="H191" i="1"/>
  <c r="E197" i="1"/>
  <c r="H197" i="1"/>
  <c r="H184" i="1"/>
  <c r="H186" i="1"/>
  <c r="H190" i="1"/>
  <c r="H192" i="1"/>
  <c r="H196" i="1"/>
  <c r="E207" i="1"/>
  <c r="H198" i="1"/>
  <c r="H205" i="1"/>
  <c r="C212" i="1"/>
  <c r="C216" i="1"/>
  <c r="H216" i="1"/>
  <c r="E219" i="1"/>
  <c r="E224" i="1"/>
  <c r="H236" i="1"/>
  <c r="K236" i="1"/>
  <c r="H220" i="1"/>
  <c r="E220" i="1"/>
  <c r="C225" i="1"/>
  <c r="E230" i="1"/>
  <c r="E231" i="1"/>
  <c r="J236" i="1"/>
  <c r="C208" i="1"/>
  <c r="H204" i="1"/>
  <c r="M204" i="1" s="1"/>
  <c r="C232" i="1"/>
  <c r="E229" i="1"/>
  <c r="E239" i="1"/>
  <c r="E240" i="1" s="1"/>
  <c r="H228" i="1"/>
  <c r="E235" i="1"/>
  <c r="C236" i="1"/>
  <c r="H239" i="1"/>
  <c r="M211" i="1" l="1"/>
  <c r="M169" i="1"/>
  <c r="M203" i="1"/>
  <c r="K220" i="1"/>
  <c r="K221" i="1" s="1"/>
  <c r="J220" i="1"/>
  <c r="M206" i="1"/>
  <c r="K230" i="1"/>
  <c r="J230" i="1"/>
  <c r="K228" i="1"/>
  <c r="J228" i="1"/>
  <c r="K205" i="1"/>
  <c r="K208" i="1" s="1"/>
  <c r="J205" i="1"/>
  <c r="J208" i="1" s="1"/>
  <c r="K184" i="1"/>
  <c r="J184" i="1"/>
  <c r="K189" i="1"/>
  <c r="J189" i="1"/>
  <c r="K198" i="1"/>
  <c r="J198" i="1"/>
  <c r="K192" i="1"/>
  <c r="J192" i="1"/>
  <c r="K197" i="1"/>
  <c r="J197" i="1"/>
  <c r="K190" i="1"/>
  <c r="J190" i="1"/>
  <c r="K191" i="1"/>
  <c r="J191" i="1"/>
  <c r="K185" i="1"/>
  <c r="J185" i="1"/>
  <c r="K95" i="1"/>
  <c r="J95" i="1"/>
  <c r="K28" i="1"/>
  <c r="J28" i="1"/>
  <c r="K29" i="1"/>
  <c r="J29" i="1"/>
  <c r="K88" i="1"/>
  <c r="J88" i="1"/>
  <c r="J68" i="1"/>
  <c r="K68" i="1"/>
  <c r="K71" i="1" s="1"/>
  <c r="E33" i="1"/>
  <c r="K132" i="1"/>
  <c r="J132" i="1"/>
  <c r="K168" i="1"/>
  <c r="J168" i="1"/>
  <c r="K135" i="1"/>
  <c r="J135" i="1"/>
  <c r="K126" i="1"/>
  <c r="K129" i="1" s="1"/>
  <c r="J126" i="1"/>
  <c r="K83" i="1"/>
  <c r="K84" i="1" s="1"/>
  <c r="J83" i="1"/>
  <c r="K23" i="1"/>
  <c r="K24" i="1" s="1"/>
  <c r="J23" i="1"/>
  <c r="J149" i="1"/>
  <c r="K149" i="1"/>
  <c r="J151" i="1"/>
  <c r="K151" i="1"/>
  <c r="K93" i="1"/>
  <c r="J93" i="1"/>
  <c r="K45" i="1"/>
  <c r="K48" i="1" s="1"/>
  <c r="J45" i="1"/>
  <c r="K32" i="1"/>
  <c r="J32" i="1"/>
  <c r="J27" i="1"/>
  <c r="K27" i="1"/>
  <c r="E16" i="1"/>
  <c r="B43" i="10" s="1"/>
  <c r="B45" i="10" s="1"/>
  <c r="H16" i="1"/>
  <c r="E7" i="5" s="1"/>
  <c r="M12" i="1"/>
  <c r="M10" i="1"/>
  <c r="E80" i="10"/>
  <c r="H21" i="5" s="1"/>
  <c r="K212" i="1"/>
  <c r="M94" i="1"/>
  <c r="J15" i="1"/>
  <c r="E138" i="1"/>
  <c r="M137" i="1"/>
  <c r="M176" i="1"/>
  <c r="M155" i="1"/>
  <c r="M136" i="1"/>
  <c r="J148" i="1"/>
  <c r="K148" i="1" s="1"/>
  <c r="J225" i="1"/>
  <c r="J231" i="1"/>
  <c r="K231" i="1" s="1"/>
  <c r="J196" i="1"/>
  <c r="K196" i="1" s="1"/>
  <c r="M202" i="1"/>
  <c r="H221" i="1"/>
  <c r="H138" i="1"/>
  <c r="H177" i="1"/>
  <c r="K177" i="1"/>
  <c r="J159" i="1"/>
  <c r="K159" i="1" s="1"/>
  <c r="K161" i="1" s="1"/>
  <c r="E156" i="1"/>
  <c r="E122" i="1"/>
  <c r="E84" i="1"/>
  <c r="E181" i="1"/>
  <c r="M170" i="1"/>
  <c r="E52" i="1"/>
  <c r="M38" i="1"/>
  <c r="E208" i="1"/>
  <c r="E236" i="1"/>
  <c r="E129" i="1"/>
  <c r="E56" i="1"/>
  <c r="E71" i="1"/>
  <c r="M188" i="1"/>
  <c r="M194" i="1"/>
  <c r="J156" i="1"/>
  <c r="E74" i="1"/>
  <c r="E80" i="1" s="1"/>
  <c r="H74" i="1"/>
  <c r="E232" i="1"/>
  <c r="M40" i="1"/>
  <c r="M100" i="1"/>
  <c r="M187" i="1"/>
  <c r="M31" i="1"/>
  <c r="M150" i="1"/>
  <c r="M133" i="1"/>
  <c r="M64" i="1"/>
  <c r="H225" i="1"/>
  <c r="M160" i="1"/>
  <c r="E96" i="1"/>
  <c r="M224" i="1"/>
  <c r="E221" i="1"/>
  <c r="M175" i="1"/>
  <c r="E172" i="1"/>
  <c r="M171" i="1"/>
  <c r="E152" i="1"/>
  <c r="H152" i="1"/>
  <c r="M125" i="1"/>
  <c r="M128" i="1"/>
  <c r="E102" i="1"/>
  <c r="M92" i="1"/>
  <c r="M78" i="1"/>
  <c r="E65" i="1"/>
  <c r="K56" i="1"/>
  <c r="E42" i="1"/>
  <c r="M22" i="1"/>
  <c r="H161" i="1"/>
  <c r="M147" i="1"/>
  <c r="M146" i="1"/>
  <c r="H84" i="1"/>
  <c r="J60" i="1"/>
  <c r="M59" i="1"/>
  <c r="M47" i="1"/>
  <c r="M134" i="1"/>
  <c r="J65" i="1"/>
  <c r="H122" i="1"/>
  <c r="M51" i="1"/>
  <c r="M30" i="1"/>
  <c r="M69" i="1"/>
  <c r="C242" i="1"/>
  <c r="M235" i="1"/>
  <c r="M193" i="1"/>
  <c r="H199" i="1"/>
  <c r="H172" i="1"/>
  <c r="M145" i="1"/>
  <c r="M121" i="1"/>
  <c r="H102" i="1"/>
  <c r="M117" i="1"/>
  <c r="J56" i="1"/>
  <c r="M55" i="1"/>
  <c r="M127" i="1"/>
  <c r="M79" i="1"/>
  <c r="M76" i="1"/>
  <c r="M39" i="1"/>
  <c r="H232" i="1"/>
  <c r="K239" i="1"/>
  <c r="K240" i="1" s="1"/>
  <c r="H240" i="1"/>
  <c r="M229" i="1"/>
  <c r="H208" i="1"/>
  <c r="E225" i="1"/>
  <c r="M219" i="1"/>
  <c r="K186" i="1"/>
  <c r="M195" i="1"/>
  <c r="E199" i="1"/>
  <c r="H181" i="1"/>
  <c r="J165" i="1"/>
  <c r="H129" i="1"/>
  <c r="H96" i="1"/>
  <c r="M77" i="1"/>
  <c r="E48" i="1"/>
  <c r="H71" i="1"/>
  <c r="M63" i="1"/>
  <c r="J52" i="1"/>
  <c r="H24" i="1"/>
  <c r="M75" i="1"/>
  <c r="H118" i="1"/>
  <c r="K118" i="1"/>
  <c r="M164" i="1"/>
  <c r="M70" i="1"/>
  <c r="K65" i="1"/>
  <c r="H48" i="1"/>
  <c r="M46" i="1"/>
  <c r="H42" i="1"/>
  <c r="H33" i="1"/>
  <c r="K74" i="1" l="1"/>
  <c r="J74" i="1"/>
  <c r="C244" i="1"/>
  <c r="C246" i="1"/>
  <c r="C251" i="1" s="1"/>
  <c r="J16" i="1"/>
  <c r="E7" i="6" s="1"/>
  <c r="H23" i="5"/>
  <c r="H21" i="7"/>
  <c r="H23" i="7" s="1"/>
  <c r="H21" i="6"/>
  <c r="H23" i="6" s="1"/>
  <c r="M230" i="1"/>
  <c r="M15" i="1"/>
  <c r="K138" i="1"/>
  <c r="M231" i="1"/>
  <c r="M132" i="1"/>
  <c r="B48" i="10"/>
  <c r="O44" i="10" s="1"/>
  <c r="R242" i="1"/>
  <c r="B58" i="10"/>
  <c r="B60" i="10" s="1"/>
  <c r="B63" i="10" s="1"/>
  <c r="P40" i="10" s="1"/>
  <c r="P70" i="10" s="1"/>
  <c r="M205" i="1"/>
  <c r="J96" i="1"/>
  <c r="H80" i="1"/>
  <c r="K80" i="1"/>
  <c r="K122" i="1"/>
  <c r="J221" i="1"/>
  <c r="M192" i="1"/>
  <c r="M189" i="1"/>
  <c r="M27" i="1"/>
  <c r="M41" i="1"/>
  <c r="M95" i="1"/>
  <c r="M88" i="1"/>
  <c r="M37" i="1"/>
  <c r="M190" i="1"/>
  <c r="M148" i="1"/>
  <c r="M36" i="1"/>
  <c r="K42" i="1"/>
  <c r="M32" i="1"/>
  <c r="M23" i="1"/>
  <c r="J48" i="1"/>
  <c r="J172" i="1"/>
  <c r="J161" i="1"/>
  <c r="J177" i="1"/>
  <c r="M196" i="1"/>
  <c r="J71" i="1"/>
  <c r="M186" i="1"/>
  <c r="J232" i="1"/>
  <c r="M168" i="1"/>
  <c r="M198" i="1"/>
  <c r="J138" i="1"/>
  <c r="J33" i="1"/>
  <c r="M45" i="1"/>
  <c r="J24" i="1"/>
  <c r="M29" i="1"/>
  <c r="M28" i="1"/>
  <c r="M126" i="1"/>
  <c r="J152" i="1"/>
  <c r="M220" i="1"/>
  <c r="K199" i="1"/>
  <c r="M184" i="1"/>
  <c r="M83" i="1"/>
  <c r="M197" i="1"/>
  <c r="J118" i="1"/>
  <c r="K33" i="1"/>
  <c r="J42" i="1"/>
  <c r="M93" i="1"/>
  <c r="M135" i="1"/>
  <c r="M116" i="1"/>
  <c r="M68" i="1"/>
  <c r="J129" i="1"/>
  <c r="M185" i="1"/>
  <c r="M239" i="1"/>
  <c r="M228" i="1"/>
  <c r="K102" i="1"/>
  <c r="K172" i="1"/>
  <c r="J199" i="1"/>
  <c r="J84" i="1"/>
  <c r="J122" i="1"/>
  <c r="M159" i="1"/>
  <c r="M191" i="1"/>
  <c r="K16" i="1" l="1"/>
  <c r="K17" i="1" s="1"/>
  <c r="K180" i="1" s="1"/>
  <c r="K181" i="1" s="1"/>
  <c r="J17" i="1"/>
  <c r="V40" i="10"/>
  <c r="D112" i="1" s="1"/>
  <c r="D113" i="1" s="1"/>
  <c r="V44" i="10"/>
  <c r="D141" i="1"/>
  <c r="H141" i="1" s="1"/>
  <c r="O70" i="10"/>
  <c r="V70" i="10" s="1"/>
  <c r="M151" i="1"/>
  <c r="K96" i="1"/>
  <c r="M74" i="1"/>
  <c r="J80" i="1"/>
  <c r="M149" i="1"/>
  <c r="K152" i="1"/>
  <c r="K232" i="1"/>
  <c r="J215" i="1" l="1"/>
  <c r="J216" i="1" s="1"/>
  <c r="J180" i="1"/>
  <c r="E7" i="7"/>
  <c r="E112" i="1"/>
  <c r="E113" i="1" s="1"/>
  <c r="H112" i="1"/>
  <c r="E141" i="1"/>
  <c r="E142" i="1" s="1"/>
  <c r="D142" i="1"/>
  <c r="D242" i="1" s="1"/>
  <c r="D246" i="1" s="1"/>
  <c r="H142" i="1"/>
  <c r="K141" i="1"/>
  <c r="K142" i="1" s="1"/>
  <c r="J141" i="1"/>
  <c r="I10" i="7" l="1"/>
  <c r="J8" i="7"/>
  <c r="K77" i="16" s="1"/>
  <c r="K215" i="1"/>
  <c r="K216" i="1" s="1"/>
  <c r="J181" i="1"/>
  <c r="M180" i="1"/>
  <c r="K112" i="1"/>
  <c r="K113" i="1" s="1"/>
  <c r="J112" i="1"/>
  <c r="J113" i="1" s="1"/>
  <c r="E242" i="1"/>
  <c r="E246" i="1" s="1"/>
  <c r="H113" i="1"/>
  <c r="M141" i="1"/>
  <c r="J142" i="1"/>
  <c r="M215" i="1" l="1"/>
  <c r="M112" i="1"/>
  <c r="M99" i="1" l="1"/>
  <c r="J102" i="1"/>
  <c r="G242" i="1" l="1"/>
  <c r="G246" i="1" s="1"/>
  <c r="H87" i="1" l="1"/>
  <c r="K87" i="1" l="1"/>
  <c r="J87" i="1"/>
  <c r="J89" i="1" s="1"/>
  <c r="J242" i="1" s="1"/>
  <c r="H89" i="1"/>
  <c r="H242" i="1" s="1"/>
  <c r="J250" i="1" l="1"/>
  <c r="K89" i="1"/>
  <c r="K242" i="1" s="1"/>
  <c r="H244" i="1"/>
  <c r="H246" i="1"/>
  <c r="E8" i="5"/>
  <c r="M87" i="1"/>
  <c r="J244" i="1"/>
  <c r="J246" i="1"/>
  <c r="E8" i="6"/>
  <c r="K244" i="1" l="1"/>
  <c r="K250" i="1"/>
  <c r="E8" i="7"/>
  <c r="U7" i="7" s="1"/>
  <c r="V7" i="7" s="1"/>
  <c r="K246" i="1"/>
  <c r="V5" i="5"/>
  <c r="W5" i="5" s="1"/>
  <c r="V7" i="5"/>
  <c r="W7" i="5" s="1"/>
  <c r="V8" i="5"/>
  <c r="W8" i="5" s="1"/>
  <c r="V6" i="5"/>
  <c r="W6" i="5" s="1"/>
  <c r="U6" i="6"/>
  <c r="V6" i="6" s="1"/>
  <c r="U5" i="6"/>
  <c r="V5" i="6" s="1"/>
  <c r="U7" i="6"/>
  <c r="V7" i="6" s="1"/>
  <c r="U8" i="6"/>
  <c r="V8" i="6" s="1"/>
  <c r="U5" i="7" l="1"/>
  <c r="V5" i="7" s="1"/>
  <c r="W5" i="7" s="1"/>
  <c r="X5" i="7" s="1"/>
  <c r="Y5" i="7" s="1"/>
  <c r="AA5" i="7" s="1"/>
  <c r="AB5" i="7" s="1"/>
  <c r="AC5" i="7" s="1"/>
  <c r="U8" i="7"/>
  <c r="V8" i="7" s="1"/>
  <c r="W8" i="7" s="1"/>
  <c r="X8" i="7" s="1"/>
  <c r="Y8" i="7" s="1"/>
  <c r="AA8" i="7" s="1"/>
  <c r="AB8" i="7" s="1"/>
  <c r="AC8" i="7" s="1"/>
  <c r="U6" i="7"/>
  <c r="V6" i="7" s="1"/>
  <c r="AJ30" i="7" s="1"/>
  <c r="X6" i="5"/>
  <c r="Y6" i="5" s="1"/>
  <c r="Z6" i="5" s="1"/>
  <c r="AB6" i="5" s="1"/>
  <c r="AC6" i="5" s="1"/>
  <c r="AD6" i="5" s="1"/>
  <c r="AK30" i="5"/>
  <c r="AJ31" i="6"/>
  <c r="W7" i="6"/>
  <c r="X7" i="6" s="1"/>
  <c r="Y7" i="6" s="1"/>
  <c r="AA7" i="6" s="1"/>
  <c r="AB7" i="6" s="1"/>
  <c r="AC7" i="6" s="1"/>
  <c r="X7" i="5"/>
  <c r="Y7" i="5" s="1"/>
  <c r="Z7" i="5" s="1"/>
  <c r="AB7" i="5" s="1"/>
  <c r="AC7" i="5" s="1"/>
  <c r="AD7" i="5" s="1"/>
  <c r="AK31" i="5"/>
  <c r="W6" i="6"/>
  <c r="X6" i="6" s="1"/>
  <c r="Y6" i="6" s="1"/>
  <c r="AA6" i="6" s="1"/>
  <c r="AB6" i="6" s="1"/>
  <c r="AC6" i="6" s="1"/>
  <c r="AJ30" i="6"/>
  <c r="W7" i="7"/>
  <c r="X7" i="7" s="1"/>
  <c r="Y7" i="7" s="1"/>
  <c r="AA7" i="7" s="1"/>
  <c r="AB7" i="7" s="1"/>
  <c r="AC7" i="7" s="1"/>
  <c r="AJ31" i="7"/>
  <c r="AJ32" i="6"/>
  <c r="W8" i="6"/>
  <c r="X8" i="6" s="1"/>
  <c r="Y8" i="6" s="1"/>
  <c r="AA8" i="6" s="1"/>
  <c r="AB8" i="6" s="1"/>
  <c r="AC8" i="6" s="1"/>
  <c r="E10" i="6"/>
  <c r="E12" i="6" s="1"/>
  <c r="W5" i="6"/>
  <c r="X5" i="6" s="1"/>
  <c r="Y5" i="6" s="1"/>
  <c r="AA5" i="6" s="1"/>
  <c r="AB5" i="6" s="1"/>
  <c r="AC5" i="6" s="1"/>
  <c r="AJ29" i="6"/>
  <c r="X8" i="5"/>
  <c r="Y8" i="5" s="1"/>
  <c r="Z8" i="5" s="1"/>
  <c r="AB8" i="5" s="1"/>
  <c r="AC8" i="5" s="1"/>
  <c r="AD8" i="5" s="1"/>
  <c r="AK32" i="5"/>
  <c r="X5" i="5"/>
  <c r="Y5" i="5" s="1"/>
  <c r="Z5" i="5" s="1"/>
  <c r="AB5" i="5" s="1"/>
  <c r="AC5" i="5" s="1"/>
  <c r="AD5" i="5" s="1"/>
  <c r="E10" i="5"/>
  <c r="E12" i="5" s="1"/>
  <c r="AK29" i="5"/>
  <c r="E10" i="7" l="1"/>
  <c r="E12" i="7" s="1"/>
  <c r="AJ29" i="7"/>
  <c r="W6" i="7"/>
  <c r="X6" i="7" s="1"/>
  <c r="Y6" i="7" s="1"/>
  <c r="AA6" i="7" s="1"/>
  <c r="AB6" i="7" s="1"/>
  <c r="AC6" i="7" s="1"/>
  <c r="AD6" i="7" s="1"/>
  <c r="AJ32" i="7"/>
  <c r="AF7" i="7"/>
  <c r="AJ22" i="7" s="1"/>
  <c r="AD7" i="7"/>
  <c r="AF8" i="7"/>
  <c r="AJ23" i="7" s="1"/>
  <c r="AD8" i="7"/>
  <c r="AF8" i="6"/>
  <c r="AJ23" i="6" s="1"/>
  <c r="AD8" i="6"/>
  <c r="AF6" i="6"/>
  <c r="AJ21" i="6" s="1"/>
  <c r="AD6" i="6"/>
  <c r="AG7" i="5"/>
  <c r="AK22" i="5" s="1"/>
  <c r="AE7" i="5"/>
  <c r="AG6" i="5"/>
  <c r="AK21" i="5" s="1"/>
  <c r="AE6" i="5"/>
  <c r="AG8" i="5"/>
  <c r="AK23" i="5" s="1"/>
  <c r="AE8" i="5"/>
  <c r="AG5" i="5"/>
  <c r="AK20" i="5" s="1"/>
  <c r="AE5" i="5"/>
  <c r="AF5" i="6"/>
  <c r="AJ20" i="6" s="1"/>
  <c r="AD5" i="6"/>
  <c r="AF7" i="6"/>
  <c r="AJ22" i="6" s="1"/>
  <c r="AD7" i="6"/>
  <c r="AF5" i="7"/>
  <c r="AJ20" i="7" s="1"/>
  <c r="AD5" i="7"/>
  <c r="AF6" i="7" l="1"/>
  <c r="AJ21" i="7" s="1"/>
  <c r="AE5" i="7"/>
  <c r="AJ14" i="7" s="1"/>
  <c r="V11" i="7"/>
  <c r="AJ38" i="7"/>
  <c r="AE5" i="6"/>
  <c r="AJ14" i="6" s="1"/>
  <c r="V11" i="6"/>
  <c r="AJ38" i="6"/>
  <c r="W14" i="5"/>
  <c r="AF8" i="5"/>
  <c r="AK17" i="5" s="1"/>
  <c r="AK41" i="5"/>
  <c r="W13" i="5"/>
  <c r="AF7" i="5"/>
  <c r="AK16" i="5" s="1"/>
  <c r="AK40" i="5"/>
  <c r="AE8" i="6"/>
  <c r="AJ17" i="6" s="1"/>
  <c r="V14" i="6"/>
  <c r="AJ41" i="6"/>
  <c r="AE8" i="7"/>
  <c r="AJ17" i="7" s="1"/>
  <c r="AJ41" i="7"/>
  <c r="V14" i="7"/>
  <c r="AE7" i="6"/>
  <c r="AJ16" i="6" s="1"/>
  <c r="V13" i="6"/>
  <c r="AJ40" i="6"/>
  <c r="AF6" i="5"/>
  <c r="AK15" i="5" s="1"/>
  <c r="W12" i="5"/>
  <c r="AK39" i="5"/>
  <c r="V12" i="6"/>
  <c r="AJ39" i="6"/>
  <c r="AE6" i="6"/>
  <c r="AJ15" i="6" s="1"/>
  <c r="AE6" i="7"/>
  <c r="AJ15" i="7" s="1"/>
  <c r="V12" i="7"/>
  <c r="AJ39" i="7"/>
  <c r="AE7" i="7"/>
  <c r="AJ16" i="7" s="1"/>
  <c r="V13" i="7"/>
  <c r="AJ40" i="7"/>
  <c r="AF5" i="5"/>
  <c r="AK14" i="5" s="1"/>
  <c r="W11" i="5"/>
  <c r="AK38" i="5"/>
  <c r="W13" i="7" l="1"/>
  <c r="X13" i="7" s="1"/>
  <c r="Y13" i="7" s="1"/>
  <c r="AA13" i="7" s="1"/>
  <c r="AB13" i="7" s="1"/>
  <c r="AC13" i="7" s="1"/>
  <c r="AK31" i="7"/>
  <c r="W13" i="6"/>
  <c r="X13" i="6" s="1"/>
  <c r="Y13" i="6" s="1"/>
  <c r="AA13" i="6" s="1"/>
  <c r="AB13" i="6" s="1"/>
  <c r="AC13" i="6" s="1"/>
  <c r="AK31" i="6"/>
  <c r="AJ19" i="7"/>
  <c r="AJ37" i="7"/>
  <c r="AJ28" i="7"/>
  <c r="X12" i="5"/>
  <c r="Y12" i="5" s="1"/>
  <c r="Z12" i="5" s="1"/>
  <c r="AB12" i="5" s="1"/>
  <c r="AC12" i="5" s="1"/>
  <c r="AD12" i="5" s="1"/>
  <c r="AL30" i="5"/>
  <c r="AK19" i="5"/>
  <c r="AK37" i="5"/>
  <c r="AK28" i="5"/>
  <c r="X14" i="5"/>
  <c r="Y14" i="5" s="1"/>
  <c r="Z14" i="5" s="1"/>
  <c r="AB14" i="5" s="1"/>
  <c r="AC14" i="5" s="1"/>
  <c r="AD14" i="5" s="1"/>
  <c r="AL32" i="5"/>
  <c r="X11" i="5"/>
  <c r="Y11" i="5" s="1"/>
  <c r="Z11" i="5" s="1"/>
  <c r="AB11" i="5" s="1"/>
  <c r="AC11" i="5" s="1"/>
  <c r="AD11" i="5" s="1"/>
  <c r="AL29" i="5"/>
  <c r="AJ37" i="6"/>
  <c r="AJ28" i="6"/>
  <c r="AJ19" i="6"/>
  <c r="W14" i="7"/>
  <c r="X14" i="7" s="1"/>
  <c r="Y14" i="7" s="1"/>
  <c r="AA14" i="7" s="1"/>
  <c r="AB14" i="7" s="1"/>
  <c r="AC14" i="7" s="1"/>
  <c r="AK32" i="7"/>
  <c r="W14" i="6"/>
  <c r="X14" i="6" s="1"/>
  <c r="Y14" i="6" s="1"/>
  <c r="AA14" i="6" s="1"/>
  <c r="AB14" i="6" s="1"/>
  <c r="AC14" i="6" s="1"/>
  <c r="AK32" i="6"/>
  <c r="X13" i="5"/>
  <c r="Y13" i="5" s="1"/>
  <c r="Z13" i="5" s="1"/>
  <c r="AB13" i="5" s="1"/>
  <c r="AC13" i="5" s="1"/>
  <c r="AD13" i="5" s="1"/>
  <c r="AL31" i="5"/>
  <c r="W11" i="7"/>
  <c r="X11" i="7" s="1"/>
  <c r="Y11" i="7" s="1"/>
  <c r="AA11" i="7" s="1"/>
  <c r="AB11" i="7" s="1"/>
  <c r="AC11" i="7" s="1"/>
  <c r="AK29" i="7"/>
  <c r="W12" i="7"/>
  <c r="X12" i="7" s="1"/>
  <c r="Y12" i="7" s="1"/>
  <c r="AA12" i="7" s="1"/>
  <c r="AB12" i="7" s="1"/>
  <c r="AC12" i="7" s="1"/>
  <c r="AK30" i="7"/>
  <c r="W12" i="6"/>
  <c r="X12" i="6" s="1"/>
  <c r="Y12" i="6" s="1"/>
  <c r="AA12" i="6" s="1"/>
  <c r="AB12" i="6" s="1"/>
  <c r="AC12" i="6" s="1"/>
  <c r="AK30" i="6"/>
  <c r="AK29" i="6"/>
  <c r="W11" i="6"/>
  <c r="X11" i="6" s="1"/>
  <c r="Y11" i="6" s="1"/>
  <c r="AA11" i="6" s="1"/>
  <c r="AB11" i="6" s="1"/>
  <c r="AC11" i="6" s="1"/>
  <c r="AG13" i="5" l="1"/>
  <c r="AL22" i="5" s="1"/>
  <c r="AE13" i="5"/>
  <c r="AF14" i="7"/>
  <c r="AK23" i="7" s="1"/>
  <c r="AD14" i="7"/>
  <c r="AG12" i="5"/>
  <c r="AL21" i="5" s="1"/>
  <c r="AE12" i="5"/>
  <c r="AF12" i="7"/>
  <c r="AK21" i="7" s="1"/>
  <c r="AD12" i="7"/>
  <c r="AG11" i="5"/>
  <c r="AL20" i="5" s="1"/>
  <c r="AE11" i="5"/>
  <c r="AF13" i="6"/>
  <c r="AK22" i="6" s="1"/>
  <c r="AD13" i="6"/>
  <c r="AF12" i="6"/>
  <c r="AK21" i="6" s="1"/>
  <c r="AD12" i="6"/>
  <c r="AF11" i="7"/>
  <c r="AK20" i="7" s="1"/>
  <c r="AD11" i="7"/>
  <c r="AF14" i="6"/>
  <c r="AK23" i="6" s="1"/>
  <c r="AD14" i="6"/>
  <c r="AF11" i="6"/>
  <c r="AK20" i="6" s="1"/>
  <c r="AD11" i="6"/>
  <c r="AG14" i="5"/>
  <c r="AL23" i="5" s="1"/>
  <c r="AE14" i="5"/>
  <c r="AF13" i="7"/>
  <c r="AK22" i="7" s="1"/>
  <c r="AD13" i="7"/>
  <c r="AE11" i="6" l="1"/>
  <c r="AK14" i="6" s="1"/>
  <c r="AK38" i="6"/>
  <c r="V17" i="6"/>
  <c r="V19" i="6"/>
  <c r="AE13" i="6"/>
  <c r="AK16" i="6" s="1"/>
  <c r="AK40" i="6"/>
  <c r="V18" i="7"/>
  <c r="AK39" i="7"/>
  <c r="AE12" i="7"/>
  <c r="AK15" i="7" s="1"/>
  <c r="W20" i="5"/>
  <c r="AF14" i="5"/>
  <c r="AL17" i="5" s="1"/>
  <c r="AL41" i="5"/>
  <c r="AE13" i="7"/>
  <c r="AK16" i="7" s="1"/>
  <c r="V19" i="7"/>
  <c r="AK40" i="7"/>
  <c r="AE11" i="7"/>
  <c r="AK14" i="7" s="1"/>
  <c r="V17" i="7"/>
  <c r="AK38" i="7"/>
  <c r="V20" i="7"/>
  <c r="AK41" i="7"/>
  <c r="AE14" i="7"/>
  <c r="AK17" i="7" s="1"/>
  <c r="AE14" i="6"/>
  <c r="AK17" i="6" s="1"/>
  <c r="AK41" i="6"/>
  <c r="V20" i="6"/>
  <c r="AE12" i="6"/>
  <c r="AK15" i="6" s="1"/>
  <c r="V18" i="6"/>
  <c r="AK39" i="6"/>
  <c r="W17" i="5"/>
  <c r="AF11" i="5"/>
  <c r="AL14" i="5" s="1"/>
  <c r="AL38" i="5"/>
  <c r="AF12" i="5"/>
  <c r="AL15" i="5" s="1"/>
  <c r="W18" i="5"/>
  <c r="AL39" i="5"/>
  <c r="AF13" i="5"/>
  <c r="AL16" i="5" s="1"/>
  <c r="AL40" i="5"/>
  <c r="W19" i="5"/>
  <c r="W19" i="6" l="1"/>
  <c r="X19" i="6" s="1"/>
  <c r="Y19" i="6" s="1"/>
  <c r="AA19" i="6" s="1"/>
  <c r="AB19" i="6" s="1"/>
  <c r="AC19" i="6" s="1"/>
  <c r="AL31" i="6"/>
  <c r="AL19" i="5"/>
  <c r="AL28" i="5"/>
  <c r="AL37" i="5"/>
  <c r="AL30" i="6"/>
  <c r="W18" i="6"/>
  <c r="X18" i="6" s="1"/>
  <c r="Y18" i="6" s="1"/>
  <c r="AA18" i="6" s="1"/>
  <c r="AB18" i="6" s="1"/>
  <c r="AC18" i="6" s="1"/>
  <c r="AM31" i="5"/>
  <c r="X19" i="5"/>
  <c r="Y19" i="5" s="1"/>
  <c r="Z19" i="5" s="1"/>
  <c r="AB19" i="5" s="1"/>
  <c r="AC19" i="5" s="1"/>
  <c r="AD19" i="5" s="1"/>
  <c r="X18" i="5"/>
  <c r="Y18" i="5" s="1"/>
  <c r="Z18" i="5" s="1"/>
  <c r="AB18" i="5" s="1"/>
  <c r="AC18" i="5" s="1"/>
  <c r="AD18" i="5" s="1"/>
  <c r="AM30" i="5"/>
  <c r="X17" i="5"/>
  <c r="Y17" i="5" s="1"/>
  <c r="Z17" i="5" s="1"/>
  <c r="AB17" i="5" s="1"/>
  <c r="AC17" i="5" s="1"/>
  <c r="AD17" i="5" s="1"/>
  <c r="AM29" i="5"/>
  <c r="AL32" i="6"/>
  <c r="W20" i="6"/>
  <c r="X20" i="6" s="1"/>
  <c r="Y20" i="6" s="1"/>
  <c r="AA20" i="6" s="1"/>
  <c r="AB20" i="6" s="1"/>
  <c r="AC20" i="6" s="1"/>
  <c r="W20" i="7"/>
  <c r="X20" i="7" s="1"/>
  <c r="Y20" i="7" s="1"/>
  <c r="AA20" i="7" s="1"/>
  <c r="AB20" i="7" s="1"/>
  <c r="AC20" i="7" s="1"/>
  <c r="AL32" i="7"/>
  <c r="W18" i="7"/>
  <c r="X18" i="7" s="1"/>
  <c r="Y18" i="7" s="1"/>
  <c r="AA18" i="7" s="1"/>
  <c r="AB18" i="7" s="1"/>
  <c r="AC18" i="7" s="1"/>
  <c r="AL30" i="7"/>
  <c r="AL29" i="6"/>
  <c r="W17" i="6"/>
  <c r="X17" i="6" s="1"/>
  <c r="Y17" i="6" s="1"/>
  <c r="AA17" i="6" s="1"/>
  <c r="AB17" i="6" s="1"/>
  <c r="AC17" i="6" s="1"/>
  <c r="AL31" i="7"/>
  <c r="W19" i="7"/>
  <c r="X19" i="7" s="1"/>
  <c r="Y19" i="7" s="1"/>
  <c r="AA19" i="7" s="1"/>
  <c r="AB19" i="7" s="1"/>
  <c r="AC19" i="7" s="1"/>
  <c r="AM32" i="5"/>
  <c r="X20" i="5"/>
  <c r="Y20" i="5" s="1"/>
  <c r="Z20" i="5" s="1"/>
  <c r="AB20" i="5" s="1"/>
  <c r="AC20" i="5" s="1"/>
  <c r="AD20" i="5" s="1"/>
  <c r="W17" i="7"/>
  <c r="X17" i="7" s="1"/>
  <c r="Y17" i="7" s="1"/>
  <c r="AA17" i="7" s="1"/>
  <c r="AB17" i="7" s="1"/>
  <c r="AC17" i="7" s="1"/>
  <c r="AL29" i="7"/>
  <c r="AK28" i="7"/>
  <c r="AK19" i="7"/>
  <c r="AK37" i="7"/>
  <c r="AK19" i="6"/>
  <c r="AK37" i="6"/>
  <c r="AK28" i="6"/>
  <c r="AF17" i="7" l="1"/>
  <c r="AL20" i="7" s="1"/>
  <c r="AD17" i="7"/>
  <c r="AF20" i="7"/>
  <c r="AL23" i="7" s="1"/>
  <c r="AD20" i="7"/>
  <c r="AG17" i="5"/>
  <c r="AM20" i="5" s="1"/>
  <c r="AE17" i="5"/>
  <c r="AF19" i="7"/>
  <c r="AL22" i="7" s="1"/>
  <c r="AD19" i="7"/>
  <c r="AF20" i="6"/>
  <c r="AL23" i="6" s="1"/>
  <c r="AD20" i="6"/>
  <c r="AF18" i="6"/>
  <c r="AL21" i="6" s="1"/>
  <c r="AD18" i="6"/>
  <c r="AF18" i="7"/>
  <c r="AL21" i="7" s="1"/>
  <c r="AD18" i="7"/>
  <c r="AG18" i="5"/>
  <c r="AM21" i="5" s="1"/>
  <c r="AE18" i="5"/>
  <c r="AG20" i="5"/>
  <c r="AM23" i="5" s="1"/>
  <c r="AE20" i="5"/>
  <c r="AF17" i="6"/>
  <c r="AL20" i="6" s="1"/>
  <c r="AD17" i="6"/>
  <c r="AG19" i="5"/>
  <c r="AM22" i="5" s="1"/>
  <c r="AE19" i="5"/>
  <c r="AF19" i="6"/>
  <c r="AL22" i="6" s="1"/>
  <c r="AD19" i="6"/>
  <c r="AE17" i="6" l="1"/>
  <c r="AL14" i="6" s="1"/>
  <c r="AL38" i="6"/>
  <c r="V23" i="6"/>
  <c r="AE19" i="7"/>
  <c r="AL16" i="7" s="1"/>
  <c r="V25" i="7"/>
  <c r="AL40" i="7"/>
  <c r="AF20" i="5"/>
  <c r="AM17" i="5" s="1"/>
  <c r="AM41" i="5"/>
  <c r="W26" i="5"/>
  <c r="AE19" i="6"/>
  <c r="AL16" i="6" s="1"/>
  <c r="V25" i="6"/>
  <c r="AL40" i="6"/>
  <c r="AF18" i="5"/>
  <c r="AM15" i="5" s="1"/>
  <c r="AM39" i="5"/>
  <c r="W24" i="5"/>
  <c r="V24" i="6"/>
  <c r="AE18" i="6"/>
  <c r="AL15" i="6" s="1"/>
  <c r="AL39" i="6"/>
  <c r="AE20" i="7"/>
  <c r="AL17" i="7" s="1"/>
  <c r="V26" i="7"/>
  <c r="AL41" i="7"/>
  <c r="W25" i="5"/>
  <c r="AF19" i="5"/>
  <c r="AM16" i="5" s="1"/>
  <c r="AM40" i="5"/>
  <c r="AE18" i="7"/>
  <c r="AL15" i="7" s="1"/>
  <c r="V24" i="7"/>
  <c r="AL39" i="7"/>
  <c r="AE20" i="6"/>
  <c r="AL17" i="6" s="1"/>
  <c r="V26" i="6"/>
  <c r="AL41" i="6"/>
  <c r="AF17" i="5"/>
  <c r="AM14" i="5" s="1"/>
  <c r="W23" i="5"/>
  <c r="AM38" i="5"/>
  <c r="AE17" i="7"/>
  <c r="AL14" i="7" s="1"/>
  <c r="V23" i="7"/>
  <c r="AL38" i="7"/>
  <c r="AL19" i="7" l="1"/>
  <c r="AL37" i="7"/>
  <c r="AL28" i="7"/>
  <c r="AN29" i="5"/>
  <c r="X23" i="5"/>
  <c r="Y23" i="5" s="1"/>
  <c r="Z23" i="5" s="1"/>
  <c r="AB23" i="5" s="1"/>
  <c r="AC23" i="5" s="1"/>
  <c r="AD23" i="5" s="1"/>
  <c r="AM32" i="7"/>
  <c r="W26" i="7"/>
  <c r="X26" i="7" s="1"/>
  <c r="Y26" i="7" s="1"/>
  <c r="AA26" i="7" s="1"/>
  <c r="AB26" i="7" s="1"/>
  <c r="AC26" i="7" s="1"/>
  <c r="AM28" i="5"/>
  <c r="AM37" i="5"/>
  <c r="AM19" i="5"/>
  <c r="X24" i="5"/>
  <c r="Y24" i="5" s="1"/>
  <c r="Z24" i="5" s="1"/>
  <c r="AB24" i="5" s="1"/>
  <c r="AC24" i="5" s="1"/>
  <c r="AD24" i="5" s="1"/>
  <c r="AN30" i="5"/>
  <c r="W25" i="6"/>
  <c r="X25" i="6" s="1"/>
  <c r="Y25" i="6" s="1"/>
  <c r="AA25" i="6" s="1"/>
  <c r="AB25" i="6" s="1"/>
  <c r="AC25" i="6" s="1"/>
  <c r="AM31" i="6"/>
  <c r="W23" i="6"/>
  <c r="X23" i="6" s="1"/>
  <c r="Y23" i="6" s="1"/>
  <c r="AA23" i="6" s="1"/>
  <c r="AB23" i="6" s="1"/>
  <c r="AC23" i="6" s="1"/>
  <c r="AM29" i="6"/>
  <c r="W23" i="7"/>
  <c r="X23" i="7" s="1"/>
  <c r="Y23" i="7" s="1"/>
  <c r="AA23" i="7" s="1"/>
  <c r="AB23" i="7" s="1"/>
  <c r="AC23" i="7" s="1"/>
  <c r="AM29" i="7"/>
  <c r="AL19" i="6"/>
  <c r="AL37" i="6"/>
  <c r="AL28" i="6"/>
  <c r="W24" i="6"/>
  <c r="X24" i="6" s="1"/>
  <c r="Y24" i="6" s="1"/>
  <c r="AA24" i="6" s="1"/>
  <c r="AB24" i="6" s="1"/>
  <c r="AC24" i="6" s="1"/>
  <c r="AM30" i="6"/>
  <c r="W24" i="7"/>
  <c r="X24" i="7" s="1"/>
  <c r="Y24" i="7" s="1"/>
  <c r="AA24" i="7" s="1"/>
  <c r="AB24" i="7" s="1"/>
  <c r="AC24" i="7" s="1"/>
  <c r="AM30" i="7"/>
  <c r="X25" i="5"/>
  <c r="Y25" i="5" s="1"/>
  <c r="Z25" i="5" s="1"/>
  <c r="AB25" i="5" s="1"/>
  <c r="AC25" i="5" s="1"/>
  <c r="AD25" i="5" s="1"/>
  <c r="AN31" i="5"/>
  <c r="W26" i="6"/>
  <c r="X26" i="6" s="1"/>
  <c r="Y26" i="6" s="1"/>
  <c r="AA26" i="6" s="1"/>
  <c r="AB26" i="6" s="1"/>
  <c r="AC26" i="6" s="1"/>
  <c r="AM32" i="6"/>
  <c r="X26" i="5"/>
  <c r="Y26" i="5" s="1"/>
  <c r="Z26" i="5" s="1"/>
  <c r="AB26" i="5" s="1"/>
  <c r="AC26" i="5" s="1"/>
  <c r="AD26" i="5" s="1"/>
  <c r="AN32" i="5"/>
  <c r="W25" i="7"/>
  <c r="X25" i="7" s="1"/>
  <c r="Y25" i="7" s="1"/>
  <c r="AA25" i="7" s="1"/>
  <c r="AB25" i="7" s="1"/>
  <c r="AC25" i="7" s="1"/>
  <c r="AM31" i="7"/>
  <c r="AF24" i="7" l="1"/>
  <c r="AM21" i="7" s="1"/>
  <c r="AD24" i="7"/>
  <c r="AF26" i="6"/>
  <c r="AM23" i="6" s="1"/>
  <c r="AD26" i="6"/>
  <c r="AF23" i="6"/>
  <c r="AM20" i="6" s="1"/>
  <c r="AD23" i="6"/>
  <c r="AG24" i="5"/>
  <c r="AN21" i="5" s="1"/>
  <c r="AE24" i="5"/>
  <c r="AF26" i="7"/>
  <c r="AM23" i="7" s="1"/>
  <c r="AD26" i="7"/>
  <c r="AF25" i="7"/>
  <c r="AM22" i="7" s="1"/>
  <c r="AD25" i="7"/>
  <c r="AG25" i="5"/>
  <c r="AN22" i="5" s="1"/>
  <c r="AE25" i="5"/>
  <c r="AG26" i="5"/>
  <c r="AN23" i="5" s="1"/>
  <c r="AE26" i="5"/>
  <c r="AF24" i="6"/>
  <c r="AM21" i="6" s="1"/>
  <c r="AD24" i="6"/>
  <c r="AF23" i="7"/>
  <c r="AM20" i="7" s="1"/>
  <c r="AD23" i="7"/>
  <c r="AF25" i="6"/>
  <c r="AM22" i="6" s="1"/>
  <c r="AD25" i="6"/>
  <c r="AG23" i="5"/>
  <c r="AN20" i="5" s="1"/>
  <c r="AE23" i="5"/>
  <c r="AN38" i="5" l="1"/>
  <c r="W29" i="5"/>
  <c r="AF23" i="5"/>
  <c r="AN14" i="5" s="1"/>
  <c r="AE23" i="7"/>
  <c r="AM14" i="7" s="1"/>
  <c r="V29" i="7"/>
  <c r="AM38" i="7"/>
  <c r="W32" i="5"/>
  <c r="AF26" i="5"/>
  <c r="AN17" i="5" s="1"/>
  <c r="AN41" i="5"/>
  <c r="AE25" i="7"/>
  <c r="AM16" i="7" s="1"/>
  <c r="V31" i="7"/>
  <c r="AM40" i="7"/>
  <c r="W30" i="5"/>
  <c r="AF24" i="5"/>
  <c r="AN15" i="5" s="1"/>
  <c r="AN39" i="5"/>
  <c r="AE26" i="6"/>
  <c r="AM17" i="6" s="1"/>
  <c r="V32" i="6"/>
  <c r="AM41" i="6"/>
  <c r="AM40" i="6"/>
  <c r="AE25" i="6"/>
  <c r="AM16" i="6" s="1"/>
  <c r="V31" i="6"/>
  <c r="AE24" i="6"/>
  <c r="AM15" i="6" s="1"/>
  <c r="V30" i="6"/>
  <c r="AM39" i="6"/>
  <c r="AF25" i="5"/>
  <c r="AN16" i="5" s="1"/>
  <c r="W31" i="5"/>
  <c r="AN40" i="5"/>
  <c r="AM41" i="7"/>
  <c r="AE26" i="7"/>
  <c r="AM17" i="7" s="1"/>
  <c r="V32" i="7"/>
  <c r="AE23" i="6"/>
  <c r="AM14" i="6" s="1"/>
  <c r="V29" i="6"/>
  <c r="AM38" i="6"/>
  <c r="AM39" i="7"/>
  <c r="AE24" i="7"/>
  <c r="AM15" i="7" s="1"/>
  <c r="V30" i="7"/>
  <c r="X31" i="5" l="1"/>
  <c r="Y31" i="5" s="1"/>
  <c r="Z31" i="5" s="1"/>
  <c r="AB31" i="5" s="1"/>
  <c r="AC31" i="5" s="1"/>
  <c r="AD31" i="5" s="1"/>
  <c r="AO31" i="5"/>
  <c r="W32" i="7"/>
  <c r="X32" i="7" s="1"/>
  <c r="Y32" i="7" s="1"/>
  <c r="AA32" i="7" s="1"/>
  <c r="AB32" i="7" s="1"/>
  <c r="AC32" i="7" s="1"/>
  <c r="AN32" i="7"/>
  <c r="AM28" i="7"/>
  <c r="AM19" i="7"/>
  <c r="AM37" i="7"/>
  <c r="AO29" i="5"/>
  <c r="X29" i="5"/>
  <c r="Y29" i="5" s="1"/>
  <c r="Z29" i="5" s="1"/>
  <c r="AB29" i="5" s="1"/>
  <c r="AC29" i="5" s="1"/>
  <c r="AD29" i="5" s="1"/>
  <c r="AN28" i="5"/>
  <c r="AN19" i="5"/>
  <c r="AN37" i="5"/>
  <c r="W31" i="6"/>
  <c r="X31" i="6" s="1"/>
  <c r="Y31" i="6" s="1"/>
  <c r="AA31" i="6" s="1"/>
  <c r="AB31" i="6" s="1"/>
  <c r="AC31" i="6" s="1"/>
  <c r="AN31" i="6"/>
  <c r="AN32" i="6"/>
  <c r="W32" i="6"/>
  <c r="X32" i="6" s="1"/>
  <c r="Y32" i="6" s="1"/>
  <c r="AA32" i="6" s="1"/>
  <c r="AB32" i="6" s="1"/>
  <c r="AC32" i="6" s="1"/>
  <c r="AO30" i="5"/>
  <c r="X30" i="5"/>
  <c r="Y30" i="5" s="1"/>
  <c r="Z30" i="5" s="1"/>
  <c r="AB30" i="5" s="1"/>
  <c r="AC30" i="5" s="1"/>
  <c r="AD30" i="5" s="1"/>
  <c r="W30" i="7"/>
  <c r="X30" i="7" s="1"/>
  <c r="Y30" i="7" s="1"/>
  <c r="AA30" i="7" s="1"/>
  <c r="AB30" i="7" s="1"/>
  <c r="AC30" i="7" s="1"/>
  <c r="AN30" i="7"/>
  <c r="W29" i="6"/>
  <c r="X29" i="6" s="1"/>
  <c r="Y29" i="6" s="1"/>
  <c r="AA29" i="6" s="1"/>
  <c r="AB29" i="6" s="1"/>
  <c r="AC29" i="6" s="1"/>
  <c r="AN29" i="6"/>
  <c r="AM19" i="6"/>
  <c r="AM37" i="6"/>
  <c r="AM28" i="6"/>
  <c r="W30" i="6"/>
  <c r="X30" i="6" s="1"/>
  <c r="Y30" i="6" s="1"/>
  <c r="AA30" i="6" s="1"/>
  <c r="AB30" i="6" s="1"/>
  <c r="AC30" i="6" s="1"/>
  <c r="AN30" i="6"/>
  <c r="W31" i="7"/>
  <c r="X31" i="7" s="1"/>
  <c r="Y31" i="7" s="1"/>
  <c r="AA31" i="7" s="1"/>
  <c r="AB31" i="7" s="1"/>
  <c r="AC31" i="7" s="1"/>
  <c r="AN31" i="7"/>
  <c r="X32" i="5"/>
  <c r="Y32" i="5" s="1"/>
  <c r="Z32" i="5" s="1"/>
  <c r="AB32" i="5" s="1"/>
  <c r="AC32" i="5" s="1"/>
  <c r="AD32" i="5" s="1"/>
  <c r="AO32" i="5"/>
  <c r="AN29" i="7"/>
  <c r="W29" i="7"/>
  <c r="X29" i="7" s="1"/>
  <c r="Y29" i="7" s="1"/>
  <c r="AA29" i="7" s="1"/>
  <c r="AB29" i="7" s="1"/>
  <c r="AC29" i="7" s="1"/>
  <c r="AF31" i="7" l="1"/>
  <c r="AN22" i="7" s="1"/>
  <c r="AD31" i="7"/>
  <c r="AF32" i="6"/>
  <c r="AN23" i="6" s="1"/>
  <c r="AD32" i="6"/>
  <c r="AF32" i="7"/>
  <c r="AN23" i="7" s="1"/>
  <c r="AD32" i="7"/>
  <c r="AG32" i="5"/>
  <c r="AO23" i="5" s="1"/>
  <c r="AE32" i="5"/>
  <c r="AF30" i="7"/>
  <c r="AN21" i="7" s="1"/>
  <c r="AD30" i="7"/>
  <c r="AF30" i="6"/>
  <c r="AN21" i="6" s="1"/>
  <c r="AD30" i="6"/>
  <c r="AG30" i="5"/>
  <c r="AO21" i="5" s="1"/>
  <c r="AE30" i="5"/>
  <c r="AF29" i="7"/>
  <c r="AN20" i="7" s="1"/>
  <c r="AD29" i="7"/>
  <c r="AF29" i="6"/>
  <c r="AN20" i="6" s="1"/>
  <c r="AD29" i="6"/>
  <c r="AF31" i="6"/>
  <c r="AN22" i="6" s="1"/>
  <c r="AD31" i="6"/>
  <c r="AG29" i="5"/>
  <c r="AO20" i="5" s="1"/>
  <c r="AE29" i="5"/>
  <c r="AG31" i="5"/>
  <c r="AO22" i="5" s="1"/>
  <c r="AE31" i="5"/>
  <c r="W37" i="5" l="1"/>
  <c r="AF31" i="5"/>
  <c r="AO16" i="5" s="1"/>
  <c r="AO40" i="5"/>
  <c r="AN40" i="6"/>
  <c r="V37" i="6"/>
  <c r="AE31" i="6"/>
  <c r="AN16" i="6" s="1"/>
  <c r="AN38" i="7"/>
  <c r="AE29" i="7"/>
  <c r="AN14" i="7" s="1"/>
  <c r="V35" i="7"/>
  <c r="AE30" i="6"/>
  <c r="AN15" i="6" s="1"/>
  <c r="V36" i="6"/>
  <c r="AN39" i="6"/>
  <c r="AF32" i="5"/>
  <c r="AO17" i="5" s="1"/>
  <c r="AO41" i="5"/>
  <c r="W38" i="5"/>
  <c r="AN41" i="6"/>
  <c r="V38" i="6"/>
  <c r="AE32" i="6"/>
  <c r="AN17" i="6" s="1"/>
  <c r="AF29" i="5"/>
  <c r="AO14" i="5" s="1"/>
  <c r="AO38" i="5"/>
  <c r="W35" i="5"/>
  <c r="AE29" i="6"/>
  <c r="AN14" i="6" s="1"/>
  <c r="V35" i="6"/>
  <c r="AN38" i="6"/>
  <c r="AF30" i="5"/>
  <c r="AO15" i="5" s="1"/>
  <c r="W36" i="5"/>
  <c r="AO39" i="5"/>
  <c r="AE30" i="7"/>
  <c r="AN15" i="7" s="1"/>
  <c r="V36" i="7"/>
  <c r="AN39" i="7"/>
  <c r="V38" i="7"/>
  <c r="AN41" i="7"/>
  <c r="AE32" i="7"/>
  <c r="AN17" i="7" s="1"/>
  <c r="AE31" i="7"/>
  <c r="AN16" i="7" s="1"/>
  <c r="AN40" i="7"/>
  <c r="V37" i="7"/>
  <c r="AO29" i="6" l="1"/>
  <c r="W35" i="6"/>
  <c r="X35" i="6" s="1"/>
  <c r="Y35" i="6" s="1"/>
  <c r="AA35" i="6" s="1"/>
  <c r="AB35" i="6" s="1"/>
  <c r="AC35" i="6" s="1"/>
  <c r="AO19" i="5"/>
  <c r="AO37" i="5"/>
  <c r="AO28" i="5"/>
  <c r="W37" i="7"/>
  <c r="X37" i="7" s="1"/>
  <c r="Y37" i="7" s="1"/>
  <c r="AA37" i="7" s="1"/>
  <c r="AB37" i="7" s="1"/>
  <c r="AC37" i="7" s="1"/>
  <c r="AO31" i="7"/>
  <c r="AO32" i="7"/>
  <c r="W38" i="7"/>
  <c r="X38" i="7" s="1"/>
  <c r="Y38" i="7" s="1"/>
  <c r="AA38" i="7" s="1"/>
  <c r="AB38" i="7" s="1"/>
  <c r="AC38" i="7" s="1"/>
  <c r="X38" i="5"/>
  <c r="Y38" i="5" s="1"/>
  <c r="Z38" i="5" s="1"/>
  <c r="AB38" i="5" s="1"/>
  <c r="AC38" i="5" s="1"/>
  <c r="AD38" i="5" s="1"/>
  <c r="AP32" i="5"/>
  <c r="W36" i="6"/>
  <c r="X36" i="6" s="1"/>
  <c r="Y36" i="6" s="1"/>
  <c r="AA36" i="6" s="1"/>
  <c r="AB36" i="6" s="1"/>
  <c r="AC36" i="6" s="1"/>
  <c r="AO30" i="6"/>
  <c r="AN19" i="7"/>
  <c r="AN37" i="7"/>
  <c r="AN28" i="7"/>
  <c r="AP30" i="5"/>
  <c r="X36" i="5"/>
  <c r="Y36" i="5" s="1"/>
  <c r="Z36" i="5" s="1"/>
  <c r="AB36" i="5" s="1"/>
  <c r="AC36" i="5" s="1"/>
  <c r="AD36" i="5" s="1"/>
  <c r="AN37" i="6"/>
  <c r="AN19" i="6"/>
  <c r="AN28" i="6"/>
  <c r="AO30" i="7"/>
  <c r="W36" i="7"/>
  <c r="X36" i="7" s="1"/>
  <c r="Y36" i="7" s="1"/>
  <c r="AA36" i="7" s="1"/>
  <c r="AB36" i="7" s="1"/>
  <c r="AC36" i="7" s="1"/>
  <c r="X35" i="5"/>
  <c r="Y35" i="5" s="1"/>
  <c r="Z35" i="5" s="1"/>
  <c r="AB35" i="5" s="1"/>
  <c r="AC35" i="5" s="1"/>
  <c r="AD35" i="5" s="1"/>
  <c r="AP29" i="5"/>
  <c r="AO32" i="6"/>
  <c r="W38" i="6"/>
  <c r="X38" i="6" s="1"/>
  <c r="Y38" i="6" s="1"/>
  <c r="AA38" i="6" s="1"/>
  <c r="AB38" i="6" s="1"/>
  <c r="AC38" i="6" s="1"/>
  <c r="AO29" i="7"/>
  <c r="W35" i="7"/>
  <c r="X35" i="7" s="1"/>
  <c r="Y35" i="7" s="1"/>
  <c r="AA35" i="7" s="1"/>
  <c r="AB35" i="7" s="1"/>
  <c r="AC35" i="7" s="1"/>
  <c r="AO31" i="6"/>
  <c r="W37" i="6"/>
  <c r="X37" i="6" s="1"/>
  <c r="Y37" i="6" s="1"/>
  <c r="AA37" i="6" s="1"/>
  <c r="AB37" i="6" s="1"/>
  <c r="AC37" i="6" s="1"/>
  <c r="AP31" i="5"/>
  <c r="X37" i="5"/>
  <c r="Y37" i="5" s="1"/>
  <c r="Z37" i="5" s="1"/>
  <c r="AB37" i="5" s="1"/>
  <c r="AC37" i="5" s="1"/>
  <c r="AD37" i="5" s="1"/>
  <c r="AF36" i="7" l="1"/>
  <c r="AO21" i="7" s="1"/>
  <c r="AD36" i="7"/>
  <c r="AG38" i="5"/>
  <c r="AP23" i="5" s="1"/>
  <c r="AE38" i="5"/>
  <c r="AF35" i="6"/>
  <c r="AO20" i="6" s="1"/>
  <c r="AD35" i="6"/>
  <c r="AG35" i="5"/>
  <c r="AP20" i="5" s="1"/>
  <c r="AE35" i="5"/>
  <c r="AF36" i="6"/>
  <c r="AO21" i="6" s="1"/>
  <c r="AD36" i="6"/>
  <c r="AF37" i="6"/>
  <c r="AO22" i="6" s="1"/>
  <c r="AD37" i="6"/>
  <c r="AF38" i="6"/>
  <c r="AO23" i="6" s="1"/>
  <c r="AD38" i="6"/>
  <c r="AG36" i="5"/>
  <c r="AP21" i="5" s="1"/>
  <c r="AE36" i="5"/>
  <c r="AF37" i="7"/>
  <c r="AO22" i="7" s="1"/>
  <c r="AD37" i="7"/>
  <c r="AG37" i="5"/>
  <c r="AP22" i="5" s="1"/>
  <c r="AE37" i="5"/>
  <c r="AF35" i="7"/>
  <c r="AO20" i="7" s="1"/>
  <c r="AD35" i="7"/>
  <c r="AF38" i="7"/>
  <c r="AO23" i="7" s="1"/>
  <c r="AD38" i="7"/>
  <c r="AO38" i="6" l="1"/>
  <c r="AE35" i="6"/>
  <c r="AO14" i="6" s="1"/>
  <c r="V41" i="6"/>
  <c r="AE37" i="6"/>
  <c r="AO16" i="6" s="1"/>
  <c r="AO40" i="6"/>
  <c r="V43" i="6"/>
  <c r="AF37" i="5"/>
  <c r="AP16" i="5" s="1"/>
  <c r="AP40" i="5"/>
  <c r="W43" i="5"/>
  <c r="AE38" i="6"/>
  <c r="AO17" i="6" s="1"/>
  <c r="AO41" i="6"/>
  <c r="V44" i="6"/>
  <c r="AE36" i="6"/>
  <c r="AO15" i="6" s="1"/>
  <c r="AO39" i="6"/>
  <c r="V42" i="6"/>
  <c r="W41" i="5"/>
  <c r="AP38" i="5"/>
  <c r="AF35" i="5"/>
  <c r="AP14" i="5" s="1"/>
  <c r="AF38" i="5"/>
  <c r="AP17" i="5" s="1"/>
  <c r="AP41" i="5"/>
  <c r="W44" i="5"/>
  <c r="AE38" i="7"/>
  <c r="AO17" i="7" s="1"/>
  <c r="AO41" i="7"/>
  <c r="V44" i="7"/>
  <c r="AO38" i="7"/>
  <c r="AE35" i="7"/>
  <c r="AO14" i="7" s="1"/>
  <c r="V41" i="7"/>
  <c r="V43" i="7"/>
  <c r="AE37" i="7"/>
  <c r="AO16" i="7" s="1"/>
  <c r="AO40" i="7"/>
  <c r="AF36" i="5"/>
  <c r="AP15" i="5" s="1"/>
  <c r="AP39" i="5"/>
  <c r="W42" i="5"/>
  <c r="AE36" i="7"/>
  <c r="AO15" i="7" s="1"/>
  <c r="AO39" i="7"/>
  <c r="V42" i="7"/>
  <c r="AO19" i="6" l="1"/>
  <c r="AO37" i="6"/>
  <c r="AO28" i="6"/>
  <c r="AP31" i="7"/>
  <c r="W43" i="7"/>
  <c r="X43" i="7" s="1"/>
  <c r="Y43" i="7" s="1"/>
  <c r="AA43" i="7" s="1"/>
  <c r="AB43" i="7" s="1"/>
  <c r="AC43" i="7" s="1"/>
  <c r="AP32" i="6"/>
  <c r="W44" i="6"/>
  <c r="X44" i="6" s="1"/>
  <c r="Y44" i="6" s="1"/>
  <c r="AA44" i="6" s="1"/>
  <c r="AB44" i="6" s="1"/>
  <c r="AC44" i="6" s="1"/>
  <c r="W41" i="7"/>
  <c r="X41" i="7" s="1"/>
  <c r="Y41" i="7" s="1"/>
  <c r="AA41" i="7" s="1"/>
  <c r="AB41" i="7" s="1"/>
  <c r="AC41" i="7" s="1"/>
  <c r="AP29" i="7"/>
  <c r="AP19" i="5"/>
  <c r="AP28" i="5"/>
  <c r="AP37" i="5"/>
  <c r="AP29" i="6"/>
  <c r="W41" i="6"/>
  <c r="X41" i="6" s="1"/>
  <c r="Y41" i="6" s="1"/>
  <c r="AA41" i="6" s="1"/>
  <c r="AB41" i="6" s="1"/>
  <c r="AC41" i="6" s="1"/>
  <c r="AP30" i="7"/>
  <c r="W42" i="7"/>
  <c r="X42" i="7" s="1"/>
  <c r="Y42" i="7" s="1"/>
  <c r="AA42" i="7" s="1"/>
  <c r="AB42" i="7" s="1"/>
  <c r="AC42" i="7" s="1"/>
  <c r="AP32" i="7"/>
  <c r="W44" i="7"/>
  <c r="X44" i="7" s="1"/>
  <c r="Y44" i="7" s="1"/>
  <c r="AA44" i="7" s="1"/>
  <c r="AB44" i="7" s="1"/>
  <c r="AC44" i="7" s="1"/>
  <c r="X41" i="5"/>
  <c r="Y41" i="5" s="1"/>
  <c r="Z41" i="5" s="1"/>
  <c r="AB41" i="5" s="1"/>
  <c r="AC41" i="5" s="1"/>
  <c r="AD41" i="5" s="1"/>
  <c r="AQ29" i="5"/>
  <c r="AP30" i="6"/>
  <c r="W42" i="6"/>
  <c r="X42" i="6" s="1"/>
  <c r="Y42" i="6" s="1"/>
  <c r="AA42" i="6" s="1"/>
  <c r="AB42" i="6" s="1"/>
  <c r="AC42" i="6" s="1"/>
  <c r="W43" i="6"/>
  <c r="X43" i="6" s="1"/>
  <c r="Y43" i="6" s="1"/>
  <c r="AA43" i="6" s="1"/>
  <c r="AB43" i="6" s="1"/>
  <c r="AC43" i="6" s="1"/>
  <c r="AP31" i="6"/>
  <c r="X42" i="5"/>
  <c r="Y42" i="5" s="1"/>
  <c r="Z42" i="5" s="1"/>
  <c r="AB42" i="5" s="1"/>
  <c r="AC42" i="5" s="1"/>
  <c r="AD42" i="5" s="1"/>
  <c r="AQ30" i="5"/>
  <c r="AO19" i="7"/>
  <c r="AO37" i="7"/>
  <c r="AO28" i="7"/>
  <c r="AQ32" i="5"/>
  <c r="X44" i="5"/>
  <c r="Y44" i="5" s="1"/>
  <c r="Z44" i="5" s="1"/>
  <c r="AB44" i="5" s="1"/>
  <c r="AC44" i="5" s="1"/>
  <c r="AD44" i="5" s="1"/>
  <c r="AQ31" i="5"/>
  <c r="X43" i="5"/>
  <c r="Y43" i="5" s="1"/>
  <c r="Z43" i="5" s="1"/>
  <c r="AB43" i="5" s="1"/>
  <c r="AC43" i="5" s="1"/>
  <c r="AD43" i="5" s="1"/>
  <c r="AF42" i="7" l="1"/>
  <c r="AP21" i="7" s="1"/>
  <c r="AD42" i="7"/>
  <c r="AF41" i="7"/>
  <c r="AP20" i="7" s="1"/>
  <c r="AD41" i="7"/>
  <c r="AF43" i="6"/>
  <c r="AP22" i="6" s="1"/>
  <c r="AD43" i="6"/>
  <c r="AG44" i="5"/>
  <c r="AQ23" i="5" s="1"/>
  <c r="AE44" i="5"/>
  <c r="AG41" i="5"/>
  <c r="AQ20" i="5" s="1"/>
  <c r="AE41" i="5"/>
  <c r="AF44" i="6"/>
  <c r="AP23" i="6" s="1"/>
  <c r="AD44" i="6"/>
  <c r="AF42" i="6"/>
  <c r="AP21" i="6" s="1"/>
  <c r="AD42" i="6"/>
  <c r="AF44" i="7"/>
  <c r="AP23" i="7" s="1"/>
  <c r="AD44" i="7"/>
  <c r="AF41" i="6"/>
  <c r="AP20" i="6" s="1"/>
  <c r="AD41" i="6"/>
  <c r="AG43" i="5"/>
  <c r="AQ22" i="5" s="1"/>
  <c r="AE43" i="5"/>
  <c r="AG42" i="5"/>
  <c r="AQ21" i="5" s="1"/>
  <c r="AE42" i="5"/>
  <c r="AF43" i="7"/>
  <c r="AP22" i="7" s="1"/>
  <c r="AD43" i="7"/>
  <c r="AP40" i="7" l="1"/>
  <c r="AE43" i="7"/>
  <c r="AP16" i="7" s="1"/>
  <c r="V49" i="7"/>
  <c r="AE44" i="7"/>
  <c r="AP17" i="7" s="1"/>
  <c r="AP41" i="7"/>
  <c r="V50" i="7"/>
  <c r="AQ40" i="5"/>
  <c r="AF43" i="5"/>
  <c r="AQ16" i="5" s="1"/>
  <c r="W49" i="5"/>
  <c r="AE44" i="6"/>
  <c r="AP17" i="6" s="1"/>
  <c r="AP41" i="6"/>
  <c r="V50" i="6"/>
  <c r="AQ41" i="5"/>
  <c r="W50" i="5"/>
  <c r="AF44" i="5"/>
  <c r="AQ17" i="5" s="1"/>
  <c r="V47" i="7"/>
  <c r="AP38" i="7"/>
  <c r="AE41" i="7"/>
  <c r="AP14" i="7" s="1"/>
  <c r="AQ39" i="5"/>
  <c r="W48" i="5"/>
  <c r="AF42" i="5"/>
  <c r="AQ15" i="5" s="1"/>
  <c r="V47" i="6"/>
  <c r="AP38" i="6"/>
  <c r="AE41" i="6"/>
  <c r="AP14" i="6" s="1"/>
  <c r="AE42" i="6"/>
  <c r="AP15" i="6" s="1"/>
  <c r="AP39" i="6"/>
  <c r="V48" i="6"/>
  <c r="AF41" i="5"/>
  <c r="AQ14" i="5" s="1"/>
  <c r="W47" i="5"/>
  <c r="AQ38" i="5"/>
  <c r="V49" i="6"/>
  <c r="AP40" i="6"/>
  <c r="AE43" i="6"/>
  <c r="AP16" i="6" s="1"/>
  <c r="AE42" i="7"/>
  <c r="AP15" i="7" s="1"/>
  <c r="AP39" i="7"/>
  <c r="V48" i="7"/>
  <c r="X48" i="5" l="1"/>
  <c r="Y48" i="5" s="1"/>
  <c r="Z48" i="5" s="1"/>
  <c r="AB48" i="5" s="1"/>
  <c r="AC48" i="5" s="1"/>
  <c r="AD48" i="5" s="1"/>
  <c r="AR30" i="5"/>
  <c r="AQ29" i="7"/>
  <c r="W47" i="7"/>
  <c r="X47" i="7" s="1"/>
  <c r="Y47" i="7" s="1"/>
  <c r="AA47" i="7" s="1"/>
  <c r="AB47" i="7" s="1"/>
  <c r="AC47" i="7" s="1"/>
  <c r="AQ32" i="6"/>
  <c r="W50" i="6"/>
  <c r="X50" i="6" s="1"/>
  <c r="Y50" i="6" s="1"/>
  <c r="AA50" i="6" s="1"/>
  <c r="AB50" i="6" s="1"/>
  <c r="AC50" i="6" s="1"/>
  <c r="AQ28" i="5"/>
  <c r="AQ37" i="5"/>
  <c r="AQ19" i="5"/>
  <c r="AQ31" i="7"/>
  <c r="W49" i="7"/>
  <c r="X49" i="7" s="1"/>
  <c r="Y49" i="7" s="1"/>
  <c r="AA49" i="7" s="1"/>
  <c r="AB49" i="7" s="1"/>
  <c r="AC49" i="7" s="1"/>
  <c r="AQ30" i="7"/>
  <c r="W48" i="7"/>
  <c r="X48" i="7" s="1"/>
  <c r="Y48" i="7" s="1"/>
  <c r="AA48" i="7" s="1"/>
  <c r="AB48" i="7" s="1"/>
  <c r="AC48" i="7" s="1"/>
  <c r="AP28" i="7"/>
  <c r="AP19" i="7"/>
  <c r="AP37" i="7"/>
  <c r="AQ31" i="6"/>
  <c r="W49" i="6"/>
  <c r="X49" i="6" s="1"/>
  <c r="Y49" i="6" s="1"/>
  <c r="AA49" i="6" s="1"/>
  <c r="AB49" i="6" s="1"/>
  <c r="AC49" i="6" s="1"/>
  <c r="AQ30" i="6"/>
  <c r="W48" i="6"/>
  <c r="X48" i="6" s="1"/>
  <c r="Y48" i="6" s="1"/>
  <c r="AA48" i="6" s="1"/>
  <c r="AB48" i="6" s="1"/>
  <c r="AC48" i="6" s="1"/>
  <c r="W47" i="6"/>
  <c r="X47" i="6" s="1"/>
  <c r="Y47" i="6" s="1"/>
  <c r="AA47" i="6" s="1"/>
  <c r="AB47" i="6" s="1"/>
  <c r="AC47" i="6" s="1"/>
  <c r="AQ29" i="6"/>
  <c r="AR32" i="5"/>
  <c r="X50" i="5"/>
  <c r="Y50" i="5" s="1"/>
  <c r="Z50" i="5" s="1"/>
  <c r="AB50" i="5" s="1"/>
  <c r="AC50" i="5" s="1"/>
  <c r="AD50" i="5" s="1"/>
  <c r="AQ32" i="7"/>
  <c r="W50" i="7"/>
  <c r="X50" i="7" s="1"/>
  <c r="Y50" i="7" s="1"/>
  <c r="AA50" i="7" s="1"/>
  <c r="AB50" i="7" s="1"/>
  <c r="AC50" i="7" s="1"/>
  <c r="AP28" i="6"/>
  <c r="AP19" i="6"/>
  <c r="AP37" i="6"/>
  <c r="AR29" i="5"/>
  <c r="X47" i="5"/>
  <c r="Y47" i="5" s="1"/>
  <c r="Z47" i="5" s="1"/>
  <c r="AB47" i="5" s="1"/>
  <c r="AC47" i="5" s="1"/>
  <c r="AD47" i="5" s="1"/>
  <c r="AR31" i="5"/>
  <c r="X49" i="5"/>
  <c r="Y49" i="5" s="1"/>
  <c r="Z49" i="5" s="1"/>
  <c r="AB49" i="5" s="1"/>
  <c r="AC49" i="5" s="1"/>
  <c r="AD49" i="5" s="1"/>
  <c r="AG50" i="5" l="1"/>
  <c r="AR23" i="5" s="1"/>
  <c r="AE50" i="5"/>
  <c r="AF48" i="6"/>
  <c r="AQ21" i="6" s="1"/>
  <c r="AD48" i="6"/>
  <c r="AF47" i="7"/>
  <c r="AQ20" i="7" s="1"/>
  <c r="AD47" i="7"/>
  <c r="AF49" i="7"/>
  <c r="AQ22" i="7" s="1"/>
  <c r="AD49" i="7"/>
  <c r="AF50" i="6"/>
  <c r="AQ23" i="6" s="1"/>
  <c r="AD50" i="6"/>
  <c r="AG47" i="5"/>
  <c r="AR20" i="5" s="1"/>
  <c r="AE47" i="5"/>
  <c r="AF50" i="7"/>
  <c r="AQ23" i="7" s="1"/>
  <c r="AD50" i="7"/>
  <c r="AF49" i="6"/>
  <c r="AQ22" i="6" s="1"/>
  <c r="AD49" i="6"/>
  <c r="AG49" i="5"/>
  <c r="AR22" i="5" s="1"/>
  <c r="AE49" i="5"/>
  <c r="AF47" i="6"/>
  <c r="AQ20" i="6" s="1"/>
  <c r="AD47" i="6"/>
  <c r="AF48" i="7"/>
  <c r="AQ21" i="7" s="1"/>
  <c r="AD48" i="7"/>
  <c r="AG48" i="5"/>
  <c r="AR21" i="5" s="1"/>
  <c r="AE48" i="5"/>
  <c r="AF48" i="5" l="1"/>
  <c r="AR15" i="5" s="1"/>
  <c r="W54" i="5"/>
  <c r="AR39" i="5"/>
  <c r="AQ41" i="7"/>
  <c r="AE50" i="7"/>
  <c r="AQ17" i="7" s="1"/>
  <c r="V56" i="7"/>
  <c r="AE47" i="7"/>
  <c r="AQ14" i="7" s="1"/>
  <c r="V53" i="7"/>
  <c r="AQ38" i="7"/>
  <c r="AE48" i="6"/>
  <c r="AQ15" i="6" s="1"/>
  <c r="V54" i="6"/>
  <c r="AQ39" i="6"/>
  <c r="AQ39" i="7"/>
  <c r="AE48" i="7"/>
  <c r="AQ15" i="7" s="1"/>
  <c r="V54" i="7"/>
  <c r="AR40" i="5"/>
  <c r="AF49" i="5"/>
  <c r="AR16" i="5" s="1"/>
  <c r="W55" i="5"/>
  <c r="AE50" i="6"/>
  <c r="AQ17" i="6" s="1"/>
  <c r="V56" i="6"/>
  <c r="AQ41" i="6"/>
  <c r="AF50" i="5"/>
  <c r="AR17" i="5" s="1"/>
  <c r="W56" i="5"/>
  <c r="AR41" i="5"/>
  <c r="AQ40" i="6"/>
  <c r="AE49" i="6"/>
  <c r="AQ16" i="6" s="1"/>
  <c r="V55" i="6"/>
  <c r="AR38" i="5"/>
  <c r="AF47" i="5"/>
  <c r="AR14" i="5" s="1"/>
  <c r="W53" i="5"/>
  <c r="AQ40" i="7"/>
  <c r="AE49" i="7"/>
  <c r="AQ16" i="7" s="1"/>
  <c r="V55" i="7"/>
  <c r="AE47" i="6"/>
  <c r="AQ14" i="6" s="1"/>
  <c r="V53" i="6"/>
  <c r="AQ38" i="6"/>
  <c r="W53" i="6" l="1"/>
  <c r="X53" i="6" s="1"/>
  <c r="Y53" i="6" s="1"/>
  <c r="AA53" i="6" s="1"/>
  <c r="AB53" i="6" s="1"/>
  <c r="AC53" i="6" s="1"/>
  <c r="AR29" i="6"/>
  <c r="AR31" i="6"/>
  <c r="W55" i="6"/>
  <c r="X55" i="6" s="1"/>
  <c r="Y55" i="6" s="1"/>
  <c r="AA55" i="6" s="1"/>
  <c r="AB55" i="6" s="1"/>
  <c r="AC55" i="6" s="1"/>
  <c r="AS32" i="5"/>
  <c r="X56" i="5"/>
  <c r="Y56" i="5" s="1"/>
  <c r="Z56" i="5" s="1"/>
  <c r="AB56" i="5" s="1"/>
  <c r="AC56" i="5" s="1"/>
  <c r="AD56" i="5" s="1"/>
  <c r="W54" i="7"/>
  <c r="X54" i="7" s="1"/>
  <c r="Y54" i="7" s="1"/>
  <c r="AA54" i="7" s="1"/>
  <c r="AB54" i="7" s="1"/>
  <c r="AC54" i="7" s="1"/>
  <c r="AR30" i="7"/>
  <c r="AR30" i="6"/>
  <c r="W54" i="6"/>
  <c r="X54" i="6" s="1"/>
  <c r="Y54" i="6" s="1"/>
  <c r="AA54" i="6" s="1"/>
  <c r="AB54" i="6" s="1"/>
  <c r="AC54" i="6" s="1"/>
  <c r="AQ37" i="7"/>
  <c r="AQ28" i="7"/>
  <c r="AQ19" i="7"/>
  <c r="AR32" i="6"/>
  <c r="W56" i="6"/>
  <c r="X56" i="6" s="1"/>
  <c r="Y56" i="6" s="1"/>
  <c r="AA56" i="6" s="1"/>
  <c r="AB56" i="6" s="1"/>
  <c r="AC56" i="6" s="1"/>
  <c r="AR29" i="7"/>
  <c r="W53" i="7"/>
  <c r="X53" i="7" s="1"/>
  <c r="Y53" i="7" s="1"/>
  <c r="AA53" i="7" s="1"/>
  <c r="AB53" i="7" s="1"/>
  <c r="AC53" i="7" s="1"/>
  <c r="AS29" i="5"/>
  <c r="X53" i="5"/>
  <c r="Y53" i="5" s="1"/>
  <c r="Z53" i="5" s="1"/>
  <c r="AB53" i="5" s="1"/>
  <c r="AC53" i="5" s="1"/>
  <c r="AD53" i="5" s="1"/>
  <c r="AQ19" i="6"/>
  <c r="AQ37" i="6"/>
  <c r="AQ28" i="6"/>
  <c r="AS31" i="5"/>
  <c r="X55" i="5"/>
  <c r="Y55" i="5" s="1"/>
  <c r="Z55" i="5" s="1"/>
  <c r="AB55" i="5" s="1"/>
  <c r="AC55" i="5" s="1"/>
  <c r="AD55" i="5" s="1"/>
  <c r="AR32" i="7"/>
  <c r="W56" i="7"/>
  <c r="X56" i="7" s="1"/>
  <c r="Y56" i="7" s="1"/>
  <c r="AA56" i="7" s="1"/>
  <c r="AB56" i="7" s="1"/>
  <c r="AC56" i="7" s="1"/>
  <c r="AS30" i="5"/>
  <c r="X54" i="5"/>
  <c r="Y54" i="5" s="1"/>
  <c r="Z54" i="5" s="1"/>
  <c r="AB54" i="5" s="1"/>
  <c r="AC54" i="5" s="1"/>
  <c r="AD54" i="5" s="1"/>
  <c r="AR31" i="7"/>
  <c r="W55" i="7"/>
  <c r="X55" i="7" s="1"/>
  <c r="Y55" i="7" s="1"/>
  <c r="AA55" i="7" s="1"/>
  <c r="AB55" i="7" s="1"/>
  <c r="AC55" i="7" s="1"/>
  <c r="AR37" i="5"/>
  <c r="AR28" i="5"/>
  <c r="AR19" i="5"/>
  <c r="AF55" i="6" l="1"/>
  <c r="AR22" i="6" s="1"/>
  <c r="AD55" i="6"/>
  <c r="AG54" i="5"/>
  <c r="AS21" i="5" s="1"/>
  <c r="AE54" i="5"/>
  <c r="AG53" i="5"/>
  <c r="AS20" i="5" s="1"/>
  <c r="AE53" i="5"/>
  <c r="AF56" i="6"/>
  <c r="AR23" i="6" s="1"/>
  <c r="AD56" i="6"/>
  <c r="AF54" i="7"/>
  <c r="AR21" i="7" s="1"/>
  <c r="AD54" i="7"/>
  <c r="AG55" i="5"/>
  <c r="AS22" i="5" s="1"/>
  <c r="AE55" i="5"/>
  <c r="AF55" i="7"/>
  <c r="AR22" i="7" s="1"/>
  <c r="AD55" i="7"/>
  <c r="AF56" i="7"/>
  <c r="AR23" i="7" s="1"/>
  <c r="AD56" i="7"/>
  <c r="AF54" i="6"/>
  <c r="AR21" i="6" s="1"/>
  <c r="AD54" i="6"/>
  <c r="AG56" i="5"/>
  <c r="AS23" i="5" s="1"/>
  <c r="AE56" i="5"/>
  <c r="AF53" i="7"/>
  <c r="AR20" i="7" s="1"/>
  <c r="AD53" i="7"/>
  <c r="AF53" i="6"/>
  <c r="AR20" i="6" s="1"/>
  <c r="AD53" i="6"/>
  <c r="AE53" i="6" l="1"/>
  <c r="AR14" i="6" s="1"/>
  <c r="AR38" i="6"/>
  <c r="AR38" i="7"/>
  <c r="AE53" i="7"/>
  <c r="AR14" i="7" s="1"/>
  <c r="AR39" i="6"/>
  <c r="AE54" i="6"/>
  <c r="AR15" i="6" s="1"/>
  <c r="AR41" i="7"/>
  <c r="AE56" i="7"/>
  <c r="AR17" i="7" s="1"/>
  <c r="AS40" i="5"/>
  <c r="AF55" i="5"/>
  <c r="AS16" i="5" s="1"/>
  <c r="AR41" i="6"/>
  <c r="AE56" i="6"/>
  <c r="AR17" i="6" s="1"/>
  <c r="AE55" i="6"/>
  <c r="AR16" i="6" s="1"/>
  <c r="AR40" i="6"/>
  <c r="AF56" i="5"/>
  <c r="AS17" i="5" s="1"/>
  <c r="AS41" i="5"/>
  <c r="AR39" i="7"/>
  <c r="AE54" i="7"/>
  <c r="AR15" i="7" s="1"/>
  <c r="AS38" i="5"/>
  <c r="AF53" i="5"/>
  <c r="AS14" i="5" s="1"/>
  <c r="AF54" i="5"/>
  <c r="AS15" i="5" s="1"/>
  <c r="AS39" i="5"/>
  <c r="AE55" i="7"/>
  <c r="AR16" i="7" s="1"/>
  <c r="AR40" i="7"/>
  <c r="AR28" i="7" l="1"/>
  <c r="AR19" i="7"/>
  <c r="AR37" i="7"/>
  <c r="AJ44" i="7" s="1"/>
  <c r="AS28" i="5"/>
  <c r="AS19" i="5"/>
  <c r="AS37" i="5"/>
  <c r="AK44" i="5" s="1"/>
  <c r="AR28" i="6"/>
  <c r="AR19" i="6"/>
  <c r="AR37" i="6"/>
  <c r="AJ44" i="6" s="1"/>
  <c r="E11" i="7" l="1"/>
  <c r="AJ35" i="7"/>
  <c r="AK26" i="5"/>
  <c r="H15" i="5"/>
  <c r="H15" i="7"/>
  <c r="AJ26" i="7"/>
  <c r="AJ26" i="6"/>
  <c r="H15" i="6"/>
  <c r="AK35" i="5"/>
  <c r="E11" i="5"/>
  <c r="E11" i="6"/>
  <c r="AJ35" i="6"/>
  <c r="H25" i="6" l="1"/>
  <c r="E6" i="6" s="1"/>
  <c r="H25" i="5"/>
  <c r="E6" i="5" s="1"/>
  <c r="H25" i="7"/>
  <c r="E6" i="7" s="1"/>
  <c r="O135" i="15" l="1"/>
  <c r="E5" i="5"/>
  <c r="J6" i="5"/>
  <c r="E5" i="7"/>
  <c r="J6" i="7"/>
  <c r="C2" i="9" s="1"/>
  <c r="J3" i="5"/>
  <c r="J4" i="5" s="1"/>
  <c r="J6" i="6"/>
  <c r="M6" i="15" s="1"/>
  <c r="C2" i="8" s="1"/>
  <c r="E5" i="6"/>
  <c r="C183" i="8" l="1"/>
  <c r="D183" i="8" s="1"/>
  <c r="C184" i="8"/>
  <c r="D184" i="8" s="1"/>
  <c r="C76" i="8"/>
  <c r="D76" i="8" s="1"/>
  <c r="C200" i="8"/>
  <c r="C202" i="8"/>
  <c r="C201" i="8"/>
  <c r="C224" i="9"/>
  <c r="D224" i="9" s="1"/>
  <c r="C223" i="9"/>
  <c r="D223" i="9" s="1"/>
  <c r="C178" i="9"/>
  <c r="D178" i="9" s="1"/>
  <c r="D66" i="9" s="1"/>
  <c r="C170" i="9"/>
  <c r="D170" i="9" s="1"/>
  <c r="C169" i="9"/>
  <c r="D169" i="9" s="1"/>
  <c r="C174" i="9"/>
  <c r="D174" i="9" s="1"/>
  <c r="D64" i="9" s="1"/>
  <c r="D65" i="9" s="1"/>
  <c r="C173" i="9"/>
  <c r="D173" i="9" s="1"/>
  <c r="C177" i="9"/>
  <c r="D177" i="9" s="1"/>
  <c r="C27" i="9"/>
  <c r="D27" i="9" s="1"/>
  <c r="C26" i="9"/>
  <c r="D26" i="9" s="1"/>
  <c r="C26" i="8"/>
  <c r="C27" i="8"/>
  <c r="C242" i="8"/>
  <c r="D242" i="8" s="1"/>
  <c r="C192" i="8"/>
  <c r="D192" i="8" s="1"/>
  <c r="C176" i="8"/>
  <c r="D176" i="8" s="1"/>
  <c r="C172" i="8"/>
  <c r="D172" i="8" s="1"/>
  <c r="C168" i="8"/>
  <c r="D168" i="8" s="1"/>
  <c r="C163" i="8"/>
  <c r="D163" i="8" s="1"/>
  <c r="C158" i="8"/>
  <c r="D158" i="8" s="1"/>
  <c r="C152" i="8"/>
  <c r="D152" i="8" s="1"/>
  <c r="C146" i="8"/>
  <c r="D146" i="8" s="1"/>
  <c r="C142" i="8"/>
  <c r="D142" i="8" s="1"/>
  <c r="C136" i="8"/>
  <c r="D136" i="8" s="1"/>
  <c r="C130" i="8"/>
  <c r="D130" i="8" s="1"/>
  <c r="D122" i="8"/>
  <c r="C114" i="8"/>
  <c r="D114" i="8" s="1"/>
  <c r="C110" i="8"/>
  <c r="D110" i="8" s="1"/>
  <c r="C101" i="8"/>
  <c r="D101" i="8" s="1"/>
  <c r="C95" i="8"/>
  <c r="D95" i="8" s="1"/>
  <c r="C88" i="8"/>
  <c r="D88" i="8" s="1"/>
  <c r="C84" i="8"/>
  <c r="D84" i="8" s="1"/>
  <c r="C72" i="8"/>
  <c r="D72" i="8" s="1"/>
  <c r="C65" i="8"/>
  <c r="D65" i="8" s="1"/>
  <c r="C60" i="8"/>
  <c r="D60" i="8" s="1"/>
  <c r="C56" i="8"/>
  <c r="D56" i="8" s="1"/>
  <c r="C50" i="8"/>
  <c r="D50" i="8" s="1"/>
  <c r="C45" i="8"/>
  <c r="D45" i="8" s="1"/>
  <c r="C38" i="8"/>
  <c r="D38" i="8" s="1"/>
  <c r="C31" i="8"/>
  <c r="D31" i="8" s="1"/>
  <c r="C19" i="8"/>
  <c r="D19" i="8" s="1"/>
  <c r="C11" i="8"/>
  <c r="D11" i="8" s="1"/>
  <c r="C230" i="8"/>
  <c r="D230" i="8" s="1"/>
  <c r="C188" i="8"/>
  <c r="D188" i="8" s="1"/>
  <c r="C180" i="8"/>
  <c r="D180" i="8" s="1"/>
  <c r="C175" i="8"/>
  <c r="D175" i="8" s="1"/>
  <c r="C166" i="8"/>
  <c r="D166" i="8" s="1"/>
  <c r="C162" i="8"/>
  <c r="D162" i="8" s="1"/>
  <c r="C157" i="8"/>
  <c r="D157" i="8" s="1"/>
  <c r="C151" i="8"/>
  <c r="D151" i="8" s="1"/>
  <c r="C145" i="8"/>
  <c r="D145" i="8" s="1"/>
  <c r="C139" i="8"/>
  <c r="D139" i="8" s="1"/>
  <c r="C135" i="8"/>
  <c r="C129" i="8"/>
  <c r="D129" i="8" s="1"/>
  <c r="D121" i="8"/>
  <c r="C113" i="8"/>
  <c r="D113" i="8" s="1"/>
  <c r="C109" i="8"/>
  <c r="D109" i="8" s="1"/>
  <c r="C100" i="8"/>
  <c r="D100" i="8" s="1"/>
  <c r="C94" i="8"/>
  <c r="D94" i="8" s="1"/>
  <c r="C87" i="8"/>
  <c r="D87" i="8" s="1"/>
  <c r="C83" i="8"/>
  <c r="D83" i="8" s="1"/>
  <c r="C69" i="8"/>
  <c r="D69" i="8" s="1"/>
  <c r="C64" i="8"/>
  <c r="D64" i="8" s="1"/>
  <c r="C59" i="8"/>
  <c r="D59" i="8" s="1"/>
  <c r="C55" i="8"/>
  <c r="D55" i="8" s="1"/>
  <c r="C49" i="8"/>
  <c r="D49" i="8" s="1"/>
  <c r="C42" i="8"/>
  <c r="D42" i="8" s="1"/>
  <c r="C35" i="8"/>
  <c r="D35" i="8" s="1"/>
  <c r="C25" i="8"/>
  <c r="D25" i="8" s="1"/>
  <c r="C18" i="8"/>
  <c r="D18" i="8" s="1"/>
  <c r="C10" i="8"/>
  <c r="D10" i="8" s="1"/>
  <c r="C234" i="8"/>
  <c r="D234" i="8" s="1"/>
  <c r="C193" i="8"/>
  <c r="D193" i="8" s="1"/>
  <c r="C187" i="8"/>
  <c r="D187" i="8" s="1"/>
  <c r="C179" i="8"/>
  <c r="D179" i="8" s="1"/>
  <c r="C174" i="8"/>
  <c r="D174" i="8" s="1"/>
  <c r="C169" i="8"/>
  <c r="D169" i="8" s="1"/>
  <c r="C165" i="8"/>
  <c r="D165" i="8" s="1"/>
  <c r="C160" i="8"/>
  <c r="D160" i="8" s="1"/>
  <c r="C156" i="8"/>
  <c r="D156" i="8" s="1"/>
  <c r="C150" i="8"/>
  <c r="D150" i="8" s="1"/>
  <c r="C144" i="8"/>
  <c r="D144" i="8" s="1"/>
  <c r="C138" i="8"/>
  <c r="D138" i="8" s="1"/>
  <c r="C132" i="8"/>
  <c r="D132" i="8" s="1"/>
  <c r="C128" i="8"/>
  <c r="D128" i="8" s="1"/>
  <c r="C118" i="8"/>
  <c r="D118" i="8" s="1"/>
  <c r="C112" i="8"/>
  <c r="D112" i="8" s="1"/>
  <c r="C106" i="8"/>
  <c r="D106" i="8" s="1"/>
  <c r="C97" i="8"/>
  <c r="D97" i="8" s="1"/>
  <c r="C90" i="8"/>
  <c r="D90" i="8" s="1"/>
  <c r="C86" i="8"/>
  <c r="D86" i="8" s="1"/>
  <c r="C74" i="8"/>
  <c r="D74" i="8" s="1"/>
  <c r="C67" i="8"/>
  <c r="D67" i="8" s="1"/>
  <c r="C62" i="8"/>
  <c r="D62" i="8" s="1"/>
  <c r="C58" i="8"/>
  <c r="D58" i="8" s="1"/>
  <c r="C54" i="8"/>
  <c r="D54" i="8" s="1"/>
  <c r="C47" i="8"/>
  <c r="D47" i="8" s="1"/>
  <c r="C41" i="8"/>
  <c r="D41" i="8" s="1"/>
  <c r="C34" i="8"/>
  <c r="D34" i="8" s="1"/>
  <c r="C24" i="8"/>
  <c r="D24" i="8" s="1"/>
  <c r="C15" i="8"/>
  <c r="D15" i="8" s="1"/>
  <c r="C7" i="8"/>
  <c r="D7" i="8" s="1"/>
  <c r="C238" i="8"/>
  <c r="D238" i="8" s="1"/>
  <c r="C177" i="8"/>
  <c r="D177" i="8" s="1"/>
  <c r="C173" i="8"/>
  <c r="D173" i="8" s="1"/>
  <c r="C164" i="8"/>
  <c r="D164" i="8" s="1"/>
  <c r="C159" i="8"/>
  <c r="D159" i="8" s="1"/>
  <c r="C153" i="8"/>
  <c r="D153" i="8" s="1"/>
  <c r="C149" i="8"/>
  <c r="D149" i="8" s="1"/>
  <c r="C143" i="8"/>
  <c r="D143" i="8" s="1"/>
  <c r="C137" i="8"/>
  <c r="D137" i="8" s="1"/>
  <c r="C131" i="8"/>
  <c r="D131" i="8" s="1"/>
  <c r="D124" i="8"/>
  <c r="C117" i="8"/>
  <c r="D117" i="8" s="1"/>
  <c r="C111" i="8"/>
  <c r="D111" i="8" s="1"/>
  <c r="C102" i="8"/>
  <c r="D102" i="8" s="1"/>
  <c r="C96" i="8"/>
  <c r="D96" i="8" s="1"/>
  <c r="C89" i="8"/>
  <c r="D89" i="8" s="1"/>
  <c r="C85" i="8"/>
  <c r="D85" i="8" s="1"/>
  <c r="C73" i="8"/>
  <c r="D73" i="8" s="1"/>
  <c r="C66" i="8"/>
  <c r="D66" i="8" s="1"/>
  <c r="C61" i="8"/>
  <c r="D61" i="8" s="1"/>
  <c r="C57" i="8"/>
  <c r="D57" i="8" s="1"/>
  <c r="C51" i="8"/>
  <c r="D51" i="8" s="1"/>
  <c r="C46" i="8"/>
  <c r="D46" i="8" s="1"/>
  <c r="C39" i="8"/>
  <c r="D39" i="8" s="1"/>
  <c r="C32" i="8"/>
  <c r="D32" i="8" s="1"/>
  <c r="C23" i="8"/>
  <c r="D23" i="8" s="1"/>
  <c r="C12" i="8"/>
  <c r="D12" i="8" s="1"/>
  <c r="D12" i="9" s="1"/>
  <c r="C7" i="9"/>
  <c r="D7" i="9" s="1"/>
  <c r="D113" i="9"/>
  <c r="C76" i="9"/>
  <c r="D76" i="9" s="1"/>
  <c r="D112" i="9"/>
  <c r="C119" i="9"/>
  <c r="D119" i="9" s="1"/>
  <c r="C10" i="9"/>
  <c r="D10" i="9" s="1"/>
  <c r="C50" i="9"/>
  <c r="D50" i="9" s="1"/>
  <c r="C123" i="9"/>
  <c r="D123" i="9" s="1"/>
  <c r="C165" i="9"/>
  <c r="D165" i="9" s="1"/>
  <c r="C15" i="9"/>
  <c r="D15" i="9" s="1"/>
  <c r="C39" i="9"/>
  <c r="D39" i="9" s="1"/>
  <c r="C105" i="9"/>
  <c r="D105" i="9" s="1"/>
  <c r="C159" i="9"/>
  <c r="D159" i="9" s="1"/>
  <c r="C41" i="9"/>
  <c r="D41" i="9" s="1"/>
  <c r="C108" i="9"/>
  <c r="D108" i="9" s="1"/>
  <c r="C219" i="9"/>
  <c r="D219" i="9" s="1"/>
  <c r="C24" i="9"/>
  <c r="D24" i="9" s="1"/>
  <c r="C97" i="9"/>
  <c r="D97" i="9" s="1"/>
  <c r="C153" i="9"/>
  <c r="D153" i="9" s="1"/>
  <c r="C210" i="9"/>
  <c r="D210" i="9" s="1"/>
  <c r="C84" i="9"/>
  <c r="D84" i="9" s="1"/>
  <c r="C143" i="9"/>
  <c r="D143" i="9" s="1"/>
  <c r="C195" i="9"/>
  <c r="D195" i="9" s="1"/>
  <c r="C60" i="9"/>
  <c r="D60" i="9" s="1"/>
  <c r="C136" i="9"/>
  <c r="D136" i="9" s="1"/>
  <c r="C166" i="9"/>
  <c r="D166" i="9" s="1"/>
  <c r="C62" i="9"/>
  <c r="D62" i="9" s="1"/>
  <c r="C134" i="9"/>
  <c r="D134" i="9" s="1"/>
  <c r="C72" i="9"/>
  <c r="D72" i="9" s="1"/>
  <c r="C49" i="9"/>
  <c r="D49" i="9" s="1"/>
  <c r="C122" i="9"/>
  <c r="D122" i="9" s="1"/>
  <c r="C167" i="9"/>
  <c r="D167" i="9" s="1"/>
  <c r="C12" i="9"/>
  <c r="C59" i="9"/>
  <c r="D59" i="9" s="1"/>
  <c r="C80" i="9"/>
  <c r="D80" i="9" s="1"/>
  <c r="C182" i="9"/>
  <c r="D182" i="9" s="1"/>
  <c r="C51" i="9"/>
  <c r="D51" i="9" s="1"/>
  <c r="C54" i="9"/>
  <c r="D54" i="9" s="1"/>
  <c r="C126" i="9"/>
  <c r="D126" i="9" s="1"/>
  <c r="C57" i="9"/>
  <c r="D57" i="9" s="1"/>
  <c r="C42" i="9"/>
  <c r="D42" i="9" s="1"/>
  <c r="C109" i="9"/>
  <c r="D109" i="9" s="1"/>
  <c r="C160" i="9"/>
  <c r="D160" i="9" s="1"/>
  <c r="C31" i="9"/>
  <c r="D31" i="9" s="1"/>
  <c r="C100" i="9"/>
  <c r="D100" i="9" s="1"/>
  <c r="C209" i="9"/>
  <c r="D209" i="9" s="1"/>
  <c r="C164" i="9"/>
  <c r="D164" i="9" s="1"/>
  <c r="C85" i="9"/>
  <c r="D85" i="9" s="1"/>
  <c r="C147" i="9"/>
  <c r="D147" i="9" s="1"/>
  <c r="C200" i="9"/>
  <c r="D200" i="9" s="1"/>
  <c r="C18" i="9"/>
  <c r="D18" i="9" s="1"/>
  <c r="C197" i="9"/>
  <c r="D197" i="9" s="1"/>
  <c r="C129" i="9"/>
  <c r="D129" i="9" s="1"/>
  <c r="C79" i="9"/>
  <c r="D79" i="9" s="1"/>
  <c r="C140" i="9"/>
  <c r="D140" i="9" s="1"/>
  <c r="C69" i="9"/>
  <c r="D69" i="9" s="1"/>
  <c r="C127" i="9"/>
  <c r="D127" i="9" s="1"/>
  <c r="C23" i="9"/>
  <c r="D23" i="9" s="1"/>
  <c r="C90" i="9"/>
  <c r="D90" i="9" s="1"/>
  <c r="C148" i="9"/>
  <c r="D148" i="9" s="1"/>
  <c r="C201" i="9"/>
  <c r="D201" i="9" s="1"/>
  <c r="C133" i="9"/>
  <c r="D133" i="9" s="1"/>
  <c r="C81" i="9"/>
  <c r="D81" i="9" s="1"/>
  <c r="C142" i="9"/>
  <c r="D142" i="9" s="1"/>
  <c r="C220" i="9"/>
  <c r="D220" i="9" s="1"/>
  <c r="C11" i="9"/>
  <c r="D11" i="9" s="1"/>
  <c r="C82" i="9"/>
  <c r="D82" i="9" s="1"/>
  <c r="C141" i="9"/>
  <c r="D141" i="9" s="1"/>
  <c r="C183" i="9"/>
  <c r="D183" i="9" s="1"/>
  <c r="C56" i="9"/>
  <c r="D56" i="9" s="1"/>
  <c r="C128" i="9"/>
  <c r="D128" i="9" s="1"/>
  <c r="C55" i="9"/>
  <c r="D55" i="9" s="1"/>
  <c r="C45" i="9"/>
  <c r="D45" i="9" s="1"/>
  <c r="C222" i="9"/>
  <c r="D222" i="9" s="1"/>
  <c r="C32" i="9"/>
  <c r="D32" i="9" s="1"/>
  <c r="C101" i="9"/>
  <c r="D101" i="9" s="1"/>
  <c r="C155" i="9"/>
  <c r="D155" i="9" s="1"/>
  <c r="C214" i="9"/>
  <c r="D214" i="9" s="1"/>
  <c r="C34" i="9"/>
  <c r="D34" i="9" s="1"/>
  <c r="C102" i="9"/>
  <c r="D102" i="9" s="1"/>
  <c r="C154" i="9"/>
  <c r="D154" i="9" s="1"/>
  <c r="C213" i="9"/>
  <c r="D213" i="9" s="1"/>
  <c r="C86" i="9"/>
  <c r="D86" i="9" s="1"/>
  <c r="C149" i="9"/>
  <c r="D149" i="9" s="1"/>
  <c r="C202" i="9"/>
  <c r="D202" i="9" s="1"/>
  <c r="C38" i="9"/>
  <c r="D38" i="9" s="1"/>
  <c r="C104" i="9"/>
  <c r="D104" i="9" s="1"/>
  <c r="C156" i="9"/>
  <c r="D156" i="9" s="1"/>
  <c r="C215" i="9"/>
  <c r="D215" i="9" s="1"/>
  <c r="C19" i="9"/>
  <c r="D19" i="9" s="1"/>
  <c r="C91" i="9"/>
  <c r="D91" i="9" s="1"/>
  <c r="C151" i="9"/>
  <c r="D151" i="9" s="1"/>
  <c r="C135" i="9"/>
  <c r="D135" i="9" s="1"/>
  <c r="C25" i="9"/>
  <c r="D25" i="9" s="1"/>
  <c r="C92" i="9"/>
  <c r="D92" i="9" s="1"/>
  <c r="C150" i="9"/>
  <c r="D150" i="9" s="1"/>
  <c r="C205" i="9"/>
  <c r="D205" i="9" s="1"/>
  <c r="C137" i="9"/>
  <c r="D137" i="9" s="1"/>
  <c r="C83" i="9"/>
  <c r="D83" i="9" s="1"/>
  <c r="C144" i="9"/>
  <c r="D144" i="9" s="1"/>
  <c r="C196" i="9"/>
  <c r="D196" i="9" s="1"/>
  <c r="C58" i="9"/>
  <c r="D58" i="9" s="1"/>
  <c r="C130" i="9"/>
  <c r="D130" i="9" s="1"/>
  <c r="C61" i="9"/>
  <c r="D61" i="9" s="1"/>
  <c r="C46" i="9"/>
  <c r="D46" i="9" s="1"/>
  <c r="C120" i="9"/>
  <c r="D120" i="9" s="1"/>
  <c r="C163" i="9"/>
  <c r="D163" i="9" s="1"/>
  <c r="C47" i="9"/>
  <c r="D47" i="9" s="1"/>
  <c r="C121" i="9"/>
  <c r="D121" i="9" s="1"/>
  <c r="C35" i="9"/>
  <c r="D35" i="9" s="1"/>
  <c r="C103" i="9"/>
  <c r="D103" i="9" s="1"/>
  <c r="C157" i="9"/>
  <c r="D157" i="9" s="1"/>
  <c r="C218" i="9"/>
  <c r="D218" i="9" s="1"/>
  <c r="C208" i="9"/>
  <c r="D208" i="9" s="1"/>
  <c r="C239" i="8"/>
  <c r="D239" i="8" s="1"/>
  <c r="C214" i="8"/>
  <c r="D214" i="8" s="1"/>
  <c r="C226" i="8"/>
  <c r="D226" i="8" s="1"/>
  <c r="C227" i="8"/>
  <c r="D227" i="8" s="1"/>
  <c r="C225" i="8"/>
  <c r="D225" i="8" s="1"/>
  <c r="C212" i="8"/>
  <c r="D212" i="8" s="1"/>
  <c r="C213" i="8"/>
  <c r="D213" i="8" s="1"/>
  <c r="C232" i="8"/>
  <c r="D232" i="8" s="1"/>
  <c r="C221" i="8"/>
  <c r="D221" i="8" s="1"/>
  <c r="C220" i="8"/>
  <c r="D220" i="8" s="1"/>
  <c r="C207" i="8"/>
  <c r="D207" i="8" s="1"/>
  <c r="D135" i="8"/>
  <c r="C241" i="8"/>
  <c r="D241" i="8" s="1"/>
  <c r="C217" i="8"/>
  <c r="D217" i="8" s="1"/>
  <c r="C208" i="8"/>
  <c r="D208" i="8" s="1"/>
  <c r="D201" i="8" s="1"/>
  <c r="C209" i="8"/>
  <c r="D209" i="8" s="1"/>
  <c r="C231" i="8"/>
  <c r="D231" i="8" s="1"/>
  <c r="C222" i="8"/>
  <c r="D222" i="8" s="1"/>
  <c r="I12" i="16"/>
  <c r="M12" i="16" s="1"/>
  <c r="I13" i="16"/>
  <c r="M13" i="16" s="1"/>
  <c r="I14" i="16"/>
  <c r="M14" i="16" s="1"/>
  <c r="I15" i="16"/>
  <c r="M15" i="16" s="1"/>
  <c r="I16" i="16"/>
  <c r="M16" i="16" s="1"/>
  <c r="I17" i="16"/>
  <c r="M17" i="16" s="1"/>
  <c r="I18" i="16"/>
  <c r="M18" i="16" s="1"/>
  <c r="I19" i="16"/>
  <c r="M19" i="16" s="1"/>
  <c r="I20" i="16"/>
  <c r="M20" i="16" s="1"/>
  <c r="I21" i="16"/>
  <c r="M21" i="16" s="1"/>
  <c r="I22" i="16"/>
  <c r="M22" i="16" s="1"/>
  <c r="I23" i="16"/>
  <c r="M23" i="16" s="1"/>
  <c r="I31" i="16"/>
  <c r="M31" i="16" s="1"/>
  <c r="I35" i="16"/>
  <c r="M35" i="16" s="1"/>
  <c r="I39" i="16"/>
  <c r="M39" i="16" s="1"/>
  <c r="I43" i="16"/>
  <c r="M43" i="16" s="1"/>
  <c r="I47" i="16"/>
  <c r="M47" i="16" s="1"/>
  <c r="I30" i="16"/>
  <c r="M30" i="16" s="1"/>
  <c r="I34" i="16"/>
  <c r="M34" i="16" s="1"/>
  <c r="I38" i="16"/>
  <c r="M38" i="16" s="1"/>
  <c r="I42" i="16"/>
  <c r="M42" i="16" s="1"/>
  <c r="I46" i="16"/>
  <c r="M46" i="16" s="1"/>
  <c r="I60" i="16"/>
  <c r="M60" i="16" s="1"/>
  <c r="I61" i="16"/>
  <c r="M61" i="16" s="1"/>
  <c r="I62" i="16"/>
  <c r="M62" i="16" s="1"/>
  <c r="I63" i="16"/>
  <c r="M63" i="16" s="1"/>
  <c r="I64" i="16"/>
  <c r="M64" i="16" s="1"/>
  <c r="I65" i="16"/>
  <c r="M65" i="16" s="1"/>
  <c r="I66" i="16"/>
  <c r="M66" i="16" s="1"/>
  <c r="I67" i="16"/>
  <c r="M67" i="16" s="1"/>
  <c r="I68" i="16"/>
  <c r="M68" i="16" s="1"/>
  <c r="I69" i="16"/>
  <c r="M69" i="16" s="1"/>
  <c r="I70" i="16"/>
  <c r="M70" i="16" s="1"/>
  <c r="I33" i="16"/>
  <c r="M33" i="16" s="1"/>
  <c r="I37" i="16"/>
  <c r="M37" i="16" s="1"/>
  <c r="I41" i="16"/>
  <c r="M41" i="16" s="1"/>
  <c r="I45" i="16"/>
  <c r="M45" i="16" s="1"/>
  <c r="I32" i="16"/>
  <c r="M32" i="16" s="1"/>
  <c r="I36" i="16"/>
  <c r="M36" i="16" s="1"/>
  <c r="I40" i="16"/>
  <c r="M40" i="16" s="1"/>
  <c r="I44" i="16"/>
  <c r="M44" i="16" s="1"/>
  <c r="I48" i="16"/>
  <c r="M48" i="16" s="1"/>
  <c r="I49" i="16"/>
  <c r="M49" i="16" s="1"/>
  <c r="I50" i="16"/>
  <c r="M50" i="16" s="1"/>
  <c r="I51" i="16"/>
  <c r="M51" i="16" s="1"/>
  <c r="I52" i="16"/>
  <c r="M52" i="16" s="1"/>
  <c r="I53" i="16"/>
  <c r="M53" i="16" s="1"/>
  <c r="M12" i="15"/>
  <c r="Q12" i="15" s="1"/>
  <c r="M13" i="15"/>
  <c r="Q13" i="15" s="1"/>
  <c r="M14" i="15"/>
  <c r="Q14" i="15" s="1"/>
  <c r="M15" i="15"/>
  <c r="Q15" i="15" s="1"/>
  <c r="M16" i="15"/>
  <c r="Q16" i="15" s="1"/>
  <c r="M17" i="15"/>
  <c r="Q17" i="15" s="1"/>
  <c r="M18" i="15"/>
  <c r="Q18" i="15" s="1"/>
  <c r="M19" i="15"/>
  <c r="Q19" i="15" s="1"/>
  <c r="M20" i="15"/>
  <c r="Q20" i="15" s="1"/>
  <c r="M21" i="15"/>
  <c r="Q21" i="15" s="1"/>
  <c r="M22" i="15"/>
  <c r="Q22" i="15" s="1"/>
  <c r="M23" i="15"/>
  <c r="Q23" i="15" s="1"/>
  <c r="M24" i="15"/>
  <c r="Q24" i="15" s="1"/>
  <c r="M25" i="15"/>
  <c r="Q25" i="15" s="1"/>
  <c r="M26" i="15"/>
  <c r="Q26" i="15" s="1"/>
  <c r="M27" i="15"/>
  <c r="Q27" i="15" s="1"/>
  <c r="M28" i="15"/>
  <c r="Q28" i="15" s="1"/>
  <c r="M29" i="15"/>
  <c r="Q29" i="15" s="1"/>
  <c r="M30" i="15"/>
  <c r="Q30" i="15" s="1"/>
  <c r="M31" i="15"/>
  <c r="Q31" i="15" s="1"/>
  <c r="M32" i="15"/>
  <c r="Q32" i="15" s="1"/>
  <c r="M33" i="15"/>
  <c r="Q33" i="15" s="1"/>
  <c r="M43" i="15"/>
  <c r="Q43" i="15" s="1"/>
  <c r="M47" i="15"/>
  <c r="Q47" i="15" s="1"/>
  <c r="M51" i="15"/>
  <c r="Q51" i="15" s="1"/>
  <c r="M55" i="15"/>
  <c r="Q55" i="15" s="1"/>
  <c r="M95" i="15"/>
  <c r="Q95" i="15" s="1"/>
  <c r="M108" i="15"/>
  <c r="Q108" i="15" s="1"/>
  <c r="M109" i="15"/>
  <c r="Q109" i="15" s="1"/>
  <c r="M110" i="15"/>
  <c r="Q110" i="15" s="1"/>
  <c r="M111" i="15"/>
  <c r="Q111" i="15" s="1"/>
  <c r="M112" i="15"/>
  <c r="Q112" i="15" s="1"/>
  <c r="M113" i="15"/>
  <c r="Q113" i="15" s="1"/>
  <c r="M114" i="15"/>
  <c r="Q114" i="15" s="1"/>
  <c r="M115" i="15"/>
  <c r="Q115" i="15" s="1"/>
  <c r="M116" i="15"/>
  <c r="Q116" i="15" s="1"/>
  <c r="M117" i="15"/>
  <c r="Q117" i="15" s="1"/>
  <c r="M118" i="15"/>
  <c r="Q118" i="15" s="1"/>
  <c r="M119" i="15"/>
  <c r="Q119" i="15" s="1"/>
  <c r="M120" i="15"/>
  <c r="Q120" i="15" s="1"/>
  <c r="M121" i="15"/>
  <c r="Q121" i="15" s="1"/>
  <c r="M122" i="15"/>
  <c r="Q122" i="15" s="1"/>
  <c r="M123" i="15"/>
  <c r="Q123" i="15" s="1"/>
  <c r="M124" i="15"/>
  <c r="Q124" i="15" s="1"/>
  <c r="M125" i="15"/>
  <c r="Q125" i="15" s="1"/>
  <c r="M126" i="15"/>
  <c r="Q126" i="15" s="1"/>
  <c r="M127" i="15"/>
  <c r="Q127" i="15" s="1"/>
  <c r="M128" i="15"/>
  <c r="Q128" i="15" s="1"/>
  <c r="M40" i="15"/>
  <c r="Q40" i="15" s="1"/>
  <c r="M44" i="15"/>
  <c r="Q44" i="15" s="1"/>
  <c r="M48" i="15"/>
  <c r="Q48" i="15" s="1"/>
  <c r="M52" i="15"/>
  <c r="Q52" i="15" s="1"/>
  <c r="M56" i="15"/>
  <c r="Q56" i="15" s="1"/>
  <c r="M59" i="15"/>
  <c r="Q59" i="15" s="1"/>
  <c r="M61" i="15"/>
  <c r="Q61" i="15" s="1"/>
  <c r="M63" i="15"/>
  <c r="Q63" i="15" s="1"/>
  <c r="M65" i="15"/>
  <c r="Q65" i="15" s="1"/>
  <c r="M67" i="15"/>
  <c r="Q67" i="15" s="1"/>
  <c r="M69" i="15"/>
  <c r="Q69" i="15" s="1"/>
  <c r="M71" i="15"/>
  <c r="Q71" i="15" s="1"/>
  <c r="M73" i="15"/>
  <c r="Q73" i="15" s="1"/>
  <c r="M75" i="15"/>
  <c r="Q75" i="15" s="1"/>
  <c r="M77" i="15"/>
  <c r="Q77" i="15" s="1"/>
  <c r="M79" i="15"/>
  <c r="Q79" i="15" s="1"/>
  <c r="M81" i="15"/>
  <c r="Q81" i="15" s="1"/>
  <c r="M83" i="15"/>
  <c r="Q83" i="15" s="1"/>
  <c r="M85" i="15"/>
  <c r="Q85" i="15" s="1"/>
  <c r="M87" i="15"/>
  <c r="Q87" i="15" s="1"/>
  <c r="M89" i="15"/>
  <c r="Q89" i="15" s="1"/>
  <c r="M91" i="15"/>
  <c r="Q91" i="15" s="1"/>
  <c r="M94" i="15"/>
  <c r="Q94" i="15" s="1"/>
  <c r="M41" i="15"/>
  <c r="Q41" i="15" s="1"/>
  <c r="M45" i="15"/>
  <c r="Q45" i="15" s="1"/>
  <c r="M49" i="15"/>
  <c r="Q49" i="15" s="1"/>
  <c r="M53" i="15"/>
  <c r="Q53" i="15" s="1"/>
  <c r="M57" i="15"/>
  <c r="Q57" i="15" s="1"/>
  <c r="M42" i="15"/>
  <c r="Q42" i="15" s="1"/>
  <c r="M46" i="15"/>
  <c r="Q46" i="15" s="1"/>
  <c r="M50" i="15"/>
  <c r="Q50" i="15" s="1"/>
  <c r="M54" i="15"/>
  <c r="Q54" i="15" s="1"/>
  <c r="M58" i="15"/>
  <c r="Q58" i="15" s="1"/>
  <c r="M60" i="15"/>
  <c r="Q60" i="15" s="1"/>
  <c r="M62" i="15"/>
  <c r="Q62" i="15" s="1"/>
  <c r="M64" i="15"/>
  <c r="Q64" i="15" s="1"/>
  <c r="M66" i="15"/>
  <c r="Q66" i="15" s="1"/>
  <c r="M68" i="15"/>
  <c r="Q68" i="15" s="1"/>
  <c r="M70" i="15"/>
  <c r="Q70" i="15" s="1"/>
  <c r="M72" i="15"/>
  <c r="Q72" i="15" s="1"/>
  <c r="M74" i="15"/>
  <c r="Q74" i="15" s="1"/>
  <c r="M76" i="15"/>
  <c r="Q76" i="15" s="1"/>
  <c r="M78" i="15"/>
  <c r="Q78" i="15" s="1"/>
  <c r="M80" i="15"/>
  <c r="Q80" i="15" s="1"/>
  <c r="M82" i="15"/>
  <c r="Q82" i="15" s="1"/>
  <c r="M84" i="15"/>
  <c r="Q84" i="15" s="1"/>
  <c r="M86" i="15"/>
  <c r="Q86" i="15" s="1"/>
  <c r="M88" i="15"/>
  <c r="Q88" i="15" s="1"/>
  <c r="M90" i="15"/>
  <c r="Q90" i="15" s="1"/>
  <c r="M92" i="15"/>
  <c r="Q92" i="15" s="1"/>
  <c r="M96" i="15"/>
  <c r="Q96" i="15" s="1"/>
  <c r="M97" i="15"/>
  <c r="Q97" i="15" s="1"/>
  <c r="M98" i="15"/>
  <c r="Q98" i="15" s="1"/>
  <c r="M99" i="15"/>
  <c r="Q99" i="15" s="1"/>
  <c r="M100" i="15"/>
  <c r="Q100" i="15" s="1"/>
  <c r="M101" i="15"/>
  <c r="Q101" i="15" s="1"/>
  <c r="M93" i="15"/>
  <c r="Q93" i="15" s="1"/>
  <c r="D190" i="8" l="1"/>
  <c r="D189" i="8"/>
  <c r="D181" i="8"/>
  <c r="D182" i="8"/>
  <c r="D186" i="8"/>
  <c r="D185" i="8"/>
  <c r="D200" i="8"/>
  <c r="D202" i="8"/>
  <c r="D191" i="9"/>
  <c r="D192" i="9"/>
  <c r="D190" i="9"/>
  <c r="D74" i="9"/>
  <c r="D179" i="9"/>
  <c r="D180" i="9"/>
  <c r="D172" i="9"/>
  <c r="D171" i="9"/>
  <c r="D73" i="9"/>
  <c r="D175" i="9"/>
  <c r="D176" i="9"/>
  <c r="D27" i="8"/>
  <c r="D26" i="8"/>
  <c r="O101" i="15"/>
  <c r="O80" i="15"/>
  <c r="R80" i="15" s="1"/>
  <c r="O54" i="15"/>
  <c r="R54" i="15" s="1"/>
  <c r="O87" i="15"/>
  <c r="R87" i="15" s="1"/>
  <c r="O71" i="15"/>
  <c r="R71" i="15" s="1"/>
  <c r="O128" i="15"/>
  <c r="R128" i="15" s="1"/>
  <c r="O120" i="15"/>
  <c r="R120" i="15" s="1"/>
  <c r="O47" i="15"/>
  <c r="R47" i="15" s="1"/>
  <c r="O86" i="15"/>
  <c r="R86" i="15" s="1"/>
  <c r="O78" i="15"/>
  <c r="R78" i="15" s="1"/>
  <c r="O62" i="15"/>
  <c r="R62" i="15" s="1"/>
  <c r="O50" i="15"/>
  <c r="R50" i="15" s="1"/>
  <c r="O94" i="15"/>
  <c r="R94" i="15" s="1"/>
  <c r="O85" i="15"/>
  <c r="R85" i="15" s="1"/>
  <c r="O69" i="15"/>
  <c r="R69" i="15" s="1"/>
  <c r="O99" i="15"/>
  <c r="R99" i="15" s="1"/>
  <c r="O92" i="15"/>
  <c r="R92" i="15" s="1"/>
  <c r="O84" i="15"/>
  <c r="R84" i="15" s="1"/>
  <c r="O76" i="15"/>
  <c r="R76" i="15" s="1"/>
  <c r="O68" i="15"/>
  <c r="R68" i="15" s="1"/>
  <c r="O60" i="15"/>
  <c r="R60" i="15" s="1"/>
  <c r="O46" i="15"/>
  <c r="R46" i="15" s="1"/>
  <c r="O49" i="15"/>
  <c r="R49" i="15" s="1"/>
  <c r="O91" i="15"/>
  <c r="R91" i="15" s="1"/>
  <c r="O75" i="15"/>
  <c r="R75" i="15" s="1"/>
  <c r="O67" i="15"/>
  <c r="R67" i="15" s="1"/>
  <c r="O59" i="15"/>
  <c r="R59" i="15" s="1"/>
  <c r="O44" i="15"/>
  <c r="R44" i="15" s="1"/>
  <c r="O122" i="15"/>
  <c r="R122" i="15" s="1"/>
  <c r="O114" i="15"/>
  <c r="R114" i="15" s="1"/>
  <c r="O93" i="15"/>
  <c r="R93" i="15" s="1"/>
  <c r="O98" i="15"/>
  <c r="R98" i="15" s="1"/>
  <c r="O90" i="15"/>
  <c r="R90" i="15" s="1"/>
  <c r="O82" i="15"/>
  <c r="R82" i="15" s="1"/>
  <c r="O74" i="15"/>
  <c r="R74" i="15" s="1"/>
  <c r="O66" i="15"/>
  <c r="R66" i="15" s="1"/>
  <c r="O58" i="15"/>
  <c r="R58" i="15" s="1"/>
  <c r="O42" i="15"/>
  <c r="R42" i="15" s="1"/>
  <c r="O45" i="15"/>
  <c r="R45" i="15" s="1"/>
  <c r="O89" i="15"/>
  <c r="R89" i="15" s="1"/>
  <c r="O81" i="15"/>
  <c r="R81" i="15" s="1"/>
  <c r="O73" i="15"/>
  <c r="R73" i="15" s="1"/>
  <c r="O65" i="15"/>
  <c r="R65" i="15" s="1"/>
  <c r="O56" i="15"/>
  <c r="R56" i="15" s="1"/>
  <c r="O40" i="15"/>
  <c r="O125" i="15"/>
  <c r="R125" i="15" s="1"/>
  <c r="O121" i="15"/>
  <c r="R121" i="15" s="1"/>
  <c r="O117" i="15"/>
  <c r="R117" i="15" s="1"/>
  <c r="O113" i="15"/>
  <c r="R113" i="15" s="1"/>
  <c r="O109" i="15"/>
  <c r="R109" i="15" s="1"/>
  <c r="O51" i="15"/>
  <c r="R51" i="15" s="1"/>
  <c r="O32" i="15"/>
  <c r="R32" i="15" s="1"/>
  <c r="O28" i="15"/>
  <c r="R28" i="15" s="1"/>
  <c r="O24" i="15"/>
  <c r="R24" i="15" s="1"/>
  <c r="O20" i="15"/>
  <c r="R20" i="15" s="1"/>
  <c r="O16" i="15"/>
  <c r="R16" i="15" s="1"/>
  <c r="O12" i="15"/>
  <c r="K50" i="16"/>
  <c r="N50" i="16" s="1"/>
  <c r="K40" i="16"/>
  <c r="N40" i="16" s="1"/>
  <c r="K41" i="16"/>
  <c r="N41" i="16" s="1"/>
  <c r="K69" i="16"/>
  <c r="N69" i="16" s="1"/>
  <c r="K65" i="16"/>
  <c r="N65" i="16" s="1"/>
  <c r="K61" i="16"/>
  <c r="N61" i="16" s="1"/>
  <c r="K38" i="16"/>
  <c r="N38" i="16" s="1"/>
  <c r="K43" i="16"/>
  <c r="N43" i="16" s="1"/>
  <c r="K23" i="16"/>
  <c r="N23" i="16" s="1"/>
  <c r="K19" i="16"/>
  <c r="N19" i="16" s="1"/>
  <c r="K15" i="16"/>
  <c r="N15" i="16" s="1"/>
  <c r="O72" i="15"/>
  <c r="R72" i="15" s="1"/>
  <c r="O52" i="15"/>
  <c r="R52" i="15" s="1"/>
  <c r="O112" i="15"/>
  <c r="R112" i="15" s="1"/>
  <c r="O31" i="15"/>
  <c r="R31" i="15" s="1"/>
  <c r="O27" i="15"/>
  <c r="R27" i="15" s="1"/>
  <c r="O23" i="15"/>
  <c r="R23" i="15" s="1"/>
  <c r="O19" i="15"/>
  <c r="R19" i="15" s="1"/>
  <c r="O15" i="15"/>
  <c r="R15" i="15" s="1"/>
  <c r="K53" i="16"/>
  <c r="N53" i="16" s="1"/>
  <c r="K49" i="16"/>
  <c r="N49" i="16" s="1"/>
  <c r="K36" i="16"/>
  <c r="N36" i="16" s="1"/>
  <c r="K37" i="16"/>
  <c r="N37" i="16" s="1"/>
  <c r="K68" i="16"/>
  <c r="N68" i="16" s="1"/>
  <c r="K64" i="16"/>
  <c r="N64" i="16" s="1"/>
  <c r="K60" i="16"/>
  <c r="K34" i="16"/>
  <c r="N34" i="16" s="1"/>
  <c r="K39" i="16"/>
  <c r="N39" i="16" s="1"/>
  <c r="K22" i="16"/>
  <c r="N22" i="16" s="1"/>
  <c r="K18" i="16"/>
  <c r="N18" i="16" s="1"/>
  <c r="K14" i="16"/>
  <c r="N14" i="16" s="1"/>
  <c r="O97" i="15"/>
  <c r="R97" i="15" s="1"/>
  <c r="O64" i="15"/>
  <c r="R64" i="15" s="1"/>
  <c r="O41" i="15"/>
  <c r="R41" i="15" s="1"/>
  <c r="O63" i="15"/>
  <c r="R63" i="15" s="1"/>
  <c r="O116" i="15"/>
  <c r="R116" i="15" s="1"/>
  <c r="O100" i="15"/>
  <c r="R100" i="15" s="1"/>
  <c r="O70" i="15"/>
  <c r="R70" i="15" s="1"/>
  <c r="O53" i="15"/>
  <c r="R53" i="15" s="1"/>
  <c r="O77" i="15"/>
  <c r="R77" i="15" s="1"/>
  <c r="O61" i="15"/>
  <c r="R61" i="15" s="1"/>
  <c r="O48" i="15"/>
  <c r="R48" i="15" s="1"/>
  <c r="O127" i="15"/>
  <c r="R127" i="15" s="1"/>
  <c r="O123" i="15"/>
  <c r="R123" i="15" s="1"/>
  <c r="O119" i="15"/>
  <c r="R119" i="15" s="1"/>
  <c r="O115" i="15"/>
  <c r="R115" i="15" s="1"/>
  <c r="O111" i="15"/>
  <c r="R111" i="15" s="1"/>
  <c r="O95" i="15"/>
  <c r="R95" i="15" s="1"/>
  <c r="O43" i="15"/>
  <c r="R43" i="15" s="1"/>
  <c r="O30" i="15"/>
  <c r="R30" i="15" s="1"/>
  <c r="O26" i="15"/>
  <c r="R26" i="15" s="1"/>
  <c r="O22" i="15"/>
  <c r="R22" i="15" s="1"/>
  <c r="O18" i="15"/>
  <c r="R18" i="15" s="1"/>
  <c r="O14" i="15"/>
  <c r="R14" i="15" s="1"/>
  <c r="K52" i="16"/>
  <c r="N52" i="16" s="1"/>
  <c r="K48" i="16"/>
  <c r="N48" i="16" s="1"/>
  <c r="K32" i="16"/>
  <c r="N32" i="16" s="1"/>
  <c r="K33" i="16"/>
  <c r="N33" i="16" s="1"/>
  <c r="K67" i="16"/>
  <c r="N67" i="16" s="1"/>
  <c r="K63" i="16"/>
  <c r="N63" i="16" s="1"/>
  <c r="K46" i="16"/>
  <c r="N46" i="16" s="1"/>
  <c r="K30" i="16"/>
  <c r="K35" i="16"/>
  <c r="N35" i="16" s="1"/>
  <c r="K21" i="16"/>
  <c r="N21" i="16" s="1"/>
  <c r="K17" i="16"/>
  <c r="N17" i="16" s="1"/>
  <c r="K13" i="16"/>
  <c r="N13" i="16" s="1"/>
  <c r="O88" i="15"/>
  <c r="R88" i="15" s="1"/>
  <c r="O57" i="15"/>
  <c r="R57" i="15" s="1"/>
  <c r="O79" i="15"/>
  <c r="R79" i="15" s="1"/>
  <c r="O124" i="15"/>
  <c r="R124" i="15" s="1"/>
  <c r="O108" i="15"/>
  <c r="O96" i="15"/>
  <c r="R96" i="15" s="1"/>
  <c r="O83" i="15"/>
  <c r="R83" i="15" s="1"/>
  <c r="O126" i="15"/>
  <c r="R126" i="15" s="1"/>
  <c r="O118" i="15"/>
  <c r="R118" i="15" s="1"/>
  <c r="O110" i="15"/>
  <c r="R110" i="15" s="1"/>
  <c r="O55" i="15"/>
  <c r="R55" i="15" s="1"/>
  <c r="O33" i="15"/>
  <c r="R33" i="15" s="1"/>
  <c r="O29" i="15"/>
  <c r="R29" i="15" s="1"/>
  <c r="O25" i="15"/>
  <c r="R25" i="15" s="1"/>
  <c r="O21" i="15"/>
  <c r="R21" i="15" s="1"/>
  <c r="O17" i="15"/>
  <c r="R17" i="15" s="1"/>
  <c r="O13" i="15"/>
  <c r="R13" i="15" s="1"/>
  <c r="K51" i="16"/>
  <c r="N51" i="16" s="1"/>
  <c r="K44" i="16"/>
  <c r="N44" i="16" s="1"/>
  <c r="K45" i="16"/>
  <c r="N45" i="16" s="1"/>
  <c r="K70" i="16"/>
  <c r="N70" i="16" s="1"/>
  <c r="K66" i="16"/>
  <c r="N66" i="16" s="1"/>
  <c r="K62" i="16"/>
  <c r="N62" i="16" s="1"/>
  <c r="K42" i="16"/>
  <c r="N42" i="16" s="1"/>
  <c r="K47" i="16"/>
  <c r="N47" i="16" s="1"/>
  <c r="K31" i="16"/>
  <c r="N31" i="16" s="1"/>
  <c r="K20" i="16"/>
  <c r="N20" i="16" s="1"/>
  <c r="K16" i="16"/>
  <c r="N16" i="16" s="1"/>
  <c r="K12" i="16"/>
  <c r="O130" i="15" l="1"/>
  <c r="R108" i="15"/>
  <c r="R130" i="15" s="1"/>
  <c r="N30" i="16"/>
  <c r="N55" i="16" s="1"/>
  <c r="K55" i="16"/>
  <c r="N60" i="16"/>
  <c r="N72" i="16" s="1"/>
  <c r="K72" i="16"/>
  <c r="K25" i="16"/>
  <c r="N12" i="16"/>
  <c r="N25" i="16" s="1"/>
  <c r="R40" i="15"/>
  <c r="R103" i="15" s="1"/>
  <c r="O103" i="15"/>
  <c r="O35" i="15"/>
  <c r="R12" i="15"/>
  <c r="R35" i="15" s="1"/>
  <c r="K75" i="16" l="1"/>
  <c r="K76" i="16" s="1"/>
  <c r="O133" i="15"/>
  <c r="O134" i="15" l="1"/>
  <c r="O136" i="15" s="1"/>
  <c r="Q3" i="15" s="1"/>
  <c r="K78" i="16"/>
  <c r="M2" i="16" s="1"/>
</calcChain>
</file>

<file path=xl/comments1.xml><?xml version="1.0" encoding="utf-8"?>
<comments xmlns="http://schemas.openxmlformats.org/spreadsheetml/2006/main">
  <authors>
    <author>Heather Garland</author>
  </authors>
  <commentList>
    <comment ref="D186" authorId="0">
      <text>
        <r>
          <rPr>
            <b/>
            <sz val="9"/>
            <color indexed="81"/>
            <rFont val="Tahoma"/>
            <family val="2"/>
          </rPr>
          <t>Heather Garland:</t>
        </r>
        <r>
          <rPr>
            <sz val="9"/>
            <color indexed="81"/>
            <rFont val="Tahoma"/>
            <family val="2"/>
          </rPr>
          <t xml:space="preserve">
Remove, unallowable expense.</t>
        </r>
      </text>
    </comment>
    <comment ref="B211" authorId="0">
      <text>
        <r>
          <rPr>
            <b/>
            <sz val="9"/>
            <color indexed="81"/>
            <rFont val="Tahoma"/>
            <charset val="1"/>
          </rPr>
          <t>Heather Garland:</t>
        </r>
        <r>
          <rPr>
            <sz val="9"/>
            <color indexed="81"/>
            <rFont val="Tahoma"/>
            <charset val="1"/>
          </rPr>
          <t xml:space="preserve">
WA Dept. of Licensing.</t>
        </r>
      </text>
    </comment>
  </commentList>
</comments>
</file>

<file path=xl/comments2.xml><?xml version="1.0" encoding="utf-8"?>
<comments xmlns="http://schemas.openxmlformats.org/spreadsheetml/2006/main">
  <authors>
    <author>Chelsea Paschke</author>
  </authors>
  <commentList>
    <comment ref="C17" authorId="0">
      <text>
        <r>
          <rPr>
            <b/>
            <sz val="9"/>
            <color indexed="81"/>
            <rFont val="Tahoma"/>
            <family val="2"/>
          </rPr>
          <t xml:space="preserve">Chelsea Paschke:
</t>
        </r>
        <r>
          <rPr>
            <sz val="9"/>
            <color indexed="81"/>
            <rFont val="Tahoma"/>
            <family val="2"/>
          </rPr>
          <t>All worked was performed out of The Dalles and Hood River districts. Work was billed out of this district to appropriately account for taxes as the job was based in Washington.  Revenue from this job was 100% special waste and should not be included in rate filing.</t>
        </r>
      </text>
    </comment>
  </commentList>
</comments>
</file>

<file path=xl/comments3.xml><?xml version="1.0" encoding="utf-8"?>
<comments xmlns="http://schemas.openxmlformats.org/spreadsheetml/2006/main">
  <authors>
    <author>Heather Garland</author>
  </authors>
  <commentList>
    <comment ref="B93" authorId="0">
      <text>
        <r>
          <rPr>
            <b/>
            <sz val="9"/>
            <color indexed="81"/>
            <rFont val="Tahoma"/>
            <family val="2"/>
          </rPr>
          <t>Heather Garland:</t>
        </r>
        <r>
          <rPr>
            <sz val="9"/>
            <color indexed="81"/>
            <rFont val="Tahoma"/>
            <family val="2"/>
          </rPr>
          <t xml:space="preserve">
Carson fish hatchery and Wind River Forest Service.</t>
        </r>
      </text>
    </comment>
  </commentList>
</comments>
</file>

<file path=xl/comments4.xml><?xml version="1.0" encoding="utf-8"?>
<comments xmlns="http://schemas.openxmlformats.org/spreadsheetml/2006/main">
  <authors>
    <author>Heather Garland</author>
  </authors>
  <commentList>
    <comment ref="A199" authorId="0">
      <text>
        <r>
          <rPr>
            <b/>
            <sz val="9"/>
            <color indexed="81"/>
            <rFont val="Tahoma"/>
            <family val="2"/>
          </rPr>
          <t>Heather Garland:</t>
        </r>
        <r>
          <rPr>
            <sz val="9"/>
            <color indexed="81"/>
            <rFont val="Tahoma"/>
            <family val="2"/>
          </rPr>
          <t xml:space="preserve">
Monthly rent will now be broken out separate rather than being embedded in the first pick-up rate.</t>
        </r>
      </text>
    </comment>
  </commentList>
</comments>
</file>

<file path=xl/comments5.xml><?xml version="1.0" encoding="utf-8"?>
<comments xmlns="http://schemas.openxmlformats.org/spreadsheetml/2006/main">
  <authors>
    <author>Heather Garland</author>
  </authors>
  <commentList>
    <comment ref="A189" authorId="0">
      <text>
        <r>
          <rPr>
            <b/>
            <sz val="9"/>
            <color indexed="81"/>
            <rFont val="Tahoma"/>
            <family val="2"/>
          </rPr>
          <t>Heather Garland:</t>
        </r>
        <r>
          <rPr>
            <sz val="9"/>
            <color indexed="81"/>
            <rFont val="Tahoma"/>
            <family val="2"/>
          </rPr>
          <t xml:space="preserve">
Monthly rent will now be broken out separate rather than being embedded in the first pick-up rate.</t>
        </r>
      </text>
    </comment>
  </commentList>
</comments>
</file>

<file path=xl/comments6.xml><?xml version="1.0" encoding="utf-8"?>
<comments xmlns="http://schemas.openxmlformats.org/spreadsheetml/2006/main">
  <authors>
    <author>Chelsea Paschke</author>
    <author>Jennifer Bergheim</author>
  </authors>
  <commentList>
    <comment ref="C32" authorId="0">
      <text>
        <r>
          <rPr>
            <b/>
            <sz val="9"/>
            <color indexed="81"/>
            <rFont val="Tahoma"/>
            <family val="2"/>
          </rPr>
          <t>Chelsea Paschke:</t>
        </r>
        <r>
          <rPr>
            <sz val="9"/>
            <color indexed="81"/>
            <rFont val="Tahoma"/>
            <family val="2"/>
          </rPr>
          <t xml:space="preserve">
Transferred during the year - see tab "Payroll - 2044"
</t>
        </r>
      </text>
    </comment>
    <comment ref="P48" authorId="1">
      <text>
        <r>
          <rPr>
            <b/>
            <sz val="9"/>
            <color indexed="81"/>
            <rFont val="Tahoma"/>
            <family val="2"/>
          </rPr>
          <t>Jennifer Bergheim:</t>
        </r>
        <r>
          <rPr>
            <sz val="9"/>
            <color indexed="81"/>
            <rFont val="Tahoma"/>
            <family val="2"/>
          </rPr>
          <t xml:space="preserve">
GL amounts to be linked to income  statement in pro forma</t>
        </r>
      </text>
    </comment>
  </commentList>
</comments>
</file>

<file path=xl/comments7.xml><?xml version="1.0" encoding="utf-8"?>
<comments xmlns="http://schemas.openxmlformats.org/spreadsheetml/2006/main">
  <authors>
    <author>Ben Thompson</author>
  </authors>
  <commentList>
    <comment ref="G8" authorId="0">
      <text>
        <r>
          <rPr>
            <b/>
            <sz val="9"/>
            <color indexed="81"/>
            <rFont val="Tahoma"/>
            <family val="2"/>
          </rPr>
          <t>Ben Thompson:</t>
        </r>
        <r>
          <rPr>
            <sz val="9"/>
            <color indexed="81"/>
            <rFont val="Tahoma"/>
            <family val="2"/>
          </rPr>
          <t xml:space="preserve">
1/17/2018 5:09:06 PM
Price increased to $71.16.</t>
        </r>
      </text>
    </comment>
  </commentList>
</comments>
</file>

<file path=xl/comments8.xml><?xml version="1.0" encoding="utf-8"?>
<comments xmlns="http://schemas.openxmlformats.org/spreadsheetml/2006/main">
  <authors>
    <author>Chelsea Paschke</author>
  </authors>
  <commentList>
    <comment ref="D54" authorId="0">
      <text>
        <r>
          <rPr>
            <b/>
            <sz val="9"/>
            <color indexed="81"/>
            <rFont val="Tahoma"/>
            <family val="2"/>
          </rPr>
          <t xml:space="preserve">Lindsay Waldram
</t>
        </r>
        <r>
          <rPr>
            <sz val="9"/>
            <color indexed="81"/>
            <rFont val="Tahoma"/>
            <family val="2"/>
          </rPr>
          <t xml:space="preserve">16% is the disallowed portion of the WRRA fees.  Based on prior audit this same percentage is disallowed for corporate dues and subscriptions.  </t>
        </r>
      </text>
    </comment>
  </commentList>
</comments>
</file>

<file path=xl/comments9.xml><?xml version="1.0" encoding="utf-8"?>
<comments xmlns="http://schemas.openxmlformats.org/spreadsheetml/2006/main">
  <authors>
    <author>Heather Garland</author>
  </authors>
  <commentList>
    <comment ref="C23" authorId="0">
      <text>
        <r>
          <rPr>
            <b/>
            <sz val="9"/>
            <color indexed="81"/>
            <rFont val="Tahoma"/>
            <family val="2"/>
          </rPr>
          <t>Heather Garland:</t>
        </r>
        <r>
          <rPr>
            <sz val="9"/>
            <color indexed="81"/>
            <rFont val="Tahoma"/>
            <family val="2"/>
          </rPr>
          <t xml:space="preserve">
From external payroll document. Support can be provided upon request.</t>
        </r>
      </text>
    </comment>
  </commentList>
</comments>
</file>

<file path=xl/sharedStrings.xml><?xml version="1.0" encoding="utf-8"?>
<sst xmlns="http://schemas.openxmlformats.org/spreadsheetml/2006/main" count="3559" uniqueCount="1337">
  <si>
    <t>Consolidated Income Statement</t>
  </si>
  <si>
    <t>UNADJUSTED</t>
  </si>
  <si>
    <t>RESTATING</t>
  </si>
  <si>
    <t>ADJUSTED</t>
  </si>
  <si>
    <t>PRO FORMA</t>
  </si>
  <si>
    <t>FINAL</t>
  </si>
  <si>
    <t>ALLOCATED</t>
  </si>
  <si>
    <t>TOTAL</t>
  </si>
  <si>
    <t>FINANCIALS</t>
  </si>
  <si>
    <t>ADJUSTMENTS</t>
  </si>
  <si>
    <t>Allocator</t>
  </si>
  <si>
    <t>Revenue:</t>
  </si>
  <si>
    <t>Residential</t>
  </si>
  <si>
    <t>RS-1</t>
  </si>
  <si>
    <t>Actual</t>
  </si>
  <si>
    <t xml:space="preserve">Commercial </t>
  </si>
  <si>
    <t>Drop Box</t>
  </si>
  <si>
    <t>Pass Thru</t>
  </si>
  <si>
    <t>Service Charge</t>
  </si>
  <si>
    <t>P-Card Rebate</t>
  </si>
  <si>
    <t>Total</t>
  </si>
  <si>
    <t>Expenses:</t>
  </si>
  <si>
    <t>Building Supplies</t>
  </si>
  <si>
    <t>Rt Hrs</t>
  </si>
  <si>
    <t>Repair-Shop, Bldg</t>
  </si>
  <si>
    <t>Wages Mechanics</t>
  </si>
  <si>
    <t>Salaries</t>
  </si>
  <si>
    <t>Wages-Regular</t>
  </si>
  <si>
    <t>Wages-OT</t>
  </si>
  <si>
    <t>Safety Bonus</t>
  </si>
  <si>
    <t>Other Bonus</t>
  </si>
  <si>
    <t>Vacation Pay</t>
  </si>
  <si>
    <t>Sick Pay</t>
  </si>
  <si>
    <t>Wages Container Mechanics</t>
  </si>
  <si>
    <t>Wages Regular</t>
  </si>
  <si>
    <t>Wages O.T.</t>
  </si>
  <si>
    <t>Safety Bonuses</t>
  </si>
  <si>
    <t>Other Bonus/Commission - Non-Safety</t>
  </si>
  <si>
    <t>Holiday Pay</t>
  </si>
  <si>
    <t>Parts &amp; Materials</t>
  </si>
  <si>
    <t>Operating Supplies</t>
  </si>
  <si>
    <t>Equipment &amp; Maint Rep</t>
  </si>
  <si>
    <t>Total Parts &amp; Materials</t>
  </si>
  <si>
    <t>Outside Repair</t>
  </si>
  <si>
    <t>Accident Repair</t>
  </si>
  <si>
    <t>Damage Paid by District</t>
  </si>
  <si>
    <t>Tires &amp; Tubes</t>
  </si>
  <si>
    <t xml:space="preserve">Other Maint </t>
  </si>
  <si>
    <t>Contract Labor</t>
  </si>
  <si>
    <t>Uniforms</t>
  </si>
  <si>
    <t>Communications</t>
  </si>
  <si>
    <t>Equip/Vehicle Rental</t>
  </si>
  <si>
    <t>Towing</t>
  </si>
  <si>
    <t>Travel</t>
  </si>
  <si>
    <t>Costs Awaiting Capitalization</t>
  </si>
  <si>
    <t>Safety &amp; Training</t>
  </si>
  <si>
    <t>Equipment and Maint Repair</t>
  </si>
  <si>
    <t>Outside Repairs</t>
  </si>
  <si>
    <t>Allocated Exp In - District</t>
  </si>
  <si>
    <t>Drive Cam Fees</t>
  </si>
  <si>
    <t>Wages-Supervisor</t>
  </si>
  <si>
    <t>Salaries-Supervisor</t>
  </si>
  <si>
    <t>RS-5</t>
  </si>
  <si>
    <t>Driver Wages</t>
  </si>
  <si>
    <t>Wages OT</t>
  </si>
  <si>
    <t>Total Driver Wages</t>
  </si>
  <si>
    <t>Fuel &amp; Oil</t>
  </si>
  <si>
    <t>Fuel Expense</t>
  </si>
  <si>
    <t>Oil and Grease</t>
  </si>
  <si>
    <t>Total Fuel and Oil</t>
  </si>
  <si>
    <t>Other Collection Exp</t>
  </si>
  <si>
    <t>Brokerage Cost-Mat Transp</t>
  </si>
  <si>
    <t>Miscellaneous</t>
  </si>
  <si>
    <t>Other Prof Fees</t>
  </si>
  <si>
    <t>Dump Fee and Charges</t>
  </si>
  <si>
    <t>Disposal Landfill</t>
  </si>
  <si>
    <t>RS-2</t>
  </si>
  <si>
    <t>DF Sched</t>
  </si>
  <si>
    <t>Actual Billed</t>
  </si>
  <si>
    <t>Processing Fee</t>
  </si>
  <si>
    <t>Sales</t>
  </si>
  <si>
    <t>WUTC Fee</t>
  </si>
  <si>
    <t>UTC Fee</t>
  </si>
  <si>
    <t>RS-6</t>
  </si>
  <si>
    <t>Revenue</t>
  </si>
  <si>
    <t>Advertising Expense</t>
  </si>
  <si>
    <t>Advertising and Promotions</t>
  </si>
  <si>
    <t>Advertising</t>
  </si>
  <si>
    <t>Advertising Exp</t>
  </si>
  <si>
    <t>Public Liability</t>
  </si>
  <si>
    <t>Self Insurance Premium</t>
  </si>
  <si>
    <t>Workmen's Comp</t>
  </si>
  <si>
    <t>WC Current Year Claims</t>
  </si>
  <si>
    <t>WC Prior Year Claims</t>
  </si>
  <si>
    <t>RS-4</t>
  </si>
  <si>
    <t>WC Premium</t>
  </si>
  <si>
    <t>Bond Exp-WC</t>
  </si>
  <si>
    <t>Salaries - Office</t>
  </si>
  <si>
    <t>Vacation</t>
  </si>
  <si>
    <t>Sick Leave</t>
  </si>
  <si>
    <t>Salaries-Office</t>
  </si>
  <si>
    <t>Management Fee</t>
  </si>
  <si>
    <t>Corp OH Allocation</t>
  </si>
  <si>
    <t>RS-3</t>
  </si>
  <si>
    <t>Office &amp; Other Expense</t>
  </si>
  <si>
    <t>Office Supplies and Equip</t>
  </si>
  <si>
    <t>Postage</t>
  </si>
  <si>
    <t>Security Services</t>
  </si>
  <si>
    <t>Bldg &amp; Property Maint</t>
  </si>
  <si>
    <t>Office Supplies</t>
  </si>
  <si>
    <t>Bank Charges</t>
  </si>
  <si>
    <t>Payroll Processing Fee</t>
  </si>
  <si>
    <t>Data Processing</t>
  </si>
  <si>
    <t>Customer Notification</t>
  </si>
  <si>
    <t>Computer Supplies</t>
  </si>
  <si>
    <t>Credit and Collection</t>
  </si>
  <si>
    <t>NSF Fees</t>
  </si>
  <si>
    <t>Office &amp; Other Exp</t>
  </si>
  <si>
    <t>Legal &amp; Accounting</t>
  </si>
  <si>
    <t>Legal</t>
  </si>
  <si>
    <t>Cust Cnt</t>
  </si>
  <si>
    <t>Utilities</t>
  </si>
  <si>
    <t>Communication</t>
  </si>
  <si>
    <t>Employee Welfare</t>
  </si>
  <si>
    <t>Group Insurance</t>
  </si>
  <si>
    <t>Pension</t>
  </si>
  <si>
    <t>Bad Debt</t>
  </si>
  <si>
    <t>Bad Debt Provision</t>
  </si>
  <si>
    <t>RS-8</t>
  </si>
  <si>
    <t>Bad Debts</t>
  </si>
  <si>
    <t>Other General Expenses</t>
  </si>
  <si>
    <t>Empl &amp; Commun Activ</t>
  </si>
  <si>
    <t>Employee Comm Activity</t>
  </si>
  <si>
    <t>WCN Training</t>
  </si>
  <si>
    <t>Employee Relocation</t>
  </si>
  <si>
    <t>Contributions</t>
  </si>
  <si>
    <t>Alloc Exp In Distr</t>
  </si>
  <si>
    <t>Cell Phones</t>
  </si>
  <si>
    <t>Club Dues</t>
  </si>
  <si>
    <t>Entertainment</t>
  </si>
  <si>
    <t>Lodging</t>
  </si>
  <si>
    <t>Travel Auto</t>
  </si>
  <si>
    <t>Meals</t>
  </si>
  <si>
    <t>Meals with Customers</t>
  </si>
  <si>
    <t>Credit Card Fees</t>
  </si>
  <si>
    <t>External Recruiter Fees</t>
  </si>
  <si>
    <t>Recruitment Advertising &amp; Expenses</t>
  </si>
  <si>
    <t>Recruitment Travel Expenses</t>
  </si>
  <si>
    <t>Other Professional Fees</t>
  </si>
  <si>
    <t>Computer Software</t>
  </si>
  <si>
    <t>Coffee Bar</t>
  </si>
  <si>
    <t>Permits</t>
  </si>
  <si>
    <t>Trade Shows</t>
  </si>
  <si>
    <t>Depreciation, Amortization &amp; Sale of Assets</t>
  </si>
  <si>
    <t>Depreciation Trks</t>
  </si>
  <si>
    <t>RS-7</t>
  </si>
  <si>
    <t>Depr</t>
  </si>
  <si>
    <t>Depreciation Cont, DB</t>
  </si>
  <si>
    <t>Depreciation Service</t>
  </si>
  <si>
    <t>Depreciation Shop</t>
  </si>
  <si>
    <t>Depreciation Office</t>
  </si>
  <si>
    <t>Buildings (Structures)</t>
  </si>
  <si>
    <t>Amortization</t>
  </si>
  <si>
    <t>Operating Tax &amp; Licensing</t>
  </si>
  <si>
    <t>Other Taxes</t>
  </si>
  <si>
    <t>Operating Tax &amp; Lic</t>
  </si>
  <si>
    <t>State Excise Tax</t>
  </si>
  <si>
    <t>Taxes &amp; Pass Thru Fees</t>
  </si>
  <si>
    <t>Vehicle Licenses</t>
  </si>
  <si>
    <t>Licenses</t>
  </si>
  <si>
    <t>Property Tax</t>
  </si>
  <si>
    <t>Payroll Taxes</t>
  </si>
  <si>
    <t>Rent-Land, Structures</t>
  </si>
  <si>
    <t>Real Estate Rental</t>
  </si>
  <si>
    <t>Long Term Contr Amort</t>
  </si>
  <si>
    <t>Total Amort</t>
  </si>
  <si>
    <t>Operating Ratio</t>
  </si>
  <si>
    <t>Net Income (Loss)</t>
  </si>
  <si>
    <t>Average Investment</t>
  </si>
  <si>
    <t>Acct</t>
  </si>
  <si>
    <t>AcctName</t>
  </si>
  <si>
    <t>Act(-11)</t>
  </si>
  <si>
    <t>Act(-10)</t>
  </si>
  <si>
    <t>Act(-9)</t>
  </si>
  <si>
    <t>Act(-8)</t>
  </si>
  <si>
    <t>Act(-7)</t>
  </si>
  <si>
    <t>Act(-6)</t>
  </si>
  <si>
    <t>Act(-5)</t>
  </si>
  <si>
    <t>Act(-4)</t>
  </si>
  <si>
    <t>Act(-3)</t>
  </si>
  <si>
    <t>Act(-2)</t>
  </si>
  <si>
    <t>Act(-1)</t>
  </si>
  <si>
    <t>Act</t>
  </si>
  <si>
    <t>Waste Connections, Inc.</t>
  </si>
  <si>
    <t>Districts/Grouping:</t>
  </si>
  <si>
    <t>2025</t>
  </si>
  <si>
    <t>Exclude IC:</t>
  </si>
  <si>
    <t>IS 210 - PL Review</t>
  </si>
  <si>
    <t/>
  </si>
  <si>
    <t>System:</t>
  </si>
  <si>
    <t>2017-12</t>
  </si>
  <si>
    <t>Category</t>
  </si>
  <si>
    <t>[Fixed][Acct]='98501'</t>
  </si>
  <si>
    <t>Days - Weekdays</t>
  </si>
  <si>
    <t>IS Hauling</t>
  </si>
  <si>
    <t>Hauling Revenue - Roll Off Permanent</t>
  </si>
  <si>
    <t>[!DetailRow]</t>
  </si>
  <si>
    <t>Corporate Roll Off Disposal Charge</t>
  </si>
  <si>
    <t>Hauling Revenue - Roll Off Extras</t>
  </si>
  <si>
    <t>Hauling Revenue - Residential MSW</t>
  </si>
  <si>
    <t>Hauling Revenue - Residential MSW Extras</t>
  </si>
  <si>
    <t>Hauling Revenue - Commercial FEL</t>
  </si>
  <si>
    <t>Hauling Revenue - Commercial FEL Extras</t>
  </si>
  <si>
    <t>Hauling Revenue</t>
  </si>
  <si>
    <t>IS Transfer</t>
  </si>
  <si>
    <t>Transfer and MRF</t>
  </si>
  <si>
    <t>IS MRF</t>
  </si>
  <si>
    <t>Recycling Proceeds</t>
  </si>
  <si>
    <t>IS Landfill</t>
  </si>
  <si>
    <t>Landfill Revenue</t>
  </si>
  <si>
    <t>IS Intermodal</t>
  </si>
  <si>
    <t>Intermodal</t>
  </si>
  <si>
    <t>IS Other Revenue</t>
  </si>
  <si>
    <t>Other Revenue</t>
  </si>
  <si>
    <t>P-Card Rebate Revenue</t>
  </si>
  <si>
    <t>IS Disposal</t>
  </si>
  <si>
    <t>Disposal Transfer Station Intercompany</t>
  </si>
  <si>
    <t>Disposal</t>
  </si>
  <si>
    <t>IS MRF Processing</t>
  </si>
  <si>
    <t>MRF Processing</t>
  </si>
  <si>
    <t>IS BRT</t>
  </si>
  <si>
    <t>Brokerage Cost</t>
  </si>
  <si>
    <t>Taxes and Pass Thru Fees</t>
  </si>
  <si>
    <t>WUTC Taxes</t>
  </si>
  <si>
    <t>Brok. and Taxes</t>
  </si>
  <si>
    <t>IS Recycling Mat</t>
  </si>
  <si>
    <t>Cost of Materials</t>
  </si>
  <si>
    <t>IS Other Expense</t>
  </si>
  <si>
    <t>Other Expense</t>
  </si>
  <si>
    <t>Rev Reductions</t>
  </si>
  <si>
    <t>Net Revenue</t>
  </si>
  <si>
    <t>IS Labor</t>
  </si>
  <si>
    <t>Safety and Training</t>
  </si>
  <si>
    <t>Labor</t>
  </si>
  <si>
    <t>IS Fixed Equipment</t>
  </si>
  <si>
    <t>Truck Fixed</t>
  </si>
  <si>
    <t>IS Truck Variable</t>
  </si>
  <si>
    <t>Parts and Materials</t>
  </si>
  <si>
    <t>Tires</t>
  </si>
  <si>
    <t>Towing Expense</t>
  </si>
  <si>
    <t>Truck Variable</t>
  </si>
  <si>
    <t>IS Container</t>
  </si>
  <si>
    <t>Container Exp</t>
  </si>
  <si>
    <t>IS Supervisor</t>
  </si>
  <si>
    <t>Pension and Profit Sharing</t>
  </si>
  <si>
    <t>Superv. Ex</t>
  </si>
  <si>
    <t>IS OtherOpExp</t>
  </si>
  <si>
    <t>Bldg &amp; Property</t>
  </si>
  <si>
    <t>Real Estate Rentals</t>
  </si>
  <si>
    <t>Drive Cam &amp; Routing SW Fees</t>
  </si>
  <si>
    <t>Property Taxes</t>
  </si>
  <si>
    <t>Bonds Expense</t>
  </si>
  <si>
    <t>Other Operating</t>
  </si>
  <si>
    <t>Closure Exp</t>
  </si>
  <si>
    <t>IS Insurance</t>
  </si>
  <si>
    <t>WC - Current Year Claims</t>
  </si>
  <si>
    <t>Damages paid by District</t>
  </si>
  <si>
    <t>Workers Comp Prem</t>
  </si>
  <si>
    <t>Insurance Exp</t>
  </si>
  <si>
    <t>IS OpDisposal</t>
  </si>
  <si>
    <t>G/L on Ops</t>
  </si>
  <si>
    <t>Cost of Ops</t>
  </si>
  <si>
    <t>Gross Profit</t>
  </si>
  <si>
    <t>IS Sales</t>
  </si>
  <si>
    <t>Sales Exp</t>
  </si>
  <si>
    <t>IS G&amp;A</t>
  </si>
  <si>
    <t>Cellular Telephone</t>
  </si>
  <si>
    <t>Travel - Auto</t>
  </si>
  <si>
    <t>Payroll Processing Fees</t>
  </si>
  <si>
    <t>G&amp;A</t>
  </si>
  <si>
    <t>IS Overhead</t>
  </si>
  <si>
    <t>Corporate Overhead Allocation In</t>
  </si>
  <si>
    <t>Corp Overhead</t>
  </si>
  <si>
    <t>Total SG&amp;A</t>
  </si>
  <si>
    <t>EBITDA</t>
  </si>
  <si>
    <t>Watch list EBITDA</t>
  </si>
  <si>
    <t>IS Depreciation</t>
  </si>
  <si>
    <t>Depreciation</t>
  </si>
  <si>
    <t>IS Depletion</t>
  </si>
  <si>
    <t>Airspace Amort</t>
  </si>
  <si>
    <t>IS Amort</t>
  </si>
  <si>
    <t>Intangible Amort</t>
  </si>
  <si>
    <t>Total DDA</t>
  </si>
  <si>
    <t>EBIT From Ops</t>
  </si>
  <si>
    <t>IS Interest</t>
  </si>
  <si>
    <t>Interest Exp</t>
  </si>
  <si>
    <t>IS Interest Income</t>
  </si>
  <si>
    <t>Interest Income</t>
  </si>
  <si>
    <t>IS OtherIncExp</t>
  </si>
  <si>
    <t>Other Inc/Exp</t>
  </si>
  <si>
    <t>NI b/ Taxes &amp; Extra</t>
  </si>
  <si>
    <t>IS Extraordinary</t>
  </si>
  <si>
    <t>Extra. Items</t>
  </si>
  <si>
    <t>NI b/ Taxes</t>
  </si>
  <si>
    <t>IS Taxes</t>
  </si>
  <si>
    <t>Taxes</t>
  </si>
  <si>
    <t>Net Income</t>
  </si>
  <si>
    <t>IS NoncontrollingExp</t>
  </si>
  <si>
    <t>Non Controlling Int</t>
  </si>
  <si>
    <t>Net Income Attrib</t>
  </si>
  <si>
    <t>[Leftovers]</t>
  </si>
  <si>
    <t>Data Not Included</t>
  </si>
  <si>
    <t>Check</t>
  </si>
  <si>
    <t>Columbia River Disposal, Inc.  G-48 &amp; G-51</t>
  </si>
  <si>
    <t>Ratios Summary Tab</t>
  </si>
  <si>
    <t>Customer Count (Cust)</t>
  </si>
  <si>
    <t>G-48</t>
  </si>
  <si>
    <t>G-51</t>
  </si>
  <si>
    <t>Commercial</t>
  </si>
  <si>
    <t>RO</t>
  </si>
  <si>
    <t>Route Hours (Rt Hrs)</t>
  </si>
  <si>
    <t>Packer</t>
  </si>
  <si>
    <t>Columbia River Disposal, Inc. G-48/G-51</t>
  </si>
  <si>
    <t>Depreciation &amp; Average Investment Summary</t>
  </si>
  <si>
    <t>Beginning</t>
  </si>
  <si>
    <t>Ending</t>
  </si>
  <si>
    <t>Average</t>
  </si>
  <si>
    <t>Cost</t>
  </si>
  <si>
    <t>Salvage</t>
  </si>
  <si>
    <t>Test Year</t>
  </si>
  <si>
    <t>Accum Depr</t>
  </si>
  <si>
    <t>Investment</t>
  </si>
  <si>
    <t>Per IS</t>
  </si>
  <si>
    <t>Difference</t>
  </si>
  <si>
    <t>Trucks</t>
  </si>
  <si>
    <t>Garbage</t>
  </si>
  <si>
    <t>Roll-off</t>
  </si>
  <si>
    <t>Total Trucks</t>
  </si>
  <si>
    <t>Containers</t>
  </si>
  <si>
    <t>Drop Boxes</t>
  </si>
  <si>
    <t>Total Cont, Carts,Totes</t>
  </si>
  <si>
    <t>Service Equipment</t>
  </si>
  <si>
    <t>Shop Equipment</t>
  </si>
  <si>
    <t>Office Equipment</t>
  </si>
  <si>
    <t>Total Equipment</t>
  </si>
  <si>
    <t>!??!</t>
  </si>
  <si>
    <t>OP/RATIO</t>
  </si>
  <si>
    <t xml:space="preserve">      curve</t>
  </si>
  <si>
    <t>NEW IMPROVED LURITO - GALLAGHER FORMULA - Total Company-CRD</t>
  </si>
  <si>
    <t>FORMULAS</t>
  </si>
  <si>
    <t>1st Revenue</t>
  </si>
  <si>
    <t>1st Turnover</t>
  </si>
  <si>
    <t>M</t>
  </si>
  <si>
    <t>ROR</t>
  </si>
  <si>
    <t>ROE</t>
  </si>
  <si>
    <t>Adj ROE</t>
  </si>
  <si>
    <t>Pre Tax ROE</t>
  </si>
  <si>
    <t>Adj M</t>
  </si>
  <si>
    <t>Revenues</t>
  </si>
  <si>
    <t>Decision</t>
  </si>
  <si>
    <t xml:space="preserve">     lookup table</t>
  </si>
  <si>
    <t>!!!</t>
  </si>
  <si>
    <t>Revenue Requirement</t>
  </si>
  <si>
    <t>!!!&lt;--</t>
  </si>
  <si>
    <t xml:space="preserve"> 1. less than 50</t>
  </si>
  <si>
    <t>@EXP(5.72260-(.68367*@LN(T)))</t>
  </si>
  <si>
    <t>Revenue Deficiency</t>
  </si>
  <si>
    <t>Increase</t>
  </si>
  <si>
    <t xml:space="preserve"> 2. Between 50 and 125</t>
  </si>
  <si>
    <t>@EXP(5.70827-(.68367*@LN(T)))</t>
  </si>
  <si>
    <t>*</t>
  </si>
  <si>
    <t>-</t>
  </si>
  <si>
    <t>* p/f before rates</t>
  </si>
  <si>
    <t xml:space="preserve"> 3. Between 125 and 140</t>
  </si>
  <si>
    <t>@EXP(5.69850-(.68367*@LN(T)))</t>
  </si>
  <si>
    <t>Expenses</t>
  </si>
  <si>
    <t xml:space="preserve"> 4. greater than 400</t>
  </si>
  <si>
    <t>@EXP(5.69220-(.68367*@LN(T)))</t>
  </si>
  <si>
    <t>Avg. Investment  -</t>
  </si>
  <si>
    <t>curve turnover</t>
  </si>
  <si>
    <t>(calculated)</t>
  </si>
  <si>
    <t>2nd Turnover</t>
  </si>
  <si>
    <t xml:space="preserve">     lookup tables</t>
  </si>
  <si>
    <t>final turnover</t>
  </si>
  <si>
    <t>curve No. used</t>
  </si>
  <si>
    <t xml:space="preserve">Company actual </t>
  </si>
  <si>
    <t>capital structure:</t>
  </si>
  <si>
    <t>OPERATING RATIO -&gt;</t>
  </si>
  <si>
    <t>3rd Turnover</t>
  </si>
  <si>
    <t xml:space="preserve">Actual Debt Ratio </t>
  </si>
  <si>
    <t xml:space="preserve"> Conversion factor data:</t>
  </si>
  <si>
    <t>Actual Equity Ratio</t>
  </si>
  <si>
    <t xml:space="preserve"> B &amp; O Tax</t>
  </si>
  <si>
    <t>Actual Cost of Debt</t>
  </si>
  <si>
    <t xml:space="preserve"> WUTC Fee</t>
  </si>
  <si>
    <t>Basis Pts</t>
  </si>
  <si>
    <t>Corp OH</t>
  </si>
  <si>
    <t>Tax Rate</t>
  </si>
  <si>
    <t xml:space="preserve"> Bad Debts</t>
  </si>
  <si>
    <t>4th Turnover</t>
  </si>
  <si>
    <t>Revenue Sensitive</t>
  </si>
  <si>
    <t>Conversion Factor</t>
  </si>
  <si>
    <t>yes</t>
  </si>
  <si>
    <t>5th Turnover</t>
  </si>
  <si>
    <t>6th Turnover</t>
  </si>
  <si>
    <t>7th turnover</t>
  </si>
  <si>
    <t>8th turnover</t>
  </si>
  <si>
    <t>9th turnover</t>
  </si>
  <si>
    <t>NEW IMPROVED LURITO - GALLAGHER FORMULA - CRD G-48</t>
  </si>
  <si>
    <t>NEW IMPROVED LURITO - GALLAGHER FORMULA - CRD G-51</t>
  </si>
  <si>
    <t>Columbia River Disposal, Inc. G-48</t>
  </si>
  <si>
    <t>Proposed Rates, Effective 4/1/2018</t>
  </si>
  <si>
    <t>LG</t>
  </si>
  <si>
    <t>5/1/2017 Current Rates</t>
  </si>
  <si>
    <t>Proposed Increase</t>
  </si>
  <si>
    <t>4/1/2018 Proposed Tariff Rate</t>
  </si>
  <si>
    <t>Item 50, Pg 16</t>
  </si>
  <si>
    <t>Returned check charge</t>
  </si>
  <si>
    <t>Item 51, Pg 17</t>
  </si>
  <si>
    <t>Restart Fees</t>
  </si>
  <si>
    <t>Change of Service Fee</t>
  </si>
  <si>
    <t>Redelivery Fee</t>
  </si>
  <si>
    <t>Item 55, Pg 18</t>
  </si>
  <si>
    <t>Over size</t>
  </si>
  <si>
    <t>Item 60, Pg 18</t>
  </si>
  <si>
    <t>Charge per hour</t>
  </si>
  <si>
    <t>Minimum charge</t>
  </si>
  <si>
    <t>Item 70, Pg 19</t>
  </si>
  <si>
    <t>Returned Trip</t>
  </si>
  <si>
    <t>Cans</t>
  </si>
  <si>
    <t>Container</t>
  </si>
  <si>
    <t>45 Gal Toter</t>
  </si>
  <si>
    <t>60 Gal Toter</t>
  </si>
  <si>
    <t>Item 80, Pg 21</t>
  </si>
  <si>
    <t>Carry-outs</t>
  </si>
  <si>
    <t>Can, units 5-25'</t>
  </si>
  <si>
    <t>Can, units +25'</t>
  </si>
  <si>
    <t>Drive-in</t>
  </si>
  <si>
    <t>Driveways over 125" but less than 150'</t>
  </si>
  <si>
    <t>Item 90, Pg 22</t>
  </si>
  <si>
    <t>Stairs (each step up or down)</t>
  </si>
  <si>
    <t>Overhead obstruction</t>
  </si>
  <si>
    <t>Sunken</t>
  </si>
  <si>
    <t>Overheard obstruction</t>
  </si>
  <si>
    <t>Item 100, pg 23</t>
  </si>
  <si>
    <t xml:space="preserve">Mini can </t>
  </si>
  <si>
    <t>Two cans</t>
  </si>
  <si>
    <t>Three cans</t>
  </si>
  <si>
    <t>Four cans</t>
  </si>
  <si>
    <t>Five cans</t>
  </si>
  <si>
    <t>Six cans</t>
  </si>
  <si>
    <t>Gate Charge</t>
  </si>
  <si>
    <t>Item 100, pg 24</t>
  </si>
  <si>
    <t>Extra Units (32 gal)</t>
  </si>
  <si>
    <t>45 Gal</t>
  </si>
  <si>
    <t>60 Gal</t>
  </si>
  <si>
    <t>Item 120, pg 25</t>
  </si>
  <si>
    <t>Item 130, pg 25</t>
  </si>
  <si>
    <t>Item 150, pg 25</t>
  </si>
  <si>
    <t>Bulky</t>
  </si>
  <si>
    <t>Loose material</t>
  </si>
  <si>
    <t>Additional-Bulky</t>
  </si>
  <si>
    <t>Additional</t>
  </si>
  <si>
    <t>Minimum</t>
  </si>
  <si>
    <t xml:space="preserve">Carry Charge </t>
  </si>
  <si>
    <t>Item 160, Pg 26</t>
  </si>
  <si>
    <t>Single Rear Drive Axle</t>
  </si>
  <si>
    <t>Non-packer truck</t>
  </si>
  <si>
    <t>Packer truck</t>
  </si>
  <si>
    <t>Drop-box truck</t>
  </si>
  <si>
    <t>Extra person</t>
  </si>
  <si>
    <t>Tandem Rear Drive Axle</t>
  </si>
  <si>
    <t>Item 205, Pg 28</t>
  </si>
  <si>
    <t>Roll-out charge</t>
  </si>
  <si>
    <t>Container up to 25'</t>
  </si>
  <si>
    <t>Item 210, Pg 30</t>
  </si>
  <si>
    <t>Washing</t>
  </si>
  <si>
    <t>Steam Cleaning</t>
  </si>
  <si>
    <t>Sanitizing</t>
  </si>
  <si>
    <t>Pickup and redelivery, per container</t>
  </si>
  <si>
    <t>Up to 8 yard</t>
  </si>
  <si>
    <t>Over 8 yard</t>
  </si>
  <si>
    <t>Item 230, pg 31</t>
  </si>
  <si>
    <t>Dallesport TFS (in County)</t>
  </si>
  <si>
    <t>Dallesport TFS (out of County)</t>
  </si>
  <si>
    <t>Skamania Cnty TFS</t>
  </si>
  <si>
    <t>Item 240, pg 32</t>
  </si>
  <si>
    <t>Rent:</t>
  </si>
  <si>
    <t>1 yard</t>
  </si>
  <si>
    <t>1.5 yard</t>
  </si>
  <si>
    <t>2 yard</t>
  </si>
  <si>
    <t>3 yard</t>
  </si>
  <si>
    <t>4 yard</t>
  </si>
  <si>
    <t>Hauls:</t>
  </si>
  <si>
    <t>Special Pickups/Temporary Pickups</t>
  </si>
  <si>
    <t>Initial Delivery all sizes</t>
  </si>
  <si>
    <t>Rent Temp Containers</t>
  </si>
  <si>
    <t>Unlocking Charge</t>
  </si>
  <si>
    <t>Item 245, pg 33</t>
  </si>
  <si>
    <t>Scheduled PU</t>
  </si>
  <si>
    <t>Additional Unit</t>
  </si>
  <si>
    <t>Minimum Charge</t>
  </si>
  <si>
    <t>Special Pickup</t>
  </si>
  <si>
    <t>Additional Special Unit</t>
  </si>
  <si>
    <t>Extra Units</t>
  </si>
  <si>
    <t>1-30 gal toter</t>
  </si>
  <si>
    <t>1-45 gal toter</t>
  </si>
  <si>
    <t>1-60 gal toter</t>
  </si>
  <si>
    <t>Item 260, Pg 34</t>
  </si>
  <si>
    <t>Pickups</t>
  </si>
  <si>
    <t>10 yard</t>
  </si>
  <si>
    <t>20 yard</t>
  </si>
  <si>
    <t>30 yard</t>
  </si>
  <si>
    <t>Temporary</t>
  </si>
  <si>
    <t>Initial Delivery (all sizes)</t>
  </si>
  <si>
    <t xml:space="preserve">Rent </t>
  </si>
  <si>
    <t>Excess miles</t>
  </si>
  <si>
    <t>Item 275, Pg 35</t>
  </si>
  <si>
    <t>Permanent, Special, Temporary</t>
  </si>
  <si>
    <t>40 yard</t>
  </si>
  <si>
    <t>Disconnect/Reconnect</t>
  </si>
  <si>
    <t>Columbia River Disposal, Inc. G-51</t>
  </si>
  <si>
    <t>1/1/2017 Current Rates</t>
  </si>
  <si>
    <t>Loose material-Company</t>
  </si>
  <si>
    <t>Additional-Loose-Company</t>
  </si>
  <si>
    <t>Restating Adjustments</t>
  </si>
  <si>
    <t>RS-1: Restate Revenue to Billing Records</t>
  </si>
  <si>
    <t>Restating Adjustment Summary</t>
  </si>
  <si>
    <t>Revenue Adjustments</t>
  </si>
  <si>
    <t>Payroll</t>
  </si>
  <si>
    <t>OH Adjustments</t>
  </si>
  <si>
    <t>Adjust WUTC Fees to Act.</t>
  </si>
  <si>
    <t>Adjust Deprec to UTC Method</t>
  </si>
  <si>
    <t>Adjust Bad Debt</t>
  </si>
  <si>
    <t>Adjust in Other Comp/Expense</t>
  </si>
  <si>
    <t>Total Revenue per Billing</t>
  </si>
  <si>
    <t>RS-2: Restate Payroll Expense for Test Period</t>
  </si>
  <si>
    <t>Building/Grounds Repair</t>
  </si>
  <si>
    <t>Wages-Mechanics</t>
  </si>
  <si>
    <t>Wages-Container Mechanic</t>
  </si>
  <si>
    <t>Pass Through</t>
  </si>
  <si>
    <t>Disposal Incineration</t>
  </si>
  <si>
    <t>Disposal Transfer</t>
  </si>
  <si>
    <t>Processing Fees</t>
  </si>
  <si>
    <t>RS-3: Region &amp; Corp OH Adjustments - Adjust out Unallowable OH Expenses</t>
  </si>
  <si>
    <t>Corporate OH Adjust:</t>
  </si>
  <si>
    <t>Adjusted OH %</t>
  </si>
  <si>
    <t>Sale of Asset</t>
  </si>
  <si>
    <t>Region OH Adjust:</t>
  </si>
  <si>
    <t>Per Calc</t>
  </si>
  <si>
    <t>Adjust</t>
  </si>
  <si>
    <t>Franchise Fees</t>
  </si>
  <si>
    <t>RS-4: Adjust WUTC Fees to actual</t>
  </si>
  <si>
    <t>Regulated Revenue</t>
  </si>
  <si>
    <t>Test Period Fees</t>
  </si>
  <si>
    <t>PER IS</t>
  </si>
  <si>
    <t>Adjustment</t>
  </si>
  <si>
    <t>RS-5: Adjust depreciation to UTC methodology</t>
  </si>
  <si>
    <t>Per UTC</t>
  </si>
  <si>
    <t>RS-6: Adjust Bad Debt to Actual</t>
  </si>
  <si>
    <t>Bad Debt:</t>
  </si>
  <si>
    <t>Write-off</t>
  </si>
  <si>
    <t>Beginning test period</t>
  </si>
  <si>
    <t>Ending test period</t>
  </si>
  <si>
    <t>Recovery</t>
  </si>
  <si>
    <t>Actual write-off expense</t>
  </si>
  <si>
    <t>Income Statement</t>
  </si>
  <si>
    <t>PRO-FORMA RAISES INTO EXPENSE BASE</t>
  </si>
  <si>
    <t>PR-1</t>
  </si>
  <si>
    <t>Restate Wage Increase:</t>
  </si>
  <si>
    <t>Mechanics</t>
  </si>
  <si>
    <t>Supervisor</t>
  </si>
  <si>
    <t>Wage Increase Taxes:</t>
  </si>
  <si>
    <t>Drivers</t>
  </si>
  <si>
    <t>TOTAL PR-1</t>
  </si>
  <si>
    <t>PRO-FORMA KNOWN EXPENSE OF NOTIFYING CUSTOMERS OF RATE INCREASE</t>
  </si>
  <si>
    <t>PR-2</t>
  </si>
  <si>
    <t># of Cust</t>
  </si>
  <si>
    <t>Exp per Cust</t>
  </si>
  <si>
    <t>Expense</t>
  </si>
  <si>
    <t>Commercial Cont</t>
  </si>
  <si>
    <t>Roll-Off</t>
  </si>
  <si>
    <t>Amortize over 24 Months</t>
  </si>
  <si>
    <t>Packer % for LOB Alloc.</t>
  </si>
  <si>
    <t>PRO FORMA IN FUEL EXPENSE</t>
  </si>
  <si>
    <t>PR-3</t>
  </si>
  <si>
    <t>Grand Total</t>
  </si>
  <si>
    <t>Columbia River Disposal, Inc G-48 &amp; G-51</t>
  </si>
  <si>
    <t>Columbia River Disposal, Inc. G-48 &amp; G-51</t>
  </si>
  <si>
    <t>Test Period Ending December 31, 2017</t>
  </si>
  <si>
    <t>Skamania G-48</t>
  </si>
  <si>
    <t>Klickitat G-51</t>
  </si>
  <si>
    <t>Region OH Calculation</t>
  </si>
  <si>
    <t>2017</t>
  </si>
  <si>
    <t>January 1, 2017 - December 31, 2017</t>
  </si>
  <si>
    <t>2017 %</t>
  </si>
  <si>
    <t>District</t>
  </si>
  <si>
    <t>2016 Customer Count</t>
  </si>
  <si>
    <t>Allocation Percentage</t>
  </si>
  <si>
    <t>REGION G&amp;A STATEMENT</t>
  </si>
  <si>
    <t xml:space="preserve">Empire Disposal </t>
  </si>
  <si>
    <t>Adjust Out</t>
  </si>
  <si>
    <t>Adjusted Region</t>
  </si>
  <si>
    <t>Allocation</t>
  </si>
  <si>
    <t>Unallowable</t>
  </si>
  <si>
    <t>OH Allocation</t>
  </si>
  <si>
    <t>Political Contributions</t>
  </si>
  <si>
    <t>Building Operating Expenses (CAM)</t>
  </si>
  <si>
    <t>Registration Fees</t>
  </si>
  <si>
    <t>Dues and Subscriptions</t>
  </si>
  <si>
    <t>Excursions Meetings</t>
  </si>
  <si>
    <t>Gifts to Customers</t>
  </si>
  <si>
    <t>Per GL</t>
  </si>
  <si>
    <t>(A)</t>
  </si>
  <si>
    <t>(A)  Immaterial variance</t>
  </si>
  <si>
    <t>check figure</t>
  </si>
  <si>
    <t>In Districts:</t>
  </si>
  <si>
    <t>1010,1011</t>
  </si>
  <si>
    <t>Subsystem:</t>
  </si>
  <si>
    <t>Company:</t>
  </si>
  <si>
    <t>Corp</t>
  </si>
  <si>
    <t>Currency:</t>
  </si>
  <si>
    <t>USD</t>
  </si>
  <si>
    <t>Income Statement Detail - Eliminated</t>
  </si>
  <si>
    <t xml:space="preserve">Adjustments per </t>
  </si>
  <si>
    <t>Adjusted</t>
  </si>
  <si>
    <t>YTD 12</t>
  </si>
  <si>
    <t>12-Months</t>
  </si>
  <si>
    <t>Ended</t>
  </si>
  <si>
    <t>Non-Allowable</t>
  </si>
  <si>
    <t>Airplane depreciation, as removed on prior rate cases, TG-170036/170037.</t>
  </si>
  <si>
    <t>Termination Pay</t>
  </si>
  <si>
    <t>Remove non-regulated operating assets and R360 assets in TG-130501 and TG-130502</t>
  </si>
  <si>
    <t>Property and Liability Insurance</t>
  </si>
  <si>
    <t>RM Fixed Costs</t>
  </si>
  <si>
    <t>Deferred Comp Earnings</t>
  </si>
  <si>
    <t>Corp Allocated Bonus</t>
  </si>
  <si>
    <t>Corp PR Tax</t>
  </si>
  <si>
    <t>Corporate Office Relocation</t>
  </si>
  <si>
    <t>Plane Parts &amp; Materials</t>
  </si>
  <si>
    <t>Aircraft Lubricants &amp; Consumables</t>
  </si>
  <si>
    <t>Outside Storages</t>
  </si>
  <si>
    <t>Accounting Professional Fees</t>
  </si>
  <si>
    <t>Acquisition Cost Write Off</t>
  </si>
  <si>
    <t>Directors and Officers Insurance</t>
  </si>
  <si>
    <t>Penalties and Violations</t>
  </si>
  <si>
    <t>Board of Directors Fees</t>
  </si>
  <si>
    <t>Board of Directors Expense Report</t>
  </si>
  <si>
    <t xml:space="preserve">     Total Corporate G&amp;A Expenses</t>
  </si>
  <si>
    <t xml:space="preserve">     Total Waste Connections eliminated revenues</t>
  </si>
  <si>
    <t>Regulated Price Out</t>
  </si>
  <si>
    <t>BILL AREAS: CARSON, COOK/UNDERWOOD, N BONNEVILLE, UNICORP STEVENSON, STEVENSON, SKAMANIA, WASHOUGAL</t>
  </si>
  <si>
    <t>Jan 17 - April 17</t>
  </si>
  <si>
    <t>May 17 - Dec 17</t>
  </si>
  <si>
    <t>Service Code</t>
  </si>
  <si>
    <t>Service Code Description</t>
  </si>
  <si>
    <t>Tariff Rate</t>
  </si>
  <si>
    <t>Customers</t>
  </si>
  <si>
    <t>RESIDENTIAL SERVICES</t>
  </si>
  <si>
    <t>RESIDENTIAL GARBAGE</t>
  </si>
  <si>
    <t>20R1W1</t>
  </si>
  <si>
    <t>1-20GAL CAN WEEKLY</t>
  </si>
  <si>
    <t>32R1W1</t>
  </si>
  <si>
    <t>1-32GAL CAN WEEKLY</t>
  </si>
  <si>
    <t>32R1W2</t>
  </si>
  <si>
    <t>2-32GAL CANS WEEKLY</t>
  </si>
  <si>
    <t>32R1W3</t>
  </si>
  <si>
    <t>3-32GAL CANS WEEKLY</t>
  </si>
  <si>
    <t>32R1W4</t>
  </si>
  <si>
    <t>4-32GAL CANS WEEKLY</t>
  </si>
  <si>
    <t>32R1W6</t>
  </si>
  <si>
    <t>6-32 GAL CANS WKLY</t>
  </si>
  <si>
    <t>32R1E1</t>
  </si>
  <si>
    <t>1-32GAL CAN EOW</t>
  </si>
  <si>
    <t>32R1M1</t>
  </si>
  <si>
    <t>1-32GAL CAN MONTHLY</t>
  </si>
  <si>
    <t>45R1W1</t>
  </si>
  <si>
    <t>1-45 GAL CAN WKLY</t>
  </si>
  <si>
    <t>60R1W1</t>
  </si>
  <si>
    <t>1-60GAL CART WEEKLY</t>
  </si>
  <si>
    <t>32R1OC</t>
  </si>
  <si>
    <t>1-32GAL CAN ON CALL</t>
  </si>
  <si>
    <t>EXTRA-RES</t>
  </si>
  <si>
    <t>EXTRA CAN, BAG, BOX - RES</t>
  </si>
  <si>
    <t>OW-RES</t>
  </si>
  <si>
    <t>OVERFILL / OVERWEIGHT CAN</t>
  </si>
  <si>
    <t>OS - RES</t>
  </si>
  <si>
    <t>OVERSIZE CAN - RES</t>
  </si>
  <si>
    <t>RTRIP</t>
  </si>
  <si>
    <t>SPECIAL OFF RTE TRIP FEE</t>
  </si>
  <si>
    <t>BULKY - RES</t>
  </si>
  <si>
    <t>BULKY ITEM PICK UP - RES</t>
  </si>
  <si>
    <t>WI-RES</t>
  </si>
  <si>
    <t>WALK IN/CARRYOUT 5-25FT</t>
  </si>
  <si>
    <t>WI2-RES</t>
  </si>
  <si>
    <t>CARRYOUT OVER 25FT</t>
  </si>
  <si>
    <t>DRIVEIN2-RES</t>
  </si>
  <si>
    <t>DRIVE IN 125FT-150FT - RES</t>
  </si>
  <si>
    <t>DRIVEIN2WK-RES</t>
  </si>
  <si>
    <t>DRIVE IN 125FT-150FT</t>
  </si>
  <si>
    <t>DRIVEIN-RES</t>
  </si>
  <si>
    <t>DRIVE IN - RES</t>
  </si>
  <si>
    <t>ADJ - RES</t>
  </si>
  <si>
    <t>ADJUSTMENT SERVICE - RES</t>
  </si>
  <si>
    <t>TOTAL RESIDENTIAL GARBAGE</t>
  </si>
  <si>
    <t>COMMERCIAL SERVICES</t>
  </si>
  <si>
    <t>COMMERCIAL GARBAGE</t>
  </si>
  <si>
    <t>P1YC1W1</t>
  </si>
  <si>
    <t>1-1YD CONT 1 X WEEKLY</t>
  </si>
  <si>
    <t>P1YC2W1</t>
  </si>
  <si>
    <t>1-1YD CONT 2X WKLY</t>
  </si>
  <si>
    <t>P1YC1W2</t>
  </si>
  <si>
    <t>2-1YD CONT. 1 X WEEKLY</t>
  </si>
  <si>
    <t>P1YCE1</t>
  </si>
  <si>
    <t>1-1YD CONT EOW</t>
  </si>
  <si>
    <t>P1.5YC1W1</t>
  </si>
  <si>
    <t>1-1.5YD CONT 1 X WEEKLY</t>
  </si>
  <si>
    <t>P1.5YC1W2</t>
  </si>
  <si>
    <t>2-1.5YD CONT 1 X WEEKLY</t>
  </si>
  <si>
    <t>P1.5YC2W1</t>
  </si>
  <si>
    <t>1-1.5YD CONT 2 X WEEKLY</t>
  </si>
  <si>
    <t>P1.5YC3W1</t>
  </si>
  <si>
    <t>1-1.5YD CONT 3 X WEEKLY</t>
  </si>
  <si>
    <t>P1.5YCE1</t>
  </si>
  <si>
    <t>1-1.5YD CONT EOW</t>
  </si>
  <si>
    <t>P2YC1W1</t>
  </si>
  <si>
    <t>1-2YD CONT 1 X WEEKLY</t>
  </si>
  <si>
    <t>P2YC1W2</t>
  </si>
  <si>
    <t>2-2YD CONT. 1 X WEEKLY</t>
  </si>
  <si>
    <t>P2YC1W3</t>
  </si>
  <si>
    <t>3-2YD CONT. 1 X WEEKLY</t>
  </si>
  <si>
    <t>P2YC1W4</t>
  </si>
  <si>
    <t>4-2YD CONT 1X WKLY</t>
  </si>
  <si>
    <t>P2YC1W7</t>
  </si>
  <si>
    <t>7-2YD CONT 1X WKLY</t>
  </si>
  <si>
    <t>P2YC2W1</t>
  </si>
  <si>
    <t>1-2YD CONT 2  X WEEKLY</t>
  </si>
  <si>
    <t>P2YC2W2</t>
  </si>
  <si>
    <t>2-2YD CONT 2X WKLY</t>
  </si>
  <si>
    <t>P2YC2W7</t>
  </si>
  <si>
    <t>7-2YD CONT 2X WKLY</t>
  </si>
  <si>
    <t>P2YC3W1</t>
  </si>
  <si>
    <t>1-2YD CONT. 3 X WEEKLY</t>
  </si>
  <si>
    <t>P2YC3W2</t>
  </si>
  <si>
    <t>2-2YD CONT. 3 X WEEKLY</t>
  </si>
  <si>
    <t>P2YC4W1</t>
  </si>
  <si>
    <t>1-2YD CONT. 4 X WEEKLY</t>
  </si>
  <si>
    <t>P2YCE1</t>
  </si>
  <si>
    <t>1-2YD CONT EOW</t>
  </si>
  <si>
    <t>P4YC1W1</t>
  </si>
  <si>
    <t>1-4YD CONT. 1 X WEEKLY</t>
  </si>
  <si>
    <t>P4YCE1</t>
  </si>
  <si>
    <t>1-4YD CONT. EOW</t>
  </si>
  <si>
    <t>R1.5TC-COM</t>
  </si>
  <si>
    <t>1.5 YD TEMP CONT PICKUP</t>
  </si>
  <si>
    <t>R1TC-COM</t>
  </si>
  <si>
    <t>1 YD TEMP CONT PICKUP</t>
  </si>
  <si>
    <t>32C1W1</t>
  </si>
  <si>
    <t>1-32GAL COMM 1 X WEEKLY</t>
  </si>
  <si>
    <t>32C1W2</t>
  </si>
  <si>
    <t>32C1W3</t>
  </si>
  <si>
    <t>32C1W4</t>
  </si>
  <si>
    <t>4-32GAL CANS 1 X WEEKLY</t>
  </si>
  <si>
    <t>32C1E1</t>
  </si>
  <si>
    <t>45C1W1</t>
  </si>
  <si>
    <t>45 GL 1X WK 1 COM</t>
  </si>
  <si>
    <t>EXTRA-COMM</t>
  </si>
  <si>
    <t>EXTRA CAN, BAG, BOX - COM</t>
  </si>
  <si>
    <t>32C1OC</t>
  </si>
  <si>
    <t>1YCOC1</t>
  </si>
  <si>
    <t>1-1YD CONTAINER ON CALL</t>
  </si>
  <si>
    <t>1.5YCOC1</t>
  </si>
  <si>
    <t>1-1.5 CONTAINER ON CALL</t>
  </si>
  <si>
    <t>2YCOC1</t>
  </si>
  <si>
    <t>1-2YD CONTAINER ON CALL</t>
  </si>
  <si>
    <t>BULKY - COMM</t>
  </si>
  <si>
    <t>BULKY ITEM PICK UP - COMM</t>
  </si>
  <si>
    <t>RENT1-COM</t>
  </si>
  <si>
    <t>1 YD CONT RENTAL</t>
  </si>
  <si>
    <t>RENT1TEMP-COM</t>
  </si>
  <si>
    <t>1 YD TEMP CONT RENTAL</t>
  </si>
  <si>
    <t>RENT1.5-COM</t>
  </si>
  <si>
    <t>1.5 YD CONT RENTAL</t>
  </si>
  <si>
    <t>RENT1.5TEMP-COM</t>
  </si>
  <si>
    <t>1.5 YD TEMP CONT RENTAL</t>
  </si>
  <si>
    <t>RENT2-COM</t>
  </si>
  <si>
    <t>2 YD CONT RENTAL</t>
  </si>
  <si>
    <t>RENT2TEMP-COM</t>
  </si>
  <si>
    <t>2 YD TEMP CONT RENTAL</t>
  </si>
  <si>
    <t>RENT4-COM</t>
  </si>
  <si>
    <t>4 YD CONT RENTAL</t>
  </si>
  <si>
    <t>DEL1-COM</t>
  </si>
  <si>
    <t>DELIVER 1 YD</t>
  </si>
  <si>
    <t>DEL1.5-COM</t>
  </si>
  <si>
    <t>DELIVER 1.5 YD</t>
  </si>
  <si>
    <t>DEL2-COM</t>
  </si>
  <si>
    <t>DELIVER 2 YD</t>
  </si>
  <si>
    <t>ACCESS1W-COM</t>
  </si>
  <si>
    <t>ACCESS/GATE FEE 1X WK</t>
  </si>
  <si>
    <t>ACCESS2W-COM</t>
  </si>
  <si>
    <t>ACCESS/GATE FEE 2X WK</t>
  </si>
  <si>
    <t>ACCESSEOW-COM</t>
  </si>
  <si>
    <t>ACCESS/GATE FEE EOW</t>
  </si>
  <si>
    <t>CLOCK</t>
  </si>
  <si>
    <t>COMM LOCK CHARGE</t>
  </si>
  <si>
    <t>CLOCK2W</t>
  </si>
  <si>
    <t>LOCK CHARGE 2X WK</t>
  </si>
  <si>
    <t>CLOCKE</t>
  </si>
  <si>
    <t>LOCK CHARGE EOW</t>
  </si>
  <si>
    <t>CONTRACTEDC</t>
  </si>
  <si>
    <t>CONTRACTED SERVICE - COM</t>
  </si>
  <si>
    <t>WI-COMM</t>
  </si>
  <si>
    <t>WALK IN - COMM</t>
  </si>
  <si>
    <t>DRIVEIN1-COM</t>
  </si>
  <si>
    <t>DRIVE IN UP TO 125FT - COM</t>
  </si>
  <si>
    <t>DRIVEIN2WK-COM</t>
  </si>
  <si>
    <t>ROLL1W-COM</t>
  </si>
  <si>
    <t>ROLL OUT FEE 1X WK</t>
  </si>
  <si>
    <t>ROLL-COM</t>
  </si>
  <si>
    <t>ROLLOUT CONTAINER - COM</t>
  </si>
  <si>
    <t>ROLLEOW-COM</t>
  </si>
  <si>
    <t>ROLL OUT FEE EOW</t>
  </si>
  <si>
    <t>REINSTATE-COMM</t>
  </si>
  <si>
    <t>REINSTATE FEE-COMM</t>
  </si>
  <si>
    <t>ADJ - COMM</t>
  </si>
  <si>
    <t>ADJUSTMENT SERVICE - COMM</t>
  </si>
  <si>
    <t>TOTAL COMMERCIAL GARBAGE</t>
  </si>
  <si>
    <t>DROP BOX SERVICES</t>
  </si>
  <si>
    <t>DROP BOX HAULS/RENTAL</t>
  </si>
  <si>
    <t>HAUL20P-RO</t>
  </si>
  <si>
    <t>HAUL 20 YD</t>
  </si>
  <si>
    <t>HAUL20-RO</t>
  </si>
  <si>
    <t>HAUL30P-RO</t>
  </si>
  <si>
    <t>HAUL 30 YD</t>
  </si>
  <si>
    <t>HAUL30-RO</t>
  </si>
  <si>
    <t>HAUL20ADD-RO</t>
  </si>
  <si>
    <t>ADDITIONAL 20 YD HAUL</t>
  </si>
  <si>
    <t>HAUL30ADD-RO</t>
  </si>
  <si>
    <t>ADDITIONAL 30 YD HAUL</t>
  </si>
  <si>
    <t>HAUL10TEMP-RO</t>
  </si>
  <si>
    <t>HAUL 10 YD TEMPORARY</t>
  </si>
  <si>
    <t>HAUL20TEMP-RO</t>
  </si>
  <si>
    <t>HAUL 20 YD TEMPORARY</t>
  </si>
  <si>
    <t>HAUL30TEMP-RO</t>
  </si>
  <si>
    <t>HAUL 30 YD TEMPORARY</t>
  </si>
  <si>
    <t>20YQCOMPC</t>
  </si>
  <si>
    <t>20YD COMP/CORR HAUL FEE</t>
  </si>
  <si>
    <t>40YCOMPT</t>
  </si>
  <si>
    <t>40YD COMP/TRASH HAUL FEE</t>
  </si>
  <si>
    <t>QDEL</t>
  </si>
  <si>
    <t>DROP BOX DELIVERY</t>
  </si>
  <si>
    <t>DEL-RO</t>
  </si>
  <si>
    <t>DELIVERY FEE - RO</t>
  </si>
  <si>
    <t>QMILE</t>
  </si>
  <si>
    <t>MILEAGE CHARGE</t>
  </si>
  <si>
    <t>QRENT</t>
  </si>
  <si>
    <t>MONTHLY DROP BOX RENTAL</t>
  </si>
  <si>
    <t>RENT20DAY-RO</t>
  </si>
  <si>
    <t>RENTAL 20 YD TEMP</t>
  </si>
  <si>
    <t>RENT20TEMP-RO</t>
  </si>
  <si>
    <t>RENT30DAY-RO</t>
  </si>
  <si>
    <t>RENTAL 30 YD TEMP</t>
  </si>
  <si>
    <t>RENT20MO-RO</t>
  </si>
  <si>
    <t>RENTAL 20 YD</t>
  </si>
  <si>
    <t>RENT30MO-RO</t>
  </si>
  <si>
    <t>RENTAL 30 YD</t>
  </si>
  <si>
    <t>ADJ - RO</t>
  </si>
  <si>
    <t>ADJUSTMENT SERVICE - RO</t>
  </si>
  <si>
    <t>PASSTHROUGH DISPOSAL</t>
  </si>
  <si>
    <t>DISP-RO</t>
  </si>
  <si>
    <t>DISPOSAL CHARGE - RO</t>
  </si>
  <si>
    <t>TOTAL PASSTHROUGH DISPOSAL</t>
  </si>
  <si>
    <t>Service Charges</t>
  </si>
  <si>
    <t>FINCHG</t>
  </si>
  <si>
    <t>FINANCE CHARGE</t>
  </si>
  <si>
    <t>NSF FEES</t>
  </si>
  <si>
    <t>RETURNED CHECK FEE</t>
  </si>
  <si>
    <t>RETCK</t>
  </si>
  <si>
    <t>RETURNED CHECK</t>
  </si>
  <si>
    <t>TOTAL SERVICE CHARGES</t>
  </si>
  <si>
    <t>TOTAL REVENUE</t>
  </si>
  <si>
    <t>BILL AREAS: BINGEN, DALLESPORT, LYLE</t>
  </si>
  <si>
    <t>Types:</t>
  </si>
  <si>
    <t>Balance Sheet Summary</t>
  </si>
  <si>
    <t>Assets</t>
  </si>
  <si>
    <t>Current assets:</t>
  </si>
  <si>
    <t>BS Cash</t>
  </si>
  <si>
    <t>Cash and equivalents</t>
  </si>
  <si>
    <t>BS AR</t>
  </si>
  <si>
    <t>Accounts receivable</t>
  </si>
  <si>
    <t>BS Current Def Asset</t>
  </si>
  <si>
    <t>Current deferred tax assets</t>
  </si>
  <si>
    <t>BS Inventory</t>
  </si>
  <si>
    <t>Inventory</t>
  </si>
  <si>
    <t>BS Prepaid</t>
  </si>
  <si>
    <t>Total current assets</t>
  </si>
  <si>
    <t>BS Fixed Asset</t>
  </si>
  <si>
    <t>Property and equipment</t>
  </si>
  <si>
    <t>BS Goodwill</t>
  </si>
  <si>
    <t>Goodwill</t>
  </si>
  <si>
    <t>BS Intangible</t>
  </si>
  <si>
    <t>Intangible assets</t>
  </si>
  <si>
    <t>BS Restricted</t>
  </si>
  <si>
    <t>Other assets</t>
  </si>
  <si>
    <t>BS Intercompany</t>
  </si>
  <si>
    <t>Intercompany</t>
  </si>
  <si>
    <t>Liabilities and Equity</t>
  </si>
  <si>
    <t>Current liabilities:</t>
  </si>
  <si>
    <t>BS AP</t>
  </si>
  <si>
    <t>Accounts payable</t>
  </si>
  <si>
    <t>BS Overdraft</t>
  </si>
  <si>
    <t>Book overdraft</t>
  </si>
  <si>
    <t>BS Accrued Liabilities</t>
  </si>
  <si>
    <t>Accrued liabilities</t>
  </si>
  <si>
    <t>BS Unearned Revenue</t>
  </si>
  <si>
    <t>Deferred revenue</t>
  </si>
  <si>
    <t>BS Current LTD</t>
  </si>
  <si>
    <t>Current portion of long-term debt</t>
  </si>
  <si>
    <t>Total current liabilities</t>
  </si>
  <si>
    <t>Long-term debt</t>
  </si>
  <si>
    <t>BS Deferred Taxes</t>
  </si>
  <si>
    <t>Deferred income taxes</t>
  </si>
  <si>
    <t>BS Other LTD</t>
  </si>
  <si>
    <t>Other long-term liabilities</t>
  </si>
  <si>
    <t>Total liabilities</t>
  </si>
  <si>
    <t>Equity:</t>
  </si>
  <si>
    <t>BS Common Stock</t>
  </si>
  <si>
    <t>Common stock</t>
  </si>
  <si>
    <t>BS APIC</t>
  </si>
  <si>
    <t>Additional paid-in capital</t>
  </si>
  <si>
    <t>BS Other Equity</t>
  </si>
  <si>
    <t>BS Deferred Comp</t>
  </si>
  <si>
    <t>BS Treasury</t>
  </si>
  <si>
    <t>Treasury stock</t>
  </si>
  <si>
    <t>BS CTA</t>
  </si>
  <si>
    <t>BS RE</t>
  </si>
  <si>
    <t>Retained earnings</t>
  </si>
  <si>
    <t>BS Unrealized Swap Value</t>
  </si>
  <si>
    <t>Accumulated other comprehensive income</t>
  </si>
  <si>
    <t>Total Waste Connections' equity</t>
  </si>
  <si>
    <t>Noncontrolling interests</t>
  </si>
  <si>
    <t>Total equity</t>
  </si>
  <si>
    <t>District:</t>
  </si>
  <si>
    <t>Period 1</t>
  </si>
  <si>
    <t>Currency</t>
  </si>
  <si>
    <t>Closed Year Balance Sheet Period:</t>
  </si>
  <si>
    <t>Current Year Balance Sheet Period:</t>
  </si>
  <si>
    <t>12 Months</t>
  </si>
  <si>
    <t>12/31/2017</t>
  </si>
  <si>
    <t>IS SECELIM Revenue</t>
  </si>
  <si>
    <t>Operating expenses:</t>
  </si>
  <si>
    <t>IS SECELIM CostOps</t>
  </si>
  <si>
    <t xml:space="preserve">     Cost of operations</t>
  </si>
  <si>
    <t>IS SECELIM SG&amp;A</t>
  </si>
  <si>
    <t xml:space="preserve">     Selling, general and administrative</t>
  </si>
  <si>
    <t>IS SECELIM Depreciation</t>
  </si>
  <si>
    <t xml:space="preserve">     Depreciation </t>
  </si>
  <si>
    <t>IS amort</t>
  </si>
  <si>
    <t xml:space="preserve">     Amortization</t>
  </si>
  <si>
    <t>IS OpDisposal,!91005</t>
  </si>
  <si>
    <t xml:space="preserve">     Loss on sale of operations/assets</t>
  </si>
  <si>
    <t xml:space="preserve">     Loss on prior office leases</t>
  </si>
  <si>
    <t>Income from operations</t>
  </si>
  <si>
    <t>Interest expense</t>
  </si>
  <si>
    <t>Interest income</t>
  </si>
  <si>
    <t>Other income (expense), net</t>
  </si>
  <si>
    <t>IS FX Gain Loss</t>
  </si>
  <si>
    <t>Foreign Transaction Exchange (Gain) and Loss</t>
  </si>
  <si>
    <t>Income before tax provision</t>
  </si>
  <si>
    <t>Income tax provision</t>
  </si>
  <si>
    <t>Net income</t>
  </si>
  <si>
    <t xml:space="preserve">Less: net income attributable to </t>
  </si>
  <si>
    <t xml:space="preserve">   noncontrolling interests</t>
  </si>
  <si>
    <t>Net income attributable to WCN</t>
  </si>
  <si>
    <t>Act_Unposted</t>
  </si>
  <si>
    <t>Staged</t>
  </si>
  <si>
    <t>Posted</t>
  </si>
  <si>
    <t>Unposted</t>
  </si>
  <si>
    <t>All</t>
  </si>
  <si>
    <t>BS Close Report</t>
  </si>
  <si>
    <t>(drill)</t>
  </si>
  <si>
    <t>From Epicor - Current Mth Actual BS</t>
  </si>
  <si>
    <t>Three Month BS Trend (from Epicor)</t>
  </si>
  <si>
    <t>Current Mth</t>
  </si>
  <si>
    <t>Change from</t>
  </si>
  <si>
    <t>Prior Period</t>
  </si>
  <si>
    <t>Local Depository Account</t>
  </si>
  <si>
    <t>Proceeds from Sale of Assets</t>
  </si>
  <si>
    <t>Contra Proceeds from Sale of Assets</t>
  </si>
  <si>
    <t>Pay</t>
  </si>
  <si>
    <t>Pay IC - KUBRA Payments</t>
  </si>
  <si>
    <t>Pay ICT Inter District Receipts</t>
  </si>
  <si>
    <t>Refunds - Customer</t>
  </si>
  <si>
    <t>EFT Pymt Clearing</t>
  </si>
  <si>
    <t>Credit Card Pymt Clearing</t>
  </si>
  <si>
    <t>Check &amp; Cash Pymt Clearing</t>
  </si>
  <si>
    <t>Cash</t>
  </si>
  <si>
    <t>Trade A/R Desert Micro</t>
  </si>
  <si>
    <t>Trade A/R Desert Micro Receipts</t>
  </si>
  <si>
    <t>Unbilled Trade A/R</t>
  </si>
  <si>
    <t>Other A/R</t>
  </si>
  <si>
    <t>Provision for Bad Debts</t>
  </si>
  <si>
    <t>Bad Debt Write Offs</t>
  </si>
  <si>
    <t>Bad Debt Collected</t>
  </si>
  <si>
    <t>A/R</t>
  </si>
  <si>
    <t>Prepaid Licenses and Permits</t>
  </si>
  <si>
    <t>Prepaid Vehicle Use Tax</t>
  </si>
  <si>
    <t>Prepaid Property Tax</t>
  </si>
  <si>
    <t>Prepaid Other</t>
  </si>
  <si>
    <t>Prepaids</t>
  </si>
  <si>
    <t>Curr Deferred</t>
  </si>
  <si>
    <t>Current Assets</t>
  </si>
  <si>
    <t>Acquisition Heavy Equipment</t>
  </si>
  <si>
    <t>Sale/Disposition Heavy Equipment</t>
  </si>
  <si>
    <t>Depre Exp Heavy Equipment</t>
  </si>
  <si>
    <t>Cap Ex Trucks</t>
  </si>
  <si>
    <t>Acquisitions Trucks</t>
  </si>
  <si>
    <t>Transfer/Reclass Trucks</t>
  </si>
  <si>
    <t>Sale/Disposition Trucks</t>
  </si>
  <si>
    <t>Depre Exp Trucks</t>
  </si>
  <si>
    <t>Cap Ex Container</t>
  </si>
  <si>
    <t>Acquisition Container</t>
  </si>
  <si>
    <t>Depre Exp Container</t>
  </si>
  <si>
    <t>Acquisition Shop Equipment</t>
  </si>
  <si>
    <t>Depre Exp Shop Equipment</t>
  </si>
  <si>
    <t>Cap Ex Office Equipment</t>
  </si>
  <si>
    <t>Acquisition Office Equipment</t>
  </si>
  <si>
    <t>Depre Exp Office Equipment</t>
  </si>
  <si>
    <t>Cap Ex Computer Equipment</t>
  </si>
  <si>
    <t>Depre Exp Computer Equipment</t>
  </si>
  <si>
    <t>Cap Ex Accruals</t>
  </si>
  <si>
    <t>Fixed Assets</t>
  </si>
  <si>
    <t>BS Notes</t>
  </si>
  <si>
    <t>Notes Rec.</t>
  </si>
  <si>
    <t>Acquisition Goodwill</t>
  </si>
  <si>
    <t>Acquisition Indefinite Lived Intangibles</t>
  </si>
  <si>
    <t>Intangibles</t>
  </si>
  <si>
    <t>BS Deposits</t>
  </si>
  <si>
    <t>Deposits</t>
  </si>
  <si>
    <t>Restricted Funds</t>
  </si>
  <si>
    <t>BS Other Assets</t>
  </si>
  <si>
    <t>Other Assets</t>
  </si>
  <si>
    <t>BS LOC Loan Fees</t>
  </si>
  <si>
    <t>LOC Loan Fees</t>
  </si>
  <si>
    <t>Intercompany Corporate</t>
  </si>
  <si>
    <t>Investment Corporate</t>
  </si>
  <si>
    <t>Total Assets</t>
  </si>
  <si>
    <t>BS ST Contengent Considerations</t>
  </si>
  <si>
    <t>ST Contingent</t>
  </si>
  <si>
    <t>Curr Portion LTD</t>
  </si>
  <si>
    <t>AP - Accrued</t>
  </si>
  <si>
    <t>AP - Accrued CAPEX</t>
  </si>
  <si>
    <t>AP - Accrued Procurement Card</t>
  </si>
  <si>
    <t>AP - Sales Tax</t>
  </si>
  <si>
    <t>Pass Thru Taxes</t>
  </si>
  <si>
    <t>WUTC Tax Payable</t>
  </si>
  <si>
    <t>AP - Other Taxes</t>
  </si>
  <si>
    <t>A/P</t>
  </si>
  <si>
    <t>Unearned Revenue</t>
  </si>
  <si>
    <t>Unearned Rev</t>
  </si>
  <si>
    <t>Accrued Liabilities Wages Commissions</t>
  </si>
  <si>
    <t>Vacation Accrual</t>
  </si>
  <si>
    <t>Accrued Liabilities Safety Bonus</t>
  </si>
  <si>
    <t>Accrued Liabilities Ins. - Workers Comp</t>
  </si>
  <si>
    <t>Accrued Liabilities - Property Tax</t>
  </si>
  <si>
    <t>Accrued Liab</t>
  </si>
  <si>
    <t>Current Liab</t>
  </si>
  <si>
    <t>BS LTD</t>
  </si>
  <si>
    <t>LTD</t>
  </si>
  <si>
    <t>Overdraft</t>
  </si>
  <si>
    <t>Other LTD</t>
  </si>
  <si>
    <t>BS LT Contengent Considerations</t>
  </si>
  <si>
    <t>LT Contingent</t>
  </si>
  <si>
    <t>Deferred Taxes</t>
  </si>
  <si>
    <t>BS NonControlling</t>
  </si>
  <si>
    <t>Minority Int</t>
  </si>
  <si>
    <t>BS Loan Fees</t>
  </si>
  <si>
    <t>Loan Fees</t>
  </si>
  <si>
    <t>Total Liabilities</t>
  </si>
  <si>
    <t>Common Stock</t>
  </si>
  <si>
    <t>Other Equity</t>
  </si>
  <si>
    <t>Deferred Comp</t>
  </si>
  <si>
    <t>Unrealized Swap Val</t>
  </si>
  <si>
    <t>APIC</t>
  </si>
  <si>
    <t>Treasury</t>
  </si>
  <si>
    <t>Cumulative translation adjustment</t>
  </si>
  <si>
    <t>Retained Earnings</t>
  </si>
  <si>
    <t>Total Liab &amp; Equity</t>
  </si>
  <si>
    <t>BS Balance</t>
  </si>
  <si>
    <t>2016-12</t>
  </si>
  <si>
    <t>Payroll Cash Account</t>
  </si>
  <si>
    <t>Trade A/R</t>
  </si>
  <si>
    <t>Acquisition Bad Debt Reserve</t>
  </si>
  <si>
    <t>Inventory Tires</t>
  </si>
  <si>
    <t>Prepaid Advertising</t>
  </si>
  <si>
    <t>Cap Ex Construction in Process</t>
  </si>
  <si>
    <t>TG-171140</t>
  </si>
  <si>
    <t>Reference Sheet</t>
  </si>
  <si>
    <t>Monthly Factor</t>
  </si>
  <si>
    <t>Pickups:</t>
  </si>
  <si>
    <t>1 unit</t>
  </si>
  <si>
    <t>2 units</t>
  </si>
  <si>
    <t>3 units</t>
  </si>
  <si>
    <t>4 units</t>
  </si>
  <si>
    <t>5 units</t>
  </si>
  <si>
    <t>6 units</t>
  </si>
  <si>
    <t>7 unit</t>
  </si>
  <si>
    <t>5 Times per Week</t>
  </si>
  <si>
    <t>4 Times per Week</t>
  </si>
  <si>
    <t>3 Times per Week</t>
  </si>
  <si>
    <t>2 Times per Week</t>
  </si>
  <si>
    <t>Weekly Pickup (WG)</t>
  </si>
  <si>
    <t>Every Other Week (EOWG)</t>
  </si>
  <si>
    <t>Monthly (MG)</t>
  </si>
  <si>
    <t>Meeks Weights</t>
  </si>
  <si>
    <t>Res'l</t>
  </si>
  <si>
    <t>Pounds per Pickup</t>
  </si>
  <si>
    <t>20 gal minican</t>
  </si>
  <si>
    <t>1 can</t>
  </si>
  <si>
    <t>2 cans</t>
  </si>
  <si>
    <t>3 cans</t>
  </si>
  <si>
    <t>Lbs. per ton</t>
  </si>
  <si>
    <t>4 cans</t>
  </si>
  <si>
    <t>Yds. Per ton</t>
  </si>
  <si>
    <t>n/a</t>
  </si>
  <si>
    <t>5 cans</t>
  </si>
  <si>
    <t>6 cans</t>
  </si>
  <si>
    <t>Supercan 60</t>
  </si>
  <si>
    <t>Supercan 90</t>
  </si>
  <si>
    <t>Once a month</t>
  </si>
  <si>
    <t>Extras</t>
  </si>
  <si>
    <t>Com'l</t>
  </si>
  <si>
    <t>1 yd container</t>
  </si>
  <si>
    <t>1.5 yd container</t>
  </si>
  <si>
    <t>2 yd container</t>
  </si>
  <si>
    <t>3 yd container</t>
  </si>
  <si>
    <t>4 yd container</t>
  </si>
  <si>
    <t>6 yd container</t>
  </si>
  <si>
    <t>8 yd container</t>
  </si>
  <si>
    <t>3 yd packer/compactor</t>
  </si>
  <si>
    <t>4 yd packer/compactor</t>
  </si>
  <si>
    <t>5 yd packer/compactor</t>
  </si>
  <si>
    <t>6 yd packer/compactor</t>
  </si>
  <si>
    <t>Yards</t>
  </si>
  <si>
    <t>* not on meeks - calculated by staff</t>
  </si>
  <si>
    <t>Packer &amp; Roll-off</t>
  </si>
  <si>
    <t>Annual Increase</t>
  </si>
  <si>
    <t>Proposed</t>
  </si>
  <si>
    <t>Annual Revenue</t>
  </si>
  <si>
    <t>Annual Rev Increase</t>
  </si>
  <si>
    <t>Total Difference to GL</t>
  </si>
  <si>
    <t>Immaterial</t>
  </si>
  <si>
    <t>Tooty Bonuses</t>
  </si>
  <si>
    <t>GL</t>
  </si>
  <si>
    <t>Misc -  Immaterial</t>
  </si>
  <si>
    <t xml:space="preserve">   (See G&amp;A GL Detail tab for Details)</t>
  </si>
  <si>
    <t>Accruals, Division Payroll Alloc., Region OH Alloc., Other Comp Adjust In</t>
  </si>
  <si>
    <t>G&amp;A - SALARY &amp; HOURLY WAGES PER PR REGISTER</t>
  </si>
  <si>
    <t xml:space="preserve">   (See Supervisor GL Detail tab for Details)</t>
  </si>
  <si>
    <t>Accruals, Other Comp Adjust in</t>
  </si>
  <si>
    <t>SUPERVISOR - SALARY &amp; HOURLY WAGES PER PR REGISTER</t>
  </si>
  <si>
    <t xml:space="preserve"> Qtr Total</t>
  </si>
  <si>
    <t>Unreconciled Difference</t>
  </si>
  <si>
    <t>52070 Prior Accrual</t>
  </si>
  <si>
    <t>55065 Current Accrual</t>
  </si>
  <si>
    <t>55065 Prior Accrual</t>
  </si>
  <si>
    <t>55035 Accrual Adjustment</t>
  </si>
  <si>
    <t>55025 Current Accrual</t>
  </si>
  <si>
    <t>55025 Prior Accrual</t>
  </si>
  <si>
    <t>55020 Current Accrual</t>
  </si>
  <si>
    <t>55020 Prior Accrual</t>
  </si>
  <si>
    <t>CONTAINER</t>
  </si>
  <si>
    <t>Other Bonuses</t>
  </si>
  <si>
    <t xml:space="preserve">   (See Detailed Schedule)</t>
  </si>
  <si>
    <t>Accruals, A-Team Adjust in, Other Comp Adjust in</t>
  </si>
  <si>
    <t>MECHANICS -  HOURLY &amp; SALARY PER PR REGISTER</t>
  </si>
  <si>
    <t xml:space="preserve">   (See Driver GL Detail tab for Details)</t>
  </si>
  <si>
    <t>Accruals</t>
  </si>
  <si>
    <t>DRIVER WAGES PER PR REGISTER</t>
  </si>
  <si>
    <t>Reconciliation of Payroll Register to General Ledger</t>
  </si>
  <si>
    <t>check</t>
  </si>
  <si>
    <t>GRAND TOTALS</t>
  </si>
  <si>
    <t>TOTAL SUPERVISOR</t>
  </si>
  <si>
    <t>James Speer</t>
  </si>
  <si>
    <t>Supervisor -  Salaried/Hourly 56010/56020</t>
  </si>
  <si>
    <t>TOTAL G&amp;A</t>
  </si>
  <si>
    <t xml:space="preserve">Kristen Neal </t>
  </si>
  <si>
    <t>150331</t>
  </si>
  <si>
    <t xml:space="preserve">Ben Thompson </t>
  </si>
  <si>
    <t>158843</t>
  </si>
  <si>
    <t xml:space="preserve">Princess Wood </t>
  </si>
  <si>
    <t>155633</t>
  </si>
  <si>
    <t xml:space="preserve">Kelly Durham </t>
  </si>
  <si>
    <t>302718</t>
  </si>
  <si>
    <t>G&amp;A (Salary 70010 - Hourly 70020 )</t>
  </si>
  <si>
    <t>TOTAL MECHANICS</t>
  </si>
  <si>
    <t xml:space="preserve">Jason Schultz </t>
  </si>
  <si>
    <t>154324</t>
  </si>
  <si>
    <t>Mechanics Hourly/Salary (52010/52020)</t>
  </si>
  <si>
    <t>TOTAL DRIVERS</t>
  </si>
  <si>
    <t xml:space="preserve">Rick Webb III </t>
  </si>
  <si>
    <t>300258</t>
  </si>
  <si>
    <t xml:space="preserve">Jason Reid </t>
  </si>
  <si>
    <t>301300</t>
  </si>
  <si>
    <t xml:space="preserve">Daniel Esch </t>
  </si>
  <si>
    <t>155606</t>
  </si>
  <si>
    <t xml:space="preserve">Byron Babcock </t>
  </si>
  <si>
    <t>158533</t>
  </si>
  <si>
    <t>Drivers (50020)</t>
  </si>
  <si>
    <t>Proforma</t>
  </si>
  <si>
    <t>Raise %</t>
  </si>
  <si>
    <t>Raise Date</t>
  </si>
  <si>
    <t>Wage Base</t>
  </si>
  <si>
    <t>Restatement</t>
  </si>
  <si>
    <t>Total Route Hrs</t>
  </si>
  <si>
    <t>Total Non-Wrk Hrs</t>
  </si>
  <si>
    <t>Total Hours</t>
  </si>
  <si>
    <t>Hours</t>
  </si>
  <si>
    <t>Job</t>
  </si>
  <si>
    <t>Name</t>
  </si>
  <si>
    <t>EE #</t>
  </si>
  <si>
    <t>District #</t>
  </si>
  <si>
    <t># of Restatement Days</t>
  </si>
  <si>
    <t>Total Pay per Payroll Register</t>
  </si>
  <si>
    <t>OTHER</t>
  </si>
  <si>
    <t>BONUS</t>
  </si>
  <si>
    <t>HOLIDAY</t>
  </si>
  <si>
    <t>VACATION / PTO</t>
  </si>
  <si>
    <t>OVERTIME</t>
  </si>
  <si>
    <t>REGULAR</t>
  </si>
  <si>
    <t>Raise Date:</t>
  </si>
  <si>
    <t>Test Year Start Date:</t>
  </si>
  <si>
    <t>Note:  Data below is from payroll registers.  Links have been broken to the source file to maintain data integrity.   Source documents are available upon request.</t>
  </si>
  <si>
    <t>Note: Use the employees latest pay raise date.</t>
  </si>
  <si>
    <t>Restatement/Pro forma Wage Adjustments</t>
  </si>
  <si>
    <t>Payroll Schedule</t>
  </si>
  <si>
    <t>Columbia River District</t>
  </si>
  <si>
    <t>Dump Fee Schedule</t>
  </si>
  <si>
    <t>Skamania</t>
  </si>
  <si>
    <t>TOTALS</t>
  </si>
  <si>
    <t>Roll Off Tons</t>
  </si>
  <si>
    <t>Packer Tons</t>
  </si>
  <si>
    <t>R/O PT</t>
  </si>
  <si>
    <t>Packer Disposal</t>
  </si>
  <si>
    <t>Total Disposal Expense</t>
  </si>
  <si>
    <t>Klickitat</t>
  </si>
  <si>
    <t>Roll Off Yards</t>
  </si>
  <si>
    <t>Packer Yards</t>
  </si>
  <si>
    <t>Total R/O PT</t>
  </si>
  <si>
    <t>Total Packer Disp</t>
  </si>
  <si>
    <t>Total Disposal Exp</t>
  </si>
  <si>
    <t>Total Disposal Exp per GL</t>
  </si>
  <si>
    <t>PT Per GL</t>
  </si>
  <si>
    <t>Packer per GL</t>
  </si>
  <si>
    <t>PT Difference</t>
  </si>
  <si>
    <t>Total Difference</t>
  </si>
  <si>
    <t>Other Compensation</t>
  </si>
  <si>
    <t>2195 - Yakima Waste</t>
  </si>
  <si>
    <t>2045 - Hood River</t>
  </si>
  <si>
    <t>2044 - The Dalles</t>
  </si>
  <si>
    <t>2050 - Finley</t>
  </si>
  <si>
    <t>2042 - Wasco</t>
  </si>
  <si>
    <t>2046 - EWSI</t>
  </si>
  <si>
    <t>2025 - CRD</t>
  </si>
  <si>
    <t>2011 - OPF</t>
  </si>
  <si>
    <t>2125 - Spokane Transfer</t>
  </si>
  <si>
    <t>2120 - Empire Disposal</t>
  </si>
  <si>
    <t>2053 - Triangle</t>
  </si>
  <si>
    <t>2051 - CRC</t>
  </si>
  <si>
    <t>2010 - Vancouver Hauling</t>
  </si>
  <si>
    <t>DVP/DivCon</t>
  </si>
  <si>
    <t>Management Compensation Allocation</t>
  </si>
  <si>
    <t>Columbia River Disposal, Inc.</t>
  </si>
  <si>
    <t>Wages</t>
  </si>
  <si>
    <t>Supervisors</t>
  </si>
  <si>
    <t>Comp Allocation In</t>
  </si>
  <si>
    <t>Taxes Allocation In</t>
  </si>
  <si>
    <r>
      <rPr>
        <b/>
        <u/>
        <sz val="11"/>
        <color theme="1"/>
        <rFont val="Calibri"/>
        <family val="2"/>
        <scheme val="minor"/>
      </rPr>
      <t>Note</t>
    </r>
    <r>
      <rPr>
        <b/>
        <sz val="11"/>
        <color theme="1"/>
        <rFont val="Calibri"/>
        <family val="2"/>
        <scheme val="minor"/>
      </rPr>
      <t xml:space="preserve">: </t>
    </r>
    <r>
      <rPr>
        <sz val="11"/>
        <color theme="1"/>
        <rFont val="Calibri"/>
        <family val="2"/>
        <scheme val="minor"/>
      </rPr>
      <t>The Division Vice President and Division Controller's home district for payroll purposes is 2010, and the District Controller's is 2011.  During the year their regular compensation is coded to district 2010/2011 and then allocated out to each of their districts based on the percentages of revenue shown below via a Journal Entry.  Their other compensation is not allocated out to each of the districts during the year therefore that must be done manually for this rate filing.  The calculation below represents this allocation out to the other districts they manage.</t>
    </r>
  </si>
  <si>
    <t>Office</t>
  </si>
  <si>
    <t>Interest as a % of Debt</t>
  </si>
  <si>
    <t>Debt</t>
  </si>
  <si>
    <t>Interest Expense</t>
  </si>
  <si>
    <t>Total Debt &amp; Equity</t>
  </si>
  <si>
    <t>Equity</t>
  </si>
  <si>
    <t>Allowable In LG</t>
  </si>
  <si>
    <t>Debt to Equity Ratio</t>
  </si>
  <si>
    <t>Long-term liabilities held for sale</t>
  </si>
  <si>
    <t>Long-term portion of contingent consideration</t>
  </si>
  <si>
    <t>Current liabilities held for sale</t>
  </si>
  <si>
    <t>Current portion of contingent consideration</t>
  </si>
  <si>
    <t>Long-term assets held for sale</t>
  </si>
  <si>
    <t>Restricted cash and investments</t>
  </si>
  <si>
    <t>Prepaid expenses &amp; other current assetes</t>
  </si>
  <si>
    <t>Current assets held for sale</t>
  </si>
  <si>
    <t>Bad Debt % for LG</t>
  </si>
  <si>
    <t>Plug to Match LG</t>
  </si>
  <si>
    <t>Avg Cust</t>
  </si>
  <si>
    <t>Per Month</t>
  </si>
  <si>
    <t>Garbage Check</t>
  </si>
  <si>
    <t>Per LG</t>
  </si>
  <si>
    <t>LG Check</t>
  </si>
  <si>
    <t>Allocate INTO CRD</t>
  </si>
  <si>
    <t>Test Period Fuel Exp.</t>
  </si>
  <si>
    <t xml:space="preserve">Updated 12 Mo Ending </t>
  </si>
  <si>
    <t>2018-01</t>
  </si>
  <si>
    <t>Expense per GL</t>
  </si>
  <si>
    <t>RS-7:  Amortize Workers Comp Claims Over 24-Months</t>
  </si>
  <si>
    <t>Amort WC Claims</t>
  </si>
  <si>
    <t>Remove one time Special Waste Job</t>
  </si>
  <si>
    <t>Company Requested Increase</t>
  </si>
  <si>
    <t>Note (A):  The company is only requesting a 15% increase for G-51.  It is the Company's opinion that requesting the full increase would result in rate shock for the 200 customers in this service territory.</t>
  </si>
  <si>
    <t>Ref.</t>
  </si>
  <si>
    <t>RS-8: Restate in division management compensation</t>
  </si>
  <si>
    <r>
      <t>RS-2</t>
    </r>
    <r>
      <rPr>
        <sz val="8"/>
        <rFont val="Arial"/>
        <family val="2"/>
      </rPr>
      <t>, RS-8</t>
    </r>
  </si>
  <si>
    <t>(N)</t>
  </si>
  <si>
    <t>Driveways over 125' but less than 150'</t>
  </si>
  <si>
    <t>Each additional 125 feet</t>
  </si>
  <si>
    <t>One can - Monthly</t>
  </si>
  <si>
    <t>One can - EOW</t>
  </si>
  <si>
    <t>One can - Weekly</t>
  </si>
  <si>
    <t>1-45 Gal Weekly</t>
  </si>
  <si>
    <t>2-45 Gal Weekly</t>
  </si>
  <si>
    <t>1-60 Gal Weekly</t>
  </si>
  <si>
    <t>Extra Units (45 gal)</t>
  </si>
  <si>
    <t>Extra Units (60 gal)</t>
  </si>
  <si>
    <t>On Call</t>
  </si>
  <si>
    <t>Monthly Rent (N)</t>
  </si>
  <si>
    <t>Pick-Up Rate</t>
  </si>
  <si>
    <t>First PU  - No longer used.  Rent stated separately</t>
  </si>
  <si>
    <t>Each additional  125 feet</t>
  </si>
  <si>
    <t>Driveways over 125' but less than 150' - res</t>
  </si>
  <si>
    <t>Driveways over 125' but less than 150' - comm</t>
  </si>
  <si>
    <t>1-60 gal Monthly</t>
  </si>
  <si>
    <t>1-45 gal Weekly</t>
  </si>
  <si>
    <t>2-45 gal Weekly</t>
  </si>
  <si>
    <t>1-60 gal Weekly</t>
  </si>
  <si>
    <t>On-Call</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</si>
</sst>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General_)"/>
    <numFmt numFmtId="167" formatCode="&quot;$&quot;#,##0\ ;\(&quot;$&quot;#,##0\)"/>
    <numFmt numFmtId="168" formatCode="0.0%"/>
    <numFmt numFmtId="169" formatCode="mm\-yy;\-0;;@"/>
    <numFmt numFmtId="170" formatCode=".00#####;\-.00####;;@"/>
    <numFmt numFmtId="171" formatCode="0%;\(0%\);&quot;&quot;"/>
    <numFmt numFmtId="172" formatCode="m/d/yy\ h:mm\ AM/PM"/>
    <numFmt numFmtId="173" formatCode="_(* #,##0,_);_(* \(#,##0,\);_(* &quot;-&quot;??_);_(@_)"/>
    <numFmt numFmtId="174" formatCode="[$-409]mmmm\ d\,\ yyyy;@"/>
    <numFmt numFmtId="175" formatCode="&quot;$&quot;#,##0"/>
    <numFmt numFmtId="176" formatCode="&quot;$&quot;#,##0.00"/>
    <numFmt numFmtId="177" formatCode="#,##0.0000"/>
    <numFmt numFmtId="178" formatCode="#,##0.000"/>
    <numFmt numFmtId="179" formatCode="#,##0.000000"/>
    <numFmt numFmtId="180" formatCode="0.0000%"/>
    <numFmt numFmtId="181" formatCode="_(* #,##0.000000_);_(* \(#,##0.000000\);_(* &quot;-&quot;??_);_(@_)"/>
    <numFmt numFmtId="182" formatCode="[$-409]mmm\-yy;@"/>
    <numFmt numFmtId="183" formatCode="m/d/yy"/>
    <numFmt numFmtId="184" formatCode="0.0000"/>
  </numFmts>
  <fonts count="216">
    <font>
      <sz val="11"/>
      <color theme="1"/>
      <name val="Calibri"/>
      <family val="2"/>
      <scheme val="minor"/>
    </font>
    <font>
      <sz val="11"/>
      <color theme="1"/>
      <name val="Calibri"/>
      <family val="2"/>
      <scheme val="minor"/>
    </font>
    <font>
      <sz val="11"/>
      <color rgb="FF006100"/>
      <name val="Calibri"/>
      <family val="2"/>
      <scheme val="minor"/>
    </font>
    <font>
      <sz val="10"/>
      <name val="Arial"/>
      <family val="2"/>
    </font>
    <font>
      <b/>
      <sz val="8"/>
      <name val="Arial"/>
      <family val="2"/>
    </font>
    <font>
      <sz val="8"/>
      <name val="Arial"/>
      <family val="2"/>
    </font>
    <font>
      <b/>
      <sz val="8"/>
      <color theme="0"/>
      <name val="Arial"/>
      <family val="2"/>
    </font>
    <font>
      <i/>
      <sz val="8"/>
      <color theme="0"/>
      <name val="Arial"/>
      <family val="2"/>
    </font>
    <font>
      <b/>
      <i/>
      <sz val="8"/>
      <color theme="0"/>
      <name val="Arial"/>
      <family val="2"/>
    </font>
    <font>
      <sz val="8"/>
      <color theme="0"/>
      <name val="Arial"/>
      <family val="2"/>
    </font>
    <font>
      <b/>
      <i/>
      <sz val="8"/>
      <name val="Arial"/>
      <family val="2"/>
    </font>
    <font>
      <sz val="12"/>
      <name val="Helv"/>
    </font>
    <font>
      <sz val="8"/>
      <color indexed="8"/>
      <name val="Arial"/>
      <family val="2"/>
    </font>
    <font>
      <b/>
      <sz val="8"/>
      <color indexed="8"/>
      <name val="ARIAL"/>
      <family val="2"/>
    </font>
    <font>
      <i/>
      <sz val="8"/>
      <name val="Arial"/>
      <family val="2"/>
    </font>
    <font>
      <sz val="11"/>
      <color indexed="8"/>
      <name val="Calibri"/>
      <family val="2"/>
    </font>
    <font>
      <b/>
      <sz val="9"/>
      <color indexed="81"/>
      <name val="Tahoma"/>
      <family val="2"/>
    </font>
    <font>
      <sz val="9"/>
      <color indexed="81"/>
      <name val="Tahoma"/>
      <family val="2"/>
    </font>
    <font>
      <sz val="11"/>
      <color indexed="9"/>
      <name val="Calibri"/>
      <family val="2"/>
    </font>
    <font>
      <b/>
      <sz val="10"/>
      <color indexed="10"/>
      <name val="Arial"/>
      <family val="2"/>
    </font>
    <font>
      <b/>
      <sz val="12"/>
      <color indexed="12"/>
      <name val="Times New Roman"/>
      <family val="1"/>
    </font>
    <font>
      <sz val="11"/>
      <color indexed="20"/>
      <name val="Calibri"/>
      <family val="2"/>
    </font>
    <font>
      <b/>
      <sz val="11"/>
      <color indexed="52"/>
      <name val="Calibri"/>
      <family val="2"/>
    </font>
    <font>
      <b/>
      <sz val="11"/>
      <color indexed="51"/>
      <name val="Calibri"/>
      <family val="2"/>
    </font>
    <font>
      <b/>
      <sz val="11"/>
      <color indexed="10"/>
      <name val="Calibri"/>
      <family val="2"/>
    </font>
    <font>
      <b/>
      <sz val="11"/>
      <color indexed="9"/>
      <name val="Calibri"/>
      <family val="2"/>
    </font>
    <font>
      <b/>
      <sz val="11"/>
      <color indexed="18"/>
      <name val="Britannic Bold"/>
      <family val="2"/>
    </font>
    <font>
      <sz val="11"/>
      <color indexed="8"/>
      <name val="Arial"/>
      <family val="2"/>
    </font>
    <font>
      <sz val="12"/>
      <name val="CG Omega"/>
    </font>
    <font>
      <sz val="10"/>
      <color indexed="8"/>
      <name val="Arial"/>
      <family val="2"/>
    </font>
    <font>
      <sz val="12"/>
      <color theme="1"/>
      <name val="Calibri"/>
      <family val="2"/>
      <scheme val="minor"/>
    </font>
    <font>
      <sz val="10"/>
      <name val="MS Sans Serif"/>
      <family val="2"/>
    </font>
    <font>
      <sz val="12"/>
      <name val="Courier"/>
      <family val="3"/>
    </font>
    <font>
      <sz val="9"/>
      <color indexed="8"/>
      <name val="Arial"/>
      <family val="2"/>
    </font>
    <font>
      <sz val="10"/>
      <name val="Times New Roman"/>
      <family val="1"/>
    </font>
    <font>
      <b/>
      <sz val="10"/>
      <color indexed="12"/>
      <name val="Arial"/>
      <family val="2"/>
    </font>
    <font>
      <i/>
      <sz val="11"/>
      <color indexed="23"/>
      <name val="Calibri"/>
      <family val="2"/>
    </font>
    <font>
      <sz val="11"/>
      <color indexed="17"/>
      <name val="Calibri"/>
      <family val="2"/>
    </font>
    <font>
      <b/>
      <sz val="15"/>
      <color indexed="62"/>
      <name val="Calibri"/>
      <family val="2"/>
    </font>
    <font>
      <b/>
      <sz val="15"/>
      <color indexed="61"/>
      <name val="Calibri"/>
      <family val="2"/>
    </font>
    <font>
      <b/>
      <sz val="15"/>
      <color indexed="56"/>
      <name val="Calibri"/>
      <family val="2"/>
    </font>
    <font>
      <b/>
      <sz val="13"/>
      <color indexed="62"/>
      <name val="Calibri"/>
      <family val="2"/>
    </font>
    <font>
      <b/>
      <sz val="13"/>
      <color indexed="61"/>
      <name val="Calibri"/>
      <family val="2"/>
    </font>
    <font>
      <b/>
      <sz val="13"/>
      <color indexed="56"/>
      <name val="Calibri"/>
      <family val="2"/>
    </font>
    <font>
      <b/>
      <sz val="11"/>
      <color indexed="62"/>
      <name val="Calibri"/>
      <family val="2"/>
    </font>
    <font>
      <b/>
      <sz val="11"/>
      <color indexed="61"/>
      <name val="Calibri"/>
      <family val="2"/>
    </font>
    <font>
      <b/>
      <sz val="11"/>
      <color indexed="56"/>
      <name val="Calibri"/>
      <family val="2"/>
    </font>
    <font>
      <u/>
      <sz val="10"/>
      <color indexed="12"/>
      <name val="Arial"/>
      <family val="2"/>
    </font>
    <font>
      <u/>
      <sz val="11"/>
      <color indexed="12"/>
      <name val="Calibri"/>
      <family val="2"/>
    </font>
    <font>
      <u/>
      <sz val="11"/>
      <color theme="10"/>
      <name val="Calibri"/>
      <family val="2"/>
    </font>
    <font>
      <sz val="11"/>
      <color indexed="61"/>
      <name val="Calibri"/>
      <family val="2"/>
    </font>
    <font>
      <sz val="11"/>
      <color indexed="62"/>
      <name val="Calibri"/>
      <family val="2"/>
    </font>
    <font>
      <sz val="10"/>
      <color indexed="12"/>
      <name val="Arial"/>
      <family val="2"/>
    </font>
    <font>
      <sz val="11"/>
      <color indexed="52"/>
      <name val="Calibri"/>
      <family val="2"/>
    </font>
    <font>
      <sz val="11"/>
      <color indexed="51"/>
      <name val="Calibri"/>
      <family val="2"/>
    </font>
    <font>
      <sz val="11"/>
      <color indexed="10"/>
      <name val="Calibri"/>
      <family val="2"/>
    </font>
    <font>
      <sz val="11"/>
      <color indexed="60"/>
      <name val="Calibri"/>
      <family val="2"/>
    </font>
    <font>
      <sz val="11"/>
      <color indexed="59"/>
      <name val="Calibri"/>
      <family val="2"/>
    </font>
    <font>
      <sz val="11"/>
      <color indexed="19"/>
      <name val="Calibri"/>
      <family val="2"/>
    </font>
    <font>
      <sz val="11"/>
      <color theme="1"/>
      <name val="Arial"/>
      <family val="2"/>
    </font>
    <font>
      <sz val="12"/>
      <name val="Arial"/>
      <family val="2"/>
    </font>
    <font>
      <i/>
      <sz val="10"/>
      <color indexed="10"/>
      <name val="Arial"/>
      <family val="2"/>
    </font>
    <font>
      <b/>
      <sz val="11"/>
      <color indexed="63"/>
      <name val="Calibri"/>
      <family val="2"/>
    </font>
    <font>
      <sz val="8"/>
      <color indexed="56"/>
      <name val="Arial"/>
      <family val="2"/>
    </font>
    <font>
      <b/>
      <sz val="10"/>
      <name val="MS Sans Serif"/>
      <family val="2"/>
    </font>
    <font>
      <sz val="12"/>
      <name val="Arial MT"/>
    </font>
    <font>
      <b/>
      <u/>
      <sz val="11"/>
      <name val="Arial"/>
      <family val="2"/>
    </font>
    <font>
      <b/>
      <sz val="10"/>
      <name val="Times New Roman"/>
      <family val="1"/>
    </font>
    <font>
      <b/>
      <sz val="18"/>
      <color indexed="61"/>
      <name val="Cambria"/>
      <family val="2"/>
    </font>
    <font>
      <b/>
      <sz val="18"/>
      <color indexed="56"/>
      <name val="Cambria"/>
      <family val="2"/>
    </font>
    <font>
      <b/>
      <sz val="18"/>
      <color indexed="62"/>
      <name val="Cambria"/>
      <family val="2"/>
    </font>
    <font>
      <b/>
      <sz val="11"/>
      <color indexed="8"/>
      <name val="Calibri"/>
      <family val="2"/>
    </font>
    <font>
      <sz val="10"/>
      <color indexed="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7"/>
      <name val="Arial"/>
      <family val="2"/>
    </font>
    <font>
      <sz val="12"/>
      <color indexed="8"/>
      <name val="Arial"/>
      <family val="2"/>
    </font>
    <font>
      <b/>
      <sz val="12"/>
      <color indexed="8"/>
      <name val="Arial"/>
      <family val="2"/>
    </font>
    <font>
      <sz val="12"/>
      <color indexed="12"/>
      <name val="Arial"/>
      <family val="2"/>
    </font>
    <font>
      <sz val="12"/>
      <color indexed="16"/>
      <name val="Arial"/>
      <family val="2"/>
    </font>
    <font>
      <b/>
      <sz val="12"/>
      <color indexed="12"/>
      <name val="Arial"/>
      <family val="2"/>
    </font>
    <font>
      <b/>
      <sz val="10"/>
      <color indexed="16"/>
      <name val="Arial"/>
      <family val="2"/>
    </font>
    <font>
      <b/>
      <sz val="10"/>
      <name val="Arial"/>
      <family val="2"/>
    </font>
    <font>
      <b/>
      <sz val="10"/>
      <color indexed="8"/>
      <name val="Arial"/>
      <family val="2"/>
    </font>
    <font>
      <sz val="7"/>
      <color indexed="8"/>
      <name val="Arial"/>
      <family val="2"/>
    </font>
    <font>
      <b/>
      <i/>
      <sz val="10"/>
      <color rgb="FFFF0000"/>
      <name val="Arial"/>
      <family val="2"/>
    </font>
    <font>
      <b/>
      <sz val="12"/>
      <color rgb="FFFF0000"/>
      <name val="Arial"/>
      <family val="2"/>
    </font>
    <font>
      <b/>
      <sz val="10"/>
      <color rgb="FFFF0000"/>
      <name val="Arial"/>
      <family val="2"/>
    </font>
    <font>
      <b/>
      <sz val="9"/>
      <name val="Arial"/>
      <family val="2"/>
    </font>
    <font>
      <b/>
      <sz val="9"/>
      <name val="Calibri"/>
      <family val="2"/>
      <scheme val="minor"/>
    </font>
    <font>
      <sz val="9"/>
      <name val="Calibri"/>
      <family val="2"/>
      <scheme val="minor"/>
    </font>
    <font>
      <b/>
      <u/>
      <sz val="9"/>
      <name val="Calibri"/>
      <family val="2"/>
      <scheme val="minor"/>
    </font>
    <font>
      <b/>
      <sz val="10"/>
      <color theme="1"/>
      <name val="Calibri"/>
      <family val="2"/>
      <scheme val="minor"/>
    </font>
    <font>
      <sz val="10"/>
      <name val="Calibri"/>
      <family val="2"/>
      <scheme val="minor"/>
    </font>
    <font>
      <b/>
      <sz val="10"/>
      <name val="Calibri"/>
      <family val="2"/>
      <scheme val="minor"/>
    </font>
    <font>
      <sz val="10"/>
      <color rgb="FFFF0000"/>
      <name val="Calibri"/>
      <family val="2"/>
      <scheme val="minor"/>
    </font>
    <font>
      <sz val="8"/>
      <name val="Comic Sans MS"/>
      <family val="4"/>
    </font>
    <font>
      <sz val="8"/>
      <color indexed="8"/>
      <name val="Calibri"/>
      <family val="2"/>
    </font>
    <font>
      <u/>
      <sz val="10"/>
      <name val="Arial"/>
      <family val="2"/>
    </font>
    <font>
      <sz val="10"/>
      <color theme="1"/>
      <name val="Arial"/>
      <family val="2"/>
    </font>
    <font>
      <b/>
      <sz val="10"/>
      <color theme="1"/>
      <name val="Arial"/>
      <family val="2"/>
    </font>
    <font>
      <sz val="10"/>
      <color theme="1"/>
      <name val="Calibri"/>
      <family val="2"/>
      <scheme val="minor"/>
    </font>
    <font>
      <b/>
      <sz val="10"/>
      <color theme="0"/>
      <name val="Calibri"/>
      <family val="2"/>
      <scheme val="minor"/>
    </font>
    <font>
      <b/>
      <sz val="10"/>
      <color indexed="9"/>
      <name val="Calibri"/>
      <family val="2"/>
      <scheme val="minor"/>
    </font>
    <font>
      <b/>
      <sz val="10"/>
      <color rgb="FF0000FF"/>
      <name val="Calibri"/>
      <family val="2"/>
      <scheme val="minor"/>
    </font>
    <font>
      <b/>
      <u/>
      <sz val="10"/>
      <color indexed="8"/>
      <name val="Calibri"/>
      <family val="2"/>
      <scheme val="minor"/>
    </font>
    <font>
      <b/>
      <sz val="10"/>
      <color indexed="8"/>
      <name val="Calibri"/>
      <family val="2"/>
      <scheme val="minor"/>
    </font>
    <font>
      <b/>
      <i/>
      <sz val="10"/>
      <name val="Calibri"/>
      <family val="2"/>
      <scheme val="minor"/>
    </font>
    <font>
      <b/>
      <u/>
      <sz val="10"/>
      <color theme="1"/>
      <name val="Calibri"/>
      <family val="2"/>
      <scheme val="minor"/>
    </font>
    <font>
      <sz val="10"/>
      <color indexed="8"/>
      <name val="Calibri"/>
      <family val="2"/>
      <scheme val="minor"/>
    </font>
    <font>
      <sz val="10"/>
      <color indexed="10"/>
      <name val="Calibri"/>
      <family val="2"/>
      <scheme val="minor"/>
    </font>
    <font>
      <b/>
      <sz val="9"/>
      <color theme="1"/>
      <name val="Calibri"/>
      <family val="2"/>
      <scheme val="minor"/>
    </font>
    <font>
      <sz val="9"/>
      <color indexed="8"/>
      <name val="Calibri"/>
      <family val="2"/>
      <scheme val="minor"/>
    </font>
    <font>
      <b/>
      <sz val="9"/>
      <color theme="0"/>
      <name val="Calibri"/>
      <family val="2"/>
      <scheme val="minor"/>
    </font>
    <font>
      <i/>
      <sz val="9"/>
      <name val="Calibri"/>
      <family val="2"/>
      <scheme val="minor"/>
    </font>
    <font>
      <sz val="9"/>
      <color theme="1"/>
      <name val="Calibri"/>
      <family val="2"/>
      <scheme val="minor"/>
    </font>
    <font>
      <b/>
      <sz val="9"/>
      <color rgb="FF0070C0"/>
      <name val="Calibri"/>
      <family val="2"/>
      <scheme val="minor"/>
    </font>
    <font>
      <b/>
      <sz val="9"/>
      <color rgb="FF0000FF"/>
      <name val="Calibri"/>
      <family val="2"/>
      <scheme val="minor"/>
    </font>
    <font>
      <i/>
      <sz val="9"/>
      <color indexed="8"/>
      <name val="Calibri"/>
      <family val="2"/>
      <scheme val="minor"/>
    </font>
    <font>
      <b/>
      <sz val="9"/>
      <color indexed="8"/>
      <name val="Calibri"/>
      <family val="2"/>
      <scheme val="minor"/>
    </font>
    <font>
      <i/>
      <sz val="9"/>
      <color theme="0"/>
      <name val="Calibri"/>
      <family val="2"/>
      <scheme val="minor"/>
    </font>
    <font>
      <i/>
      <u/>
      <sz val="9"/>
      <color indexed="8"/>
      <name val="Calibri"/>
      <family val="2"/>
      <scheme val="minor"/>
    </font>
    <font>
      <sz val="9"/>
      <color theme="0"/>
      <name val="Calibri"/>
      <family val="2"/>
      <scheme val="minor"/>
    </font>
    <font>
      <sz val="11"/>
      <name val="Bookman Old Style"/>
      <family val="1"/>
    </font>
    <font>
      <u/>
      <sz val="8.8000000000000007"/>
      <color theme="10"/>
      <name val="Calibri"/>
      <family val="2"/>
    </font>
    <font>
      <u/>
      <sz val="7.5"/>
      <color indexed="12"/>
      <name val="Arial"/>
      <family val="2"/>
    </font>
    <font>
      <sz val="11"/>
      <name val="Calibri"/>
      <family val="2"/>
      <scheme val="minor"/>
    </font>
    <font>
      <b/>
      <sz val="11"/>
      <name val="Calibri"/>
      <family val="2"/>
      <scheme val="minor"/>
    </font>
    <font>
      <b/>
      <sz val="11"/>
      <color rgb="FF0000FF"/>
      <name val="Calibri"/>
      <family val="2"/>
      <scheme val="minor"/>
    </font>
    <font>
      <b/>
      <sz val="11"/>
      <color indexed="62"/>
      <name val="Calibri"/>
      <family val="2"/>
      <scheme val="minor"/>
    </font>
    <font>
      <sz val="11"/>
      <color indexed="62"/>
      <name val="Calibri"/>
      <family val="2"/>
      <scheme val="minor"/>
    </font>
    <font>
      <b/>
      <u/>
      <sz val="11"/>
      <color indexed="62"/>
      <name val="Calibri"/>
      <family val="2"/>
      <scheme val="minor"/>
    </font>
    <font>
      <u/>
      <sz val="9.35"/>
      <color theme="10"/>
      <name val="Calibri"/>
      <family val="2"/>
    </font>
    <font>
      <b/>
      <sz val="8"/>
      <color rgb="FF0000FF"/>
      <name val="Arial"/>
      <family val="2"/>
    </font>
    <font>
      <b/>
      <sz val="10"/>
      <color rgb="FFFF0000"/>
      <name val="Calibri"/>
      <family val="2"/>
      <scheme val="minor"/>
    </font>
    <font>
      <b/>
      <sz val="10"/>
      <color indexed="50"/>
      <name val="Calibri"/>
      <family val="2"/>
      <scheme val="minor"/>
    </font>
    <font>
      <i/>
      <sz val="10"/>
      <color rgb="FFFF0000"/>
      <name val="Calibri"/>
      <family val="2"/>
      <scheme val="minor"/>
    </font>
    <font>
      <sz val="10"/>
      <color indexed="8"/>
      <name val="Tahoma"/>
      <family val="2"/>
    </font>
    <font>
      <b/>
      <sz val="12"/>
      <name val="Calibri"/>
      <family val="2"/>
      <scheme val="minor"/>
    </font>
    <font>
      <b/>
      <sz val="12"/>
      <color theme="1"/>
      <name val="Calibri"/>
      <family val="2"/>
      <scheme val="minor"/>
    </font>
    <font>
      <b/>
      <u/>
      <sz val="12"/>
      <color rgb="FF5D34F4"/>
      <name val="Calibri"/>
      <family val="2"/>
      <scheme val="minor"/>
    </font>
    <font>
      <b/>
      <sz val="12"/>
      <color indexed="8"/>
      <name val="Calibri"/>
      <family val="2"/>
      <scheme val="minor"/>
    </font>
    <font>
      <sz val="12"/>
      <color indexed="8"/>
      <name val="Calibri"/>
      <family val="2"/>
      <scheme val="minor"/>
    </font>
    <font>
      <b/>
      <u/>
      <sz val="11"/>
      <color theme="1"/>
      <name val="Calibri"/>
      <family val="2"/>
      <scheme val="minor"/>
    </font>
    <font>
      <strike/>
      <sz val="11"/>
      <name val="Calibri"/>
      <family val="2"/>
      <scheme val="minor"/>
    </font>
    <font>
      <b/>
      <u/>
      <sz val="11"/>
      <name val="Calibri"/>
      <family val="2"/>
      <scheme val="minor"/>
    </font>
    <font>
      <sz val="9"/>
      <name val="Arial"/>
      <family val="2"/>
    </font>
    <font>
      <b/>
      <sz val="10"/>
      <color rgb="FF3333FF"/>
      <name val="Arial"/>
      <family val="2"/>
    </font>
    <font>
      <sz val="12"/>
      <color rgb="FFFF0000"/>
      <name val="Arial"/>
      <family val="2"/>
    </font>
    <font>
      <b/>
      <sz val="9"/>
      <color indexed="16"/>
      <name val="Arial"/>
      <family val="2"/>
    </font>
    <font>
      <b/>
      <sz val="9"/>
      <color indexed="8"/>
      <name val="Arial"/>
      <family val="2"/>
    </font>
    <font>
      <i/>
      <sz val="9"/>
      <color indexed="8"/>
      <name val="Arial"/>
      <family val="2"/>
    </font>
    <font>
      <i/>
      <sz val="11"/>
      <color theme="1"/>
      <name val="Calibri"/>
      <family val="2"/>
      <scheme val="minor"/>
    </font>
    <font>
      <sz val="11"/>
      <color rgb="FF000000"/>
      <name val="Calibri"/>
      <family val="2"/>
    </font>
    <font>
      <sz val="8"/>
      <color rgb="FFFF0000"/>
      <name val="Arial"/>
      <family val="2"/>
    </font>
    <font>
      <b/>
      <sz val="11"/>
      <color rgb="FFFF0000"/>
      <name val="Calibri"/>
      <family val="2"/>
      <scheme val="minor"/>
    </font>
    <font>
      <sz val="10"/>
      <color rgb="FF0000FF"/>
      <name val="Calibri"/>
      <family val="2"/>
      <scheme val="minor"/>
    </font>
    <font>
      <b/>
      <u val="singleAccounting"/>
      <sz val="10"/>
      <color theme="1"/>
      <name val="Calibri"/>
      <family val="2"/>
      <scheme val="minor"/>
    </font>
    <font>
      <i/>
      <sz val="10"/>
      <color theme="0" tint="-0.499984740745262"/>
      <name val="Calibri"/>
      <family val="2"/>
      <scheme val="minor"/>
    </font>
    <font>
      <sz val="9"/>
      <color indexed="81"/>
      <name val="Tahoma"/>
      <charset val="1"/>
    </font>
    <font>
      <b/>
      <sz val="9"/>
      <color indexed="81"/>
      <name val="Tahoma"/>
      <charset val="1"/>
    </font>
    <font>
      <b/>
      <sz val="11"/>
      <name val="Arial"/>
      <family val="2"/>
    </font>
    <font>
      <b/>
      <sz val="9.5"/>
      <name val="Arial"/>
      <family val="2"/>
    </font>
    <font>
      <sz val="9"/>
      <name val="Comic Sans MS"/>
      <family val="4"/>
    </font>
    <font>
      <i/>
      <sz val="9"/>
      <name val="Comic Sans MS"/>
      <family val="4"/>
    </font>
    <font>
      <i/>
      <sz val="9"/>
      <color rgb="FFFF0000"/>
      <name val="Comic Sans MS"/>
      <family val="4"/>
    </font>
    <font>
      <b/>
      <u/>
      <sz val="9"/>
      <name val="Comic Sans MS"/>
      <family val="4"/>
    </font>
    <font>
      <b/>
      <sz val="9"/>
      <name val="Comic Sans MS"/>
      <family val="4"/>
    </font>
    <font>
      <sz val="9"/>
      <color indexed="8"/>
      <name val="Calibri"/>
      <family val="2"/>
    </font>
    <font>
      <b/>
      <sz val="9"/>
      <color rgb="FFFF0000"/>
      <name val="Comic Sans MS"/>
      <family val="4"/>
    </font>
    <font>
      <b/>
      <sz val="10.5"/>
      <color theme="1"/>
      <name val="Calibri"/>
      <family val="2"/>
      <scheme val="minor"/>
    </font>
    <font>
      <sz val="10.5"/>
      <color indexed="8"/>
      <name val="Calibri"/>
      <family val="2"/>
      <scheme val="minor"/>
    </font>
    <font>
      <sz val="10.5"/>
      <color theme="1"/>
      <name val="Calibri"/>
      <family val="2"/>
      <scheme val="minor"/>
    </font>
    <font>
      <b/>
      <sz val="10.5"/>
      <color rgb="FFFF0000"/>
      <name val="Calibri"/>
      <family val="2"/>
      <scheme val="minor"/>
    </font>
    <font>
      <b/>
      <sz val="10.5"/>
      <color indexed="8"/>
      <name val="Calibri"/>
      <family val="2"/>
      <scheme val="minor"/>
    </font>
    <font>
      <i/>
      <sz val="10.5"/>
      <color theme="0" tint="-0.499984740745262"/>
      <name val="Calibri"/>
      <family val="2"/>
      <scheme val="minor"/>
    </font>
    <font>
      <b/>
      <u/>
      <sz val="10.5"/>
      <color theme="1"/>
      <name val="Calibri"/>
      <family val="2"/>
      <scheme val="minor"/>
    </font>
    <font>
      <b/>
      <u/>
      <sz val="10.5"/>
      <color indexed="8"/>
      <name val="Calibri"/>
      <family val="2"/>
      <scheme val="minor"/>
    </font>
    <font>
      <b/>
      <sz val="10.5"/>
      <color indexed="50"/>
      <name val="Calibri"/>
      <family val="2"/>
      <scheme val="minor"/>
    </font>
    <font>
      <sz val="10.5"/>
      <name val="Calibri"/>
      <family val="2"/>
      <scheme val="minor"/>
    </font>
    <font>
      <b/>
      <sz val="10.5"/>
      <name val="Calibri"/>
      <family val="2"/>
      <scheme val="minor"/>
    </font>
    <font>
      <i/>
      <sz val="10.5"/>
      <color rgb="FFFF0000"/>
      <name val="Calibri"/>
      <family val="2"/>
      <scheme val="minor"/>
    </font>
    <font>
      <sz val="10.5"/>
      <color indexed="8"/>
      <name val="Tahoma"/>
      <family val="2"/>
    </font>
    <font>
      <b/>
      <u val="singleAccounting"/>
      <sz val="10.5"/>
      <color theme="1"/>
      <name val="Calibri"/>
      <family val="2"/>
      <scheme val="minor"/>
    </font>
    <font>
      <b/>
      <sz val="10.5"/>
      <color rgb="FF0000FF"/>
      <name val="Calibri"/>
      <family val="2"/>
      <scheme val="minor"/>
    </font>
    <font>
      <sz val="10.5"/>
      <color rgb="FF0000FF"/>
      <name val="Calibri"/>
      <family val="2"/>
      <scheme val="minor"/>
    </font>
    <font>
      <b/>
      <sz val="9"/>
      <color rgb="FFFF0000"/>
      <name val="Arial"/>
      <family val="2"/>
    </font>
    <font>
      <b/>
      <sz val="9"/>
      <color theme="0"/>
      <name val="Arial"/>
      <family val="2"/>
    </font>
    <font>
      <sz val="9"/>
      <color rgb="FFFF0000"/>
      <name val="Arial"/>
      <family val="2"/>
    </font>
    <font>
      <b/>
      <sz val="9"/>
      <color indexed="10"/>
      <name val="Arial"/>
      <family val="2"/>
    </font>
    <font>
      <sz val="9"/>
      <color rgb="FFFF0000"/>
      <name val="Calibri"/>
      <family val="2"/>
      <scheme val="minor"/>
    </font>
    <font>
      <i/>
      <sz val="9"/>
      <name val="Arial"/>
      <family val="2"/>
    </font>
    <font>
      <i/>
      <sz val="9"/>
      <color rgb="FFFF0000"/>
      <name val="Arial"/>
      <family val="2"/>
    </font>
    <font>
      <sz val="9"/>
      <color theme="1"/>
      <name val="Century Gothic"/>
      <family val="2"/>
    </font>
    <font>
      <b/>
      <u/>
      <sz val="9"/>
      <name val="Arial"/>
      <family val="2"/>
    </font>
    <font>
      <b/>
      <sz val="11"/>
      <color indexed="8"/>
      <name val="Arial"/>
      <family val="2"/>
    </font>
    <font>
      <sz val="11"/>
      <color indexed="12"/>
      <name val="Arial"/>
      <family val="2"/>
    </font>
    <font>
      <sz val="11"/>
      <color indexed="16"/>
      <name val="Arial"/>
      <family val="2"/>
    </font>
    <font>
      <b/>
      <sz val="11"/>
      <color indexed="12"/>
      <name val="Arial"/>
      <family val="2"/>
    </font>
    <font>
      <b/>
      <sz val="11"/>
      <color indexed="16"/>
      <name val="Arial"/>
      <family val="2"/>
    </font>
    <font>
      <sz val="11"/>
      <name val="Arial"/>
      <family val="2"/>
    </font>
    <font>
      <b/>
      <i/>
      <sz val="11"/>
      <color rgb="FFFF0000"/>
      <name val="Arial"/>
      <family val="2"/>
    </font>
    <font>
      <b/>
      <sz val="11"/>
      <color rgb="FFFF0000"/>
      <name val="Arial"/>
      <family val="2"/>
    </font>
  </fonts>
  <fills count="95">
    <fill>
      <patternFill patternType="none"/>
    </fill>
    <fill>
      <patternFill patternType="gray125"/>
    </fill>
    <fill>
      <patternFill patternType="solid">
        <fgColor rgb="FFC6EFCE"/>
      </patternFill>
    </fill>
    <fill>
      <patternFill patternType="solid">
        <fgColor theme="0"/>
        <bgColor indexed="64"/>
      </patternFill>
    </fill>
    <fill>
      <patternFill patternType="solid">
        <fgColor rgb="FF0070C0"/>
        <bgColor indexed="64"/>
      </patternFill>
    </fill>
    <fill>
      <patternFill patternType="solid">
        <fgColor theme="8" tint="0.59999389629810485"/>
        <bgColor indexed="64"/>
      </patternFill>
    </fill>
    <fill>
      <patternFill patternType="solid">
        <fgColor rgb="FF00660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FF00"/>
        <bgColor indexed="64"/>
      </patternFill>
    </fill>
    <fill>
      <patternFill patternType="solid">
        <fgColor indexed="22"/>
      </patternFill>
    </fill>
    <fill>
      <patternFill patternType="solid">
        <fgColor indexed="47"/>
      </patternFill>
    </fill>
    <fill>
      <patternFill patternType="solid">
        <fgColor indexed="31"/>
      </patternFill>
    </fill>
    <fill>
      <patternFill patternType="solid">
        <fgColor indexed="44"/>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48"/>
      </patternFill>
    </fill>
    <fill>
      <patternFill patternType="solid">
        <fgColor indexed="30"/>
      </patternFill>
    </fill>
    <fill>
      <patternFill patternType="solid">
        <fgColor indexed="53"/>
      </patternFill>
    </fill>
    <fill>
      <patternFill patternType="solid">
        <fgColor indexed="36"/>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63"/>
      </patternFill>
    </fill>
    <fill>
      <patternFill patternType="solid">
        <fgColor indexed="55"/>
      </patternFill>
    </fill>
    <fill>
      <patternFill patternType="solid">
        <fgColor indexed="42"/>
        <bgColor indexed="29"/>
      </patternFill>
    </fill>
    <fill>
      <patternFill patternType="solid">
        <fgColor indexed="45"/>
        <bgColor indexed="64"/>
      </patternFill>
    </fill>
    <fill>
      <patternFill patternType="solid">
        <fgColor indexed="65"/>
        <bgColor indexed="10"/>
      </patternFill>
    </fill>
    <fill>
      <patternFill patternType="gray125">
        <fgColor indexed="10"/>
      </patternFill>
    </fill>
    <fill>
      <patternFill patternType="solid">
        <fgColor indexed="22"/>
        <bgColor indexed="64"/>
      </patternFill>
    </fill>
    <fill>
      <patternFill patternType="solid">
        <fgColor indexed="9"/>
        <bgColor indexed="64"/>
      </patternFill>
    </fill>
    <fill>
      <patternFill patternType="mediumGray">
        <fgColor indexed="22"/>
      </patternFill>
    </fill>
    <fill>
      <patternFill patternType="solid">
        <fgColor indexed="43"/>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bgColor indexed="64"/>
      </patternFill>
    </fill>
    <fill>
      <patternFill patternType="solid">
        <fgColor indexed="47"/>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rgb="FFFFFF99"/>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rgb="FF00B0F0"/>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indexed="40"/>
        <bgColor indexed="64"/>
      </patternFill>
    </fill>
    <fill>
      <patternFill patternType="solid">
        <fgColor indexed="15"/>
        <bgColor indexed="64"/>
      </patternFill>
    </fill>
    <fill>
      <patternFill patternType="solid">
        <fgColor theme="6" tint="0.39997558519241921"/>
        <bgColor indexed="64"/>
      </patternFill>
    </fill>
    <fill>
      <patternFill patternType="solid">
        <fgColor theme="8" tint="0.79998168889431442"/>
        <bgColor indexed="64"/>
      </patternFill>
    </fill>
  </fills>
  <borders count="68">
    <border>
      <left/>
      <right/>
      <top/>
      <bottom/>
      <diagonal/>
    </border>
    <border>
      <left style="medium">
        <color theme="0"/>
      </left>
      <right/>
      <top style="medium">
        <color theme="0"/>
      </top>
      <bottom/>
      <diagonal/>
    </border>
    <border>
      <left/>
      <right style="medium">
        <color theme="0"/>
      </right>
      <top style="medium">
        <color theme="0"/>
      </top>
      <bottom/>
      <diagonal/>
    </border>
    <border>
      <left/>
      <right/>
      <top style="medium">
        <color theme="0"/>
      </top>
      <bottom/>
      <diagonal/>
    </border>
    <border>
      <left style="medium">
        <color theme="0"/>
      </left>
      <right/>
      <top/>
      <bottom/>
      <diagonal/>
    </border>
    <border>
      <left/>
      <right style="medium">
        <color theme="0"/>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2"/>
      </left>
      <right style="double">
        <color indexed="62"/>
      </right>
      <top style="double">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thin">
        <color indexed="64"/>
      </bottom>
      <diagonal/>
    </border>
    <border>
      <left/>
      <right/>
      <top/>
      <bottom style="thick">
        <color indexed="49"/>
      </bottom>
      <diagonal/>
    </border>
    <border>
      <left/>
      <right/>
      <top/>
      <bottom style="thick">
        <color indexed="48"/>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49"/>
      </bottom>
      <diagonal/>
    </border>
    <border>
      <left/>
      <right/>
      <top/>
      <bottom style="medium">
        <color indexed="48"/>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1"/>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2"/>
      </left>
      <right style="thin">
        <color indexed="62"/>
      </right>
      <top style="thin">
        <color indexed="62"/>
      </top>
      <bottom style="thin">
        <color indexed="6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49"/>
      </top>
      <bottom style="double">
        <color indexed="49"/>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56"/>
      </top>
      <bottom style="double">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medium">
        <color indexed="62"/>
      </left>
      <right style="medium">
        <color indexed="62"/>
      </right>
      <top style="medium">
        <color indexed="62"/>
      </top>
      <bottom style="medium">
        <color indexed="62"/>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bottom style="double">
        <color indexed="64"/>
      </bottom>
      <diagonal/>
    </border>
    <border>
      <left/>
      <right/>
      <top style="double">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double">
        <color indexed="64"/>
      </top>
      <bottom style="double">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s>
  <cellStyleXfs count="1311">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 fillId="0" borderId="0"/>
    <xf numFmtId="166" fontId="11" fillId="0" borderId="0"/>
    <xf numFmtId="43" fontId="3" fillId="0" borderId="0" applyFont="0" applyFill="0" applyBorder="0" applyAlignment="0" applyProtection="0"/>
    <xf numFmtId="0" fontId="3" fillId="0" borderId="0"/>
    <xf numFmtId="9" fontId="15" fillId="0" borderId="0" applyFont="0" applyFill="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6"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8"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18" borderId="0" applyNumberFormat="0" applyBorder="0" applyAlignment="0" applyProtection="0"/>
    <xf numFmtId="0" fontId="15" fillId="13" borderId="0" applyNumberFormat="0" applyBorder="0" applyAlignment="0" applyProtection="0"/>
    <xf numFmtId="0" fontId="15" fillId="18" borderId="0" applyNumberFormat="0" applyBorder="0" applyAlignment="0" applyProtection="0"/>
    <xf numFmtId="0" fontId="15" fillId="12"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2" borderId="0" applyNumberFormat="0" applyBorder="0" applyAlignment="0" applyProtection="0"/>
    <xf numFmtId="0" fontId="15" fillId="12"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28"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12"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5" borderId="0" applyNumberFormat="0" applyBorder="0" applyAlignment="0" applyProtection="0"/>
    <xf numFmtId="0" fontId="18" fillId="21" borderId="0" applyNumberFormat="0" applyBorder="0" applyAlignment="0" applyProtection="0"/>
    <xf numFmtId="0" fontId="18" fillId="16" borderId="0" applyNumberFormat="0" applyBorder="0" applyAlignment="0" applyProtection="0"/>
    <xf numFmtId="0" fontId="18" fillId="30" borderId="0" applyNumberFormat="0" applyBorder="0" applyAlignment="0" applyProtection="0"/>
    <xf numFmtId="0" fontId="18" fillId="16"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28"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2" borderId="0" applyNumberFormat="0" applyBorder="0" applyAlignment="0" applyProtection="0"/>
    <xf numFmtId="0" fontId="18" fillId="34"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5" borderId="0" applyNumberFormat="0" applyBorder="0" applyAlignment="0" applyProtection="0"/>
    <xf numFmtId="0" fontId="18" fillId="26" borderId="0" applyNumberFormat="0" applyBorder="0" applyAlignment="0" applyProtection="0"/>
    <xf numFmtId="0" fontId="18" fillId="25"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30" borderId="0" applyNumberFormat="0" applyBorder="0" applyAlignment="0" applyProtection="0"/>
    <xf numFmtId="0" fontId="18" fillId="28" borderId="0" applyNumberFormat="0" applyBorder="0" applyAlignment="0" applyProtection="0"/>
    <xf numFmtId="0" fontId="18" fillId="33" borderId="0" applyNumberFormat="0" applyBorder="0" applyAlignment="0" applyProtection="0"/>
    <xf numFmtId="41" fontId="3" fillId="0" borderId="0"/>
    <xf numFmtId="41" fontId="3" fillId="0" borderId="0"/>
    <xf numFmtId="41" fontId="3" fillId="0" borderId="0"/>
    <xf numFmtId="41" fontId="3" fillId="0" borderId="0"/>
    <xf numFmtId="49" fontId="19" fillId="0" borderId="0" applyFill="0" applyBorder="0" applyAlignment="0" applyProtection="0"/>
    <xf numFmtId="0" fontId="20" fillId="0" borderId="6" applyBorder="0">
      <alignment horizontal="center" vertical="center" wrapText="1"/>
    </xf>
    <xf numFmtId="0" fontId="21" fillId="17" borderId="0" applyNumberFormat="0" applyBorder="0" applyAlignment="0" applyProtection="0"/>
    <xf numFmtId="0" fontId="21" fillId="17" borderId="0" applyNumberFormat="0" applyBorder="0" applyAlignment="0" applyProtection="0"/>
    <xf numFmtId="0" fontId="21" fillId="20" borderId="0" applyNumberFormat="0" applyBorder="0" applyAlignment="0" applyProtection="0"/>
    <xf numFmtId="3" fontId="3" fillId="0" borderId="0"/>
    <xf numFmtId="3" fontId="3" fillId="0" borderId="0"/>
    <xf numFmtId="3" fontId="3" fillId="0" borderId="0"/>
    <xf numFmtId="3" fontId="3" fillId="0" borderId="0"/>
    <xf numFmtId="0" fontId="22" fillId="36" borderId="9" applyNumberFormat="0" applyAlignment="0" applyProtection="0"/>
    <xf numFmtId="0" fontId="22" fillId="36" borderId="9" applyNumberFormat="0" applyAlignment="0" applyProtection="0"/>
    <xf numFmtId="0" fontId="23" fillId="36" borderId="9" applyNumberFormat="0" applyAlignment="0" applyProtection="0"/>
    <xf numFmtId="0" fontId="22" fillId="12" borderId="9" applyNumberFormat="0" applyAlignment="0" applyProtection="0"/>
    <xf numFmtId="0" fontId="22" fillId="12" borderId="9" applyNumberFormat="0" applyAlignment="0" applyProtection="0"/>
    <xf numFmtId="0" fontId="24" fillId="36" borderId="9" applyNumberFormat="0" applyAlignment="0" applyProtection="0"/>
    <xf numFmtId="0" fontId="24" fillId="36" borderId="9" applyNumberFormat="0" applyAlignment="0" applyProtection="0"/>
    <xf numFmtId="0" fontId="25" fillId="37" borderId="10" applyNumberFormat="0" applyAlignment="0" applyProtection="0"/>
    <xf numFmtId="0" fontId="25" fillId="38" borderId="11" applyNumberFormat="0" applyAlignment="0" applyProtection="0"/>
    <xf numFmtId="0" fontId="26" fillId="39" borderId="0" applyNumberFormat="0" applyBorder="0" applyAlignment="0" applyProtection="0">
      <alignment horizontal="center"/>
      <protection hidden="1"/>
    </xf>
    <xf numFmtId="0" fontId="3" fillId="40" borderId="0">
      <alignment horizontal="center"/>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alignment vertical="top"/>
    </xf>
    <xf numFmtId="43" fontId="1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 fontId="29" fillId="0" borderId="0"/>
    <xf numFmtId="3" fontId="31" fillId="0" borderId="0" applyFont="0" applyFill="0" applyBorder="0" applyAlignment="0" applyProtection="0"/>
    <xf numFmtId="0" fontId="32" fillId="0" borderId="0"/>
    <xf numFmtId="0" fontId="32" fillId="0" borderId="0"/>
    <xf numFmtId="0" fontId="33" fillId="41" borderId="12" applyAlignment="0">
      <alignment horizontal="right"/>
      <protection locked="0"/>
    </xf>
    <xf numFmtId="44" fontId="1" fillId="0" borderId="0" applyFont="0" applyFill="0" applyBorder="0" applyAlignment="0" applyProtection="0"/>
    <xf numFmtId="44" fontId="3" fillId="0" borderId="0" applyFont="0" applyFill="0" applyBorder="0" applyAlignment="0" applyProtection="0"/>
    <xf numFmtId="44" fontId="11"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4"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7"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5" fillId="0" borderId="0" applyFont="0" applyFill="0" applyBorder="0" applyAlignment="0" applyProtection="0"/>
    <xf numFmtId="44" fontId="27" fillId="0" borderId="0" applyFont="0" applyFill="0" applyBorder="0" applyAlignment="0" applyProtection="0"/>
    <xf numFmtId="44" fontId="1" fillId="0" borderId="0" applyFont="0" applyFill="0" applyBorder="0" applyAlignment="0" applyProtection="0"/>
    <xf numFmtId="44" fontId="27" fillId="0" borderId="0" applyFont="0" applyFill="0" applyBorder="0" applyAlignment="0" applyProtection="0"/>
    <xf numFmtId="44" fontId="15" fillId="0" borderId="0" applyFont="0" applyFill="0" applyBorder="0" applyAlignment="0" applyProtection="0"/>
    <xf numFmtId="44" fontId="1" fillId="0" borderId="0" applyFont="0" applyFill="0" applyBorder="0" applyAlignment="0" applyProtection="0"/>
    <xf numFmtId="44" fontId="27" fillId="0" borderId="0" applyFont="0" applyFill="0" applyBorder="0" applyAlignment="0" applyProtection="0"/>
    <xf numFmtId="44" fontId="3" fillId="0" borderId="0" applyFont="0" applyFill="0" applyBorder="0" applyAlignment="0" applyProtection="0"/>
    <xf numFmtId="44" fontId="15" fillId="0" borderId="0" applyFont="0" applyFill="0" applyBorder="0" applyAlignment="0" applyProtection="0"/>
    <xf numFmtId="44" fontId="3"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ont="0" applyFill="0" applyBorder="0" applyAlignment="0" applyProtection="0"/>
    <xf numFmtId="44" fontId="15" fillId="0" borderId="0" applyFont="0" applyFill="0" applyBorder="0" applyAlignment="0" applyProtection="0"/>
    <xf numFmtId="167" fontId="31" fillId="0" borderId="0" applyFont="0" applyFill="0" applyBorder="0" applyAlignment="0" applyProtection="0"/>
    <xf numFmtId="0" fontId="35" fillId="42" borderId="0">
      <alignment horizontal="right"/>
      <protection locked="0"/>
    </xf>
    <xf numFmtId="14" fontId="3" fillId="0" borderId="0"/>
    <xf numFmtId="0" fontId="36" fillId="0" borderId="0" applyNumberFormat="0" applyFill="0" applyBorder="0" applyAlignment="0" applyProtection="0"/>
    <xf numFmtId="0" fontId="36" fillId="0" borderId="0" applyNumberFormat="0" applyFill="0" applyBorder="0" applyAlignment="0" applyProtection="0"/>
    <xf numFmtId="0" fontId="3" fillId="0" borderId="0"/>
    <xf numFmtId="2" fontId="35" fillId="42" borderId="0">
      <alignment horizontal="right"/>
      <protection locked="0"/>
    </xf>
    <xf numFmtId="1" fontId="3" fillId="0" borderId="0">
      <alignment horizontal="center"/>
    </xf>
    <xf numFmtId="0" fontId="37" fillId="19" borderId="0" applyNumberFormat="0" applyBorder="0" applyAlignment="0" applyProtection="0"/>
    <xf numFmtId="0" fontId="37" fillId="19" borderId="0" applyNumberFormat="0" applyBorder="0" applyAlignment="0" applyProtection="0"/>
    <xf numFmtId="0" fontId="37" fillId="21" borderId="0" applyNumberFormat="0" applyBorder="0" applyAlignment="0" applyProtection="0"/>
    <xf numFmtId="0" fontId="2" fillId="2" borderId="0" applyNumberFormat="0" applyBorder="0" applyAlignment="0" applyProtection="0"/>
    <xf numFmtId="0" fontId="38" fillId="0" borderId="13" applyNumberFormat="0" applyFill="0" applyAlignment="0" applyProtection="0"/>
    <xf numFmtId="0" fontId="38" fillId="0" borderId="13" applyNumberFormat="0" applyFill="0" applyAlignment="0" applyProtection="0"/>
    <xf numFmtId="0" fontId="39" fillId="0" borderId="14" applyNumberFormat="0" applyFill="0" applyAlignment="0" applyProtection="0"/>
    <xf numFmtId="0" fontId="40" fillId="0" borderId="15" applyNumberFormat="0" applyFill="0" applyAlignment="0" applyProtection="0"/>
    <xf numFmtId="0" fontId="40" fillId="0" borderId="15" applyNumberFormat="0" applyFill="0" applyAlignment="0" applyProtection="0"/>
    <xf numFmtId="0" fontId="38" fillId="0" borderId="16" applyNumberFormat="0" applyFill="0" applyAlignment="0" applyProtection="0"/>
    <xf numFmtId="0" fontId="38" fillId="0" borderId="16"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2" fillId="0" borderId="17" applyNumberFormat="0" applyFill="0" applyAlignment="0" applyProtection="0"/>
    <xf numFmtId="0" fontId="43" fillId="0" borderId="17" applyNumberFormat="0" applyFill="0" applyAlignment="0" applyProtection="0"/>
    <xf numFmtId="0" fontId="43" fillId="0" borderId="17" applyNumberFormat="0" applyFill="0" applyAlignment="0" applyProtection="0"/>
    <xf numFmtId="0" fontId="41" fillId="0" borderId="18" applyNumberFormat="0" applyFill="0" applyAlignment="0" applyProtection="0"/>
    <xf numFmtId="0" fontId="41" fillId="0" borderId="18" applyNumberFormat="0" applyFill="0" applyAlignment="0" applyProtection="0"/>
    <xf numFmtId="0" fontId="44" fillId="0" borderId="19" applyNumberFormat="0" applyFill="0" applyAlignment="0" applyProtection="0"/>
    <xf numFmtId="0" fontId="44" fillId="0" borderId="19" applyNumberFormat="0" applyFill="0" applyAlignment="0" applyProtection="0"/>
    <xf numFmtId="0" fontId="45" fillId="0" borderId="20" applyNumberFormat="0" applyFill="0" applyAlignment="0" applyProtection="0"/>
    <xf numFmtId="0" fontId="46" fillId="0" borderId="21" applyNumberFormat="0" applyFill="0" applyAlignment="0" applyProtection="0"/>
    <xf numFmtId="0" fontId="46" fillId="0" borderId="21" applyNumberFormat="0" applyFill="0" applyAlignment="0" applyProtection="0"/>
    <xf numFmtId="0" fontId="44" fillId="0" borderId="22" applyNumberFormat="0" applyFill="0" applyAlignment="0" applyProtection="0"/>
    <xf numFmtId="0" fontId="44" fillId="0" borderId="22" applyNumberFormat="0" applyFill="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4" fillId="0" borderId="0" applyNumberFormat="0" applyFill="0" applyBorder="0" applyAlignment="0" applyProtection="0"/>
    <xf numFmtId="0" fontId="47"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50" fillId="22" borderId="9" applyNumberFormat="0" applyAlignment="0" applyProtection="0"/>
    <xf numFmtId="0" fontId="51" fillId="13" borderId="9" applyNumberFormat="0" applyAlignment="0" applyProtection="0"/>
    <xf numFmtId="0" fontId="51" fillId="22" borderId="9" applyNumberFormat="0" applyAlignment="0" applyProtection="0"/>
    <xf numFmtId="3" fontId="52" fillId="43" borderId="0">
      <protection locked="0"/>
    </xf>
    <xf numFmtId="4" fontId="52" fillId="43" borderId="0">
      <protection locked="0"/>
    </xf>
    <xf numFmtId="0" fontId="20" fillId="0" borderId="6" applyBorder="0">
      <alignment horizontal="center" vertical="center" wrapText="1"/>
    </xf>
    <xf numFmtId="0" fontId="53" fillId="0" borderId="23" applyNumberFormat="0" applyFill="0" applyAlignment="0" applyProtection="0"/>
    <xf numFmtId="0" fontId="53" fillId="0" borderId="23" applyNumberFormat="0" applyFill="0" applyAlignment="0" applyProtection="0"/>
    <xf numFmtId="0" fontId="54" fillId="0" borderId="24" applyNumberFormat="0" applyFill="0" applyAlignment="0" applyProtection="0"/>
    <xf numFmtId="0" fontId="53" fillId="0" borderId="23" applyNumberFormat="0" applyFill="0" applyAlignment="0" applyProtection="0"/>
    <xf numFmtId="0" fontId="55" fillId="0" borderId="25" applyNumberFormat="0" applyFill="0" applyAlignment="0" applyProtection="0"/>
    <xf numFmtId="0" fontId="56" fillId="22" borderId="0" applyNumberFormat="0" applyBorder="0" applyAlignment="0" applyProtection="0"/>
    <xf numFmtId="0" fontId="56" fillId="22" borderId="0" applyNumberFormat="0" applyBorder="0" applyAlignment="0" applyProtection="0"/>
    <xf numFmtId="0" fontId="57" fillId="22" borderId="0" applyNumberFormat="0" applyBorder="0" applyAlignment="0" applyProtection="0"/>
    <xf numFmtId="0" fontId="56" fillId="22" borderId="0" applyNumberFormat="0" applyBorder="0" applyAlignment="0" applyProtection="0"/>
    <xf numFmtId="0" fontId="58" fillId="22" borderId="0" applyNumberFormat="0" applyBorder="0" applyAlignment="0" applyProtection="0"/>
    <xf numFmtId="43" fontId="3" fillId="0" borderId="0"/>
    <xf numFmtId="0" fontId="11" fillId="0" borderId="0"/>
    <xf numFmtId="0" fontId="11" fillId="0" borderId="0"/>
    <xf numFmtId="0" fontId="11" fillId="0" borderId="0"/>
    <xf numFmtId="0" fontId="11" fillId="0" borderId="0"/>
    <xf numFmtId="0" fontId="11" fillId="0" borderId="0"/>
    <xf numFmtId="0" fontId="3" fillId="0" borderId="0"/>
    <xf numFmtId="0" fontId="15" fillId="0" borderId="0"/>
    <xf numFmtId="0" fontId="1" fillId="0" borderId="0"/>
    <xf numFmtId="0" fontId="15" fillId="0" borderId="0"/>
    <xf numFmtId="0" fontId="15" fillId="0" borderId="0"/>
    <xf numFmtId="0" fontId="3" fillId="0" borderId="0"/>
    <xf numFmtId="0" fontId="3" fillId="0" borderId="0">
      <alignmen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3" fillId="0" borderId="0"/>
    <xf numFmtId="0" fontId="1" fillId="0" borderId="0"/>
    <xf numFmtId="0" fontId="3" fillId="0" borderId="0"/>
    <xf numFmtId="0" fontId="3" fillId="0" borderId="0"/>
    <xf numFmtId="0" fontId="3" fillId="0" borderId="0"/>
    <xf numFmtId="0" fontId="59" fillId="0" borderId="0"/>
    <xf numFmtId="0" fontId="15" fillId="0" borderId="0"/>
    <xf numFmtId="0" fontId="1" fillId="0" borderId="0"/>
    <xf numFmtId="0" fontId="59" fillId="0" borderId="0"/>
    <xf numFmtId="0" fontId="3" fillId="0" borderId="0"/>
    <xf numFmtId="0" fontId="1" fillId="0" borderId="0"/>
    <xf numFmtId="0" fontId="59" fillId="0" borderId="0"/>
    <xf numFmtId="0" fontId="28" fillId="0" borderId="0"/>
    <xf numFmtId="0" fontId="15" fillId="0" borderId="0"/>
    <xf numFmtId="0" fontId="1" fillId="0" borderId="0"/>
    <xf numFmtId="0" fontId="28" fillId="0" borderId="0"/>
    <xf numFmtId="0" fontId="3" fillId="0" borderId="0"/>
    <xf numFmtId="0" fontId="1" fillId="0" borderId="0"/>
    <xf numFmtId="0" fontId="28" fillId="0" borderId="0"/>
    <xf numFmtId="0" fontId="1" fillId="0" borderId="0"/>
    <xf numFmtId="0" fontId="15" fillId="0" borderId="0"/>
    <xf numFmtId="0" fontId="1" fillId="0" borderId="0"/>
    <xf numFmtId="0" fontId="3" fillId="0" borderId="0"/>
    <xf numFmtId="0" fontId="1" fillId="0" borderId="0"/>
    <xf numFmtId="0" fontId="15" fillId="0" borderId="0"/>
    <xf numFmtId="0" fontId="15" fillId="0" borderId="0"/>
    <xf numFmtId="0" fontId="3" fillId="0" borderId="0"/>
    <xf numFmtId="0" fontId="1" fillId="0" borderId="0"/>
    <xf numFmtId="0" fontId="15"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1" fillId="0" borderId="0"/>
    <xf numFmtId="166" fontId="11"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alignment wrapText="1"/>
    </xf>
    <xf numFmtId="0" fontId="15" fillId="0" borderId="0"/>
    <xf numFmtId="0" fontId="15" fillId="0" borderId="0"/>
    <xf numFmtId="0" fontId="3" fillId="0" borderId="0"/>
    <xf numFmtId="0" fontId="15" fillId="0" borderId="0"/>
    <xf numFmtId="0" fontId="15" fillId="0" borderId="0"/>
    <xf numFmtId="0" fontId="3" fillId="0" borderId="0"/>
    <xf numFmtId="0" fontId="3" fillId="0" borderId="0"/>
    <xf numFmtId="0" fontId="3" fillId="0" borderId="0"/>
    <xf numFmtId="0" fontId="3" fillId="0" borderId="0">
      <alignment wrapText="1"/>
    </xf>
    <xf numFmtId="0" fontId="29" fillId="0" borderId="0">
      <alignment vertical="top"/>
    </xf>
    <xf numFmtId="0" fontId="3" fillId="0" borderId="0"/>
    <xf numFmtId="0" fontId="3" fillId="0" borderId="0"/>
    <xf numFmtId="0" fontId="3" fillId="0" borderId="0"/>
    <xf numFmtId="0" fontId="3" fillId="0" borderId="0"/>
    <xf numFmtId="0" fontId="3" fillId="0" borderId="0"/>
    <xf numFmtId="0" fontId="31" fillId="0" borderId="0"/>
    <xf numFmtId="0" fontId="3" fillId="0" borderId="0"/>
    <xf numFmtId="0" fontId="3" fillId="0" borderId="0"/>
    <xf numFmtId="0" fontId="1" fillId="0" borderId="0"/>
    <xf numFmtId="0" fontId="3" fillId="0" borderId="0"/>
    <xf numFmtId="0" fontId="1" fillId="0" borderId="0"/>
    <xf numFmtId="0" fontId="15" fillId="0" borderId="0"/>
    <xf numFmtId="0" fontId="15" fillId="0" borderId="0"/>
    <xf numFmtId="0" fontId="11" fillId="0" borderId="0"/>
    <xf numFmtId="166" fontId="11" fillId="0" borderId="0"/>
    <xf numFmtId="0" fontId="29" fillId="0" borderId="0">
      <alignment vertical="top"/>
    </xf>
    <xf numFmtId="0" fontId="3" fillId="0" borderId="0"/>
    <xf numFmtId="0" fontId="3" fillId="0" borderId="0"/>
    <xf numFmtId="0" fontId="3" fillId="0" borderId="0"/>
    <xf numFmtId="0" fontId="31"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 fillId="0" borderId="0"/>
    <xf numFmtId="0" fontId="3" fillId="0" borderId="0"/>
    <xf numFmtId="0" fontId="1" fillId="0" borderId="0"/>
    <xf numFmtId="0" fontId="1"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3" fillId="0" borderId="0"/>
    <xf numFmtId="0" fontId="3" fillId="0" borderId="0"/>
    <xf numFmtId="0" fontId="59" fillId="0" borderId="0"/>
    <xf numFmtId="0" fontId="15" fillId="0" borderId="0"/>
    <xf numFmtId="0" fontId="29" fillId="0" borderId="0">
      <alignment vertical="top"/>
    </xf>
    <xf numFmtId="0" fontId="29" fillId="0" borderId="0">
      <alignment vertical="top"/>
    </xf>
    <xf numFmtId="0" fontId="29" fillId="0" borderId="0">
      <alignment vertical="top"/>
    </xf>
    <xf numFmtId="0" fontId="15" fillId="0" borderId="0"/>
    <xf numFmtId="0" fontId="3"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3" fillId="0" borderId="0"/>
    <xf numFmtId="0" fontId="5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18" borderId="26" applyNumberFormat="0" applyFont="0" applyAlignment="0" applyProtection="0"/>
    <xf numFmtId="0" fontId="15" fillId="18" borderId="26" applyNumberFormat="0" applyFont="0" applyAlignment="0" applyProtection="0"/>
    <xf numFmtId="0" fontId="29" fillId="18" borderId="26" applyNumberFormat="0" applyFont="0" applyAlignment="0" applyProtection="0"/>
    <xf numFmtId="0" fontId="5" fillId="18" borderId="26" applyNumberFormat="0" applyFont="0" applyAlignment="0" applyProtection="0"/>
    <xf numFmtId="0" fontId="5" fillId="18" borderId="26" applyNumberFormat="0" applyFont="0" applyAlignment="0" applyProtection="0"/>
    <xf numFmtId="0" fontId="11" fillId="18" borderId="26" applyNumberFormat="0" applyFont="0" applyAlignment="0" applyProtection="0"/>
    <xf numFmtId="0" fontId="11" fillId="18" borderId="26" applyNumberFormat="0" applyFont="0" applyAlignment="0" applyProtection="0"/>
    <xf numFmtId="168" fontId="61" fillId="0" borderId="0" applyNumberFormat="0"/>
    <xf numFmtId="0" fontId="44" fillId="36" borderId="27" applyNumberFormat="0" applyAlignment="0" applyProtection="0"/>
    <xf numFmtId="0" fontId="62" fillId="12" borderId="28" applyNumberFormat="0" applyAlignment="0" applyProtection="0"/>
    <xf numFmtId="0" fontId="62" fillId="36" borderId="28" applyNumberFormat="0" applyAlignment="0" applyProtection="0"/>
    <xf numFmtId="9" fontId="2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3" fillId="0" borderId="0" applyFont="0" applyFill="0" applyBorder="0" applyAlignment="0" applyProtection="0"/>
    <xf numFmtId="9" fontId="15" fillId="0" borderId="0" applyFont="0" applyFill="0" applyBorder="0" applyAlignment="0" applyProtection="0"/>
    <xf numFmtId="9" fontId="28"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9" fillId="0" borderId="0" applyFont="0" applyFill="0" applyBorder="0" applyAlignment="0" applyProtection="0"/>
    <xf numFmtId="9" fontId="27" fillId="0" borderId="0" applyFont="0" applyFill="0" applyBorder="0" applyAlignment="0" applyProtection="0"/>
    <xf numFmtId="9" fontId="3" fillId="0" borderId="0" applyFont="0" applyFill="0" applyBorder="0" applyAlignment="0" applyProtection="0"/>
    <xf numFmtId="9" fontId="15" fillId="0" borderId="0" applyFont="0" applyFill="0" applyBorder="0" applyAlignment="0" applyProtection="0"/>
    <xf numFmtId="9" fontId="3"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168" fontId="3" fillId="0" borderId="0" applyFont="0" applyFill="0" applyBorder="0" applyAlignment="0" applyProtection="0"/>
    <xf numFmtId="10" fontId="3" fillId="0" borderId="0" applyFont="0" applyFill="0" applyBorder="0" applyAlignment="0" applyProtection="0"/>
    <xf numFmtId="169" fontId="34" fillId="0" borderId="0">
      <alignment horizontal="center"/>
    </xf>
    <xf numFmtId="0" fontId="3" fillId="0" borderId="0"/>
    <xf numFmtId="0" fontId="3" fillId="0" borderId="0"/>
    <xf numFmtId="0" fontId="3" fillId="0" borderId="0"/>
    <xf numFmtId="0" fontId="3" fillId="0" borderId="0"/>
    <xf numFmtId="38" fontId="63" fillId="0" borderId="0" applyNumberFormat="0" applyFont="0" applyFill="0" applyBorder="0">
      <alignment horizontal="left" indent="4"/>
      <protection locked="0"/>
    </xf>
    <xf numFmtId="0" fontId="31" fillId="0" borderId="0" applyNumberFormat="0" applyFont="0" applyFill="0" applyBorder="0" applyAlignment="0" applyProtection="0">
      <alignment horizontal="left"/>
    </xf>
    <xf numFmtId="15" fontId="31" fillId="0" borderId="0" applyFont="0" applyFill="0" applyBorder="0" applyAlignment="0" applyProtection="0"/>
    <xf numFmtId="4" fontId="31" fillId="0" borderId="0" applyFont="0" applyFill="0" applyBorder="0" applyAlignment="0" applyProtection="0"/>
    <xf numFmtId="0" fontId="64" fillId="0" borderId="29">
      <alignment horizontal="center"/>
    </xf>
    <xf numFmtId="3" fontId="31" fillId="0" borderId="0" applyFont="0" applyFill="0" applyBorder="0" applyAlignment="0" applyProtection="0"/>
    <xf numFmtId="0" fontId="31" fillId="45" borderId="0" applyNumberFormat="0" applyFont="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29" fillId="0" borderId="0">
      <alignment vertical="top"/>
    </xf>
    <xf numFmtId="0" fontId="29" fillId="0" borderId="0">
      <alignment vertical="top"/>
    </xf>
    <xf numFmtId="0" fontId="29" fillId="0" borderId="0" applyNumberFormat="0" applyBorder="0" applyAlignment="0"/>
    <xf numFmtId="37" fontId="66" fillId="0" borderId="0"/>
    <xf numFmtId="170" fontId="67" fillId="44" borderId="0" applyFill="0" applyBorder="0" applyProtection="0">
      <alignment horizontal="center"/>
      <protection hidden="1"/>
    </xf>
    <xf numFmtId="0" fontId="68"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30" applyNumberFormat="0" applyFill="0" applyAlignment="0" applyProtection="0"/>
    <xf numFmtId="0" fontId="71" fillId="0" borderId="30" applyNumberFormat="0" applyFill="0" applyAlignment="0" applyProtection="0"/>
    <xf numFmtId="0" fontId="71" fillId="0" borderId="31" applyNumberFormat="0" applyFill="0" applyAlignment="0" applyProtection="0"/>
    <xf numFmtId="0" fontId="71" fillId="0" borderId="32" applyNumberFormat="0" applyFill="0" applyAlignment="0" applyProtection="0"/>
    <xf numFmtId="0" fontId="71" fillId="0" borderId="32" applyNumberFormat="0" applyFill="0" applyAlignment="0" applyProtection="0"/>
    <xf numFmtId="0" fontId="71" fillId="0" borderId="33" applyNumberFormat="0" applyFill="0" applyAlignment="0" applyProtection="0"/>
    <xf numFmtId="0" fontId="71" fillId="0" borderId="33" applyNumberFormat="0" applyFill="0" applyAlignment="0" applyProtection="0"/>
    <xf numFmtId="0" fontId="72" fillId="0" borderId="0">
      <alignment horizontal="center"/>
    </xf>
    <xf numFmtId="0" fontId="55" fillId="0" borderId="0" applyNumberFormat="0" applyFill="0" applyBorder="0" applyAlignment="0" applyProtection="0"/>
    <xf numFmtId="0" fontId="55" fillId="0" borderId="0" applyNumberFormat="0" applyFill="0" applyBorder="0" applyAlignment="0" applyProtection="0"/>
    <xf numFmtId="165" fontId="60" fillId="46" borderId="0" applyFont="0" applyFill="0" applyBorder="0" applyAlignment="0" applyProtection="0">
      <alignment wrapText="1"/>
    </xf>
    <xf numFmtId="37" fontId="60" fillId="44" borderId="0" applyFill="0"/>
    <xf numFmtId="166" fontId="11" fillId="0" borderId="0"/>
    <xf numFmtId="0" fontId="3" fillId="0" borderId="0"/>
    <xf numFmtId="166" fontId="11" fillId="0" borderId="0"/>
    <xf numFmtId="0" fontId="111" fillId="0" borderId="0" applyNumberFormat="0" applyFill="0" applyBorder="0" applyAlignment="0" applyProtection="0">
      <alignment vertical="top"/>
      <protection locked="0"/>
    </xf>
    <xf numFmtId="0" fontId="3" fillId="0" borderId="0"/>
    <xf numFmtId="0" fontId="3" fillId="0" borderId="0"/>
    <xf numFmtId="0" fontId="3" fillId="0" borderId="0"/>
    <xf numFmtId="0" fontId="15" fillId="15"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5" fillId="12" borderId="0" applyNumberFormat="0" applyBorder="0" applyAlignment="0" applyProtection="0"/>
    <xf numFmtId="0" fontId="15" fillId="2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5" fillId="12" borderId="0" applyNumberFormat="0" applyBorder="0" applyAlignment="0" applyProtection="0"/>
    <xf numFmtId="0" fontId="15" fillId="1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5" fillId="15" borderId="0" applyNumberFormat="0" applyBorder="0" applyAlignment="0" applyProtection="0"/>
    <xf numFmtId="0" fontId="15" fillId="2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5" fillId="22" borderId="0" applyNumberFormat="0" applyBorder="0" applyAlignment="0" applyProtection="0"/>
    <xf numFmtId="0" fontId="15" fillId="18"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8" fillId="21" borderId="0" applyNumberFormat="0" applyBorder="0" applyAlignment="0" applyProtection="0"/>
    <xf numFmtId="0" fontId="87" fillId="56" borderId="0" applyNumberFormat="0" applyBorder="0" applyAlignment="0" applyProtection="0"/>
    <xf numFmtId="0" fontId="18" fillId="16" borderId="0" applyNumberFormat="0" applyBorder="0" applyAlignment="0" applyProtection="0"/>
    <xf numFmtId="0" fontId="18" fillId="28" borderId="0" applyNumberFormat="0" applyBorder="0" applyAlignment="0" applyProtection="0"/>
    <xf numFmtId="0" fontId="87" fillId="60"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87" fillId="64" borderId="0" applyNumberFormat="0" applyBorder="0" applyAlignment="0" applyProtection="0"/>
    <xf numFmtId="0" fontId="18" fillId="12" borderId="0" applyNumberFormat="0" applyBorder="0" applyAlignment="0" applyProtection="0"/>
    <xf numFmtId="0" fontId="18" fillId="17" borderId="0" applyNumberFormat="0" applyBorder="0" applyAlignment="0" applyProtection="0"/>
    <xf numFmtId="0" fontId="87" fillId="68" borderId="0" applyNumberFormat="0" applyBorder="0" applyAlignment="0" applyProtection="0"/>
    <xf numFmtId="0" fontId="18" fillId="21" borderId="0" applyNumberFormat="0" applyBorder="0" applyAlignment="0" applyProtection="0"/>
    <xf numFmtId="0" fontId="87" fillId="72" borderId="0" applyNumberFormat="0" applyBorder="0" applyAlignment="0" applyProtection="0"/>
    <xf numFmtId="0" fontId="87" fillId="76" borderId="0" applyNumberFormat="0" applyBorder="0" applyAlignment="0" applyProtection="0"/>
    <xf numFmtId="0" fontId="18" fillId="32" borderId="0" applyNumberFormat="0" applyBorder="0" applyAlignment="0" applyProtection="0"/>
    <xf numFmtId="0" fontId="87" fillId="53" borderId="0" applyNumberFormat="0" applyBorder="0" applyAlignment="0" applyProtection="0"/>
    <xf numFmtId="0" fontId="18" fillId="33" borderId="0" applyNumberFormat="0" applyBorder="0" applyAlignment="0" applyProtection="0"/>
    <xf numFmtId="0" fontId="18" fillId="28" borderId="0" applyNumberFormat="0" applyBorder="0" applyAlignment="0" applyProtection="0"/>
    <xf numFmtId="0" fontId="87" fillId="57" borderId="0" applyNumberFormat="0" applyBorder="0" applyAlignment="0" applyProtection="0"/>
    <xf numFmtId="0" fontId="18" fillId="24" borderId="0" applyNumberFormat="0" applyBorder="0" applyAlignment="0" applyProtection="0"/>
    <xf numFmtId="0" fontId="87" fillId="61" borderId="0" applyNumberFormat="0" applyBorder="0" applyAlignment="0" applyProtection="0"/>
    <xf numFmtId="0" fontId="18" fillId="28" borderId="0" applyNumberFormat="0" applyBorder="0" applyAlignment="0" applyProtection="0"/>
    <xf numFmtId="0" fontId="18" fillId="35" borderId="0" applyNumberFormat="0" applyBorder="0" applyAlignment="0" applyProtection="0"/>
    <xf numFmtId="0" fontId="87" fillId="65" borderId="0" applyNumberFormat="0" applyBorder="0" applyAlignment="0" applyProtection="0"/>
    <xf numFmtId="0" fontId="18" fillId="26" borderId="0" applyNumberFormat="0" applyBorder="0" applyAlignment="0" applyProtection="0"/>
    <xf numFmtId="0" fontId="18" fillId="25" borderId="0" applyNumberFormat="0" applyBorder="0" applyAlignment="0" applyProtection="0"/>
    <xf numFmtId="0" fontId="87" fillId="69" borderId="0" applyNumberFormat="0" applyBorder="0" applyAlignment="0" applyProtection="0"/>
    <xf numFmtId="0" fontId="18" fillId="33" borderId="0" applyNumberFormat="0" applyBorder="0" applyAlignment="0" applyProtection="0"/>
    <xf numFmtId="0" fontId="87" fillId="73" borderId="0" applyNumberFormat="0" applyBorder="0" applyAlignment="0" applyProtection="0"/>
    <xf numFmtId="0" fontId="21" fillId="17" borderId="0" applyNumberFormat="0" applyBorder="0" applyAlignment="0" applyProtection="0"/>
    <xf numFmtId="0" fontId="21" fillId="20" borderId="0" applyNumberFormat="0" applyBorder="0" applyAlignment="0" applyProtection="0"/>
    <xf numFmtId="0" fontId="77" fillId="47" borderId="0" applyNumberFormat="0" applyBorder="0" applyAlignment="0" applyProtection="0"/>
    <xf numFmtId="0" fontId="24" fillId="36" borderId="9" applyNumberFormat="0" applyAlignment="0" applyProtection="0"/>
    <xf numFmtId="0" fontId="81" fillId="50" borderId="37" applyNumberFormat="0" applyAlignment="0" applyProtection="0"/>
    <xf numFmtId="0" fontId="25" fillId="37" borderId="10" applyNumberFormat="0" applyAlignment="0" applyProtection="0"/>
    <xf numFmtId="0" fontId="25" fillId="38" borderId="11" applyNumberFormat="0" applyAlignment="0" applyProtection="0"/>
    <xf numFmtId="0" fontId="83" fillId="51" borderId="40"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alignment vertical="top"/>
    </xf>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5" fillId="0" borderId="0" applyFont="0" applyFill="0" applyBorder="0" applyAlignment="0" applyProtection="0"/>
    <xf numFmtId="44" fontId="1" fillId="0" borderId="0" applyFont="0" applyFill="0" applyBorder="0" applyAlignment="0" applyProtection="0"/>
    <xf numFmtId="0" fontId="85" fillId="0" borderId="0" applyNumberFormat="0" applyFill="0" applyBorder="0" applyAlignment="0" applyProtection="0"/>
    <xf numFmtId="0" fontId="37" fillId="19" borderId="0" applyNumberFormat="0" applyBorder="0" applyAlignment="0" applyProtection="0"/>
    <xf numFmtId="0" fontId="37" fillId="21" borderId="0" applyNumberFormat="0" applyBorder="0" applyAlignment="0" applyProtection="0"/>
    <xf numFmtId="0" fontId="2" fillId="2" borderId="0" applyNumberFormat="0" applyBorder="0" applyAlignment="0" applyProtection="0"/>
    <xf numFmtId="0" fontId="38" fillId="0" borderId="16" applyNumberFormat="0" applyFill="0" applyAlignment="0" applyProtection="0"/>
    <xf numFmtId="0" fontId="74" fillId="0" borderId="34" applyNumberFormat="0" applyFill="0" applyAlignment="0" applyProtection="0"/>
    <xf numFmtId="0" fontId="41" fillId="0" borderId="18" applyNumberFormat="0" applyFill="0" applyAlignment="0" applyProtection="0"/>
    <xf numFmtId="0" fontId="75" fillId="0" borderId="35" applyNumberFormat="0" applyFill="0" applyAlignment="0" applyProtection="0"/>
    <xf numFmtId="0" fontId="44" fillId="0" borderId="22" applyNumberFormat="0" applyFill="0" applyAlignment="0" applyProtection="0"/>
    <xf numFmtId="0" fontId="76" fillId="0" borderId="36" applyNumberFormat="0" applyFill="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76" fillId="0" borderId="0" applyNumberFormat="0" applyFill="0" applyBorder="0" applyAlignment="0" applyProtection="0"/>
    <xf numFmtId="0" fontId="137"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50" fillId="22" borderId="9" applyNumberFormat="0" applyAlignment="0" applyProtection="0"/>
    <xf numFmtId="0" fontId="51" fillId="22" borderId="9" applyNumberFormat="0" applyAlignment="0" applyProtection="0"/>
    <xf numFmtId="0" fontId="79" fillId="49" borderId="37" applyNumberFormat="0" applyAlignment="0" applyProtection="0"/>
    <xf numFmtId="0" fontId="55" fillId="0" borderId="25" applyNumberFormat="0" applyFill="0" applyAlignment="0" applyProtection="0"/>
    <xf numFmtId="0" fontId="82" fillId="0" borderId="39" applyNumberFormat="0" applyFill="0" applyAlignment="0" applyProtection="0"/>
    <xf numFmtId="0" fontId="58" fillId="22" borderId="0" applyNumberFormat="0" applyBorder="0" applyAlignment="0" applyProtection="0"/>
    <xf numFmtId="0" fontId="78" fillId="4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3"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1" fillId="0" borderId="0"/>
    <xf numFmtId="0" fontId="1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11" fillId="0" borderId="0"/>
    <xf numFmtId="0" fontId="3" fillId="0" borderId="0"/>
    <xf numFmtId="40" fontId="136" fillId="0" borderId="0"/>
    <xf numFmtId="0" fontId="3" fillId="0" borderId="0"/>
    <xf numFmtId="40" fontId="136" fillId="0" borderId="0"/>
    <xf numFmtId="0" fontId="1" fillId="0" borderId="0"/>
    <xf numFmtId="0" fontId="3" fillId="0" borderId="0"/>
    <xf numFmtId="0" fontId="1" fillId="0" borderId="0"/>
    <xf numFmtId="0" fontId="11" fillId="0" borderId="0"/>
    <xf numFmtId="0" fontId="1" fillId="0" borderId="0"/>
    <xf numFmtId="0" fontId="3" fillId="0" borderId="0">
      <alignment vertical="top"/>
    </xf>
    <xf numFmtId="0" fontId="1" fillId="0" borderId="0"/>
    <xf numFmtId="0" fontId="29" fillId="0" borderId="0">
      <alignment vertical="top"/>
    </xf>
    <xf numFmtId="0" fontId="11" fillId="0" borderId="0"/>
    <xf numFmtId="0" fontId="1" fillId="0" borderId="0"/>
    <xf numFmtId="0" fontId="11" fillId="0" borderId="0"/>
    <xf numFmtId="0" fontId="1" fillId="0" borderId="0"/>
    <xf numFmtId="0" fontId="11" fillId="0" borderId="0"/>
    <xf numFmtId="0" fontId="1" fillId="0" borderId="0"/>
    <xf numFmtId="0" fontId="3" fillId="0" borderId="0"/>
    <xf numFmtId="0" fontId="11" fillId="0" borderId="0"/>
    <xf numFmtId="0" fontId="1" fillId="0" borderId="0"/>
    <xf numFmtId="0" fontId="3" fillId="0" borderId="0"/>
    <xf numFmtId="0" fontId="11" fillId="0" borderId="0"/>
    <xf numFmtId="0" fontId="1" fillId="0" borderId="0"/>
    <xf numFmtId="0" fontId="3" fillId="0" borderId="0"/>
    <xf numFmtId="0" fontId="11" fillId="0" borderId="0"/>
    <xf numFmtId="0" fontId="3" fillId="0" borderId="0"/>
    <xf numFmtId="0" fontId="3" fillId="0" borderId="0"/>
    <xf numFmtId="0" fontId="3" fillId="0" borderId="0"/>
    <xf numFmtId="0" fontId="1" fillId="0" borderId="0"/>
    <xf numFmtId="0" fontId="1" fillId="0" borderId="0"/>
    <xf numFmtId="0" fontId="3" fillId="0" borderId="0"/>
    <xf numFmtId="0" fontId="11" fillId="0" borderId="0"/>
    <xf numFmtId="0" fontId="29" fillId="0" borderId="0">
      <alignment vertical="top"/>
    </xf>
    <xf numFmtId="0" fontId="3" fillId="0" borderId="0"/>
    <xf numFmtId="0" fontId="1" fillId="0" borderId="0"/>
    <xf numFmtId="0" fontId="3" fillId="0" borderId="0"/>
    <xf numFmtId="0" fontId="11" fillId="0" borderId="0"/>
    <xf numFmtId="0" fontId="1" fillId="0" borderId="0"/>
    <xf numFmtId="0" fontId="3" fillId="0" borderId="0"/>
    <xf numFmtId="0" fontId="11" fillId="0" borderId="0"/>
    <xf numFmtId="0" fontId="3" fillId="0" borderId="0"/>
    <xf numFmtId="0" fontId="15" fillId="0" borderId="0"/>
    <xf numFmtId="0" fontId="1" fillId="0" borderId="0"/>
    <xf numFmtId="0" fontId="1" fillId="0" borderId="0"/>
    <xf numFmtId="0" fontId="3" fillId="0" borderId="0"/>
    <xf numFmtId="0" fontId="11" fillId="0" borderId="0"/>
    <xf numFmtId="0" fontId="1" fillId="0" borderId="0"/>
    <xf numFmtId="0" fontId="3" fillId="0" borderId="0"/>
    <xf numFmtId="0" fontId="11" fillId="0" borderId="0"/>
    <xf numFmtId="0" fontId="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1" fillId="0" borderId="0"/>
    <xf numFmtId="0" fontId="1" fillId="0" borderId="0"/>
    <xf numFmtId="0" fontId="1" fillId="0" borderId="0"/>
    <xf numFmtId="0" fontId="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1" fillId="0" borderId="0"/>
    <xf numFmtId="0" fontId="1" fillId="0" borderId="0"/>
    <xf numFmtId="0" fontId="1" fillId="0" borderId="0"/>
    <xf numFmtId="0" fontId="1" fillId="0" borderId="0"/>
    <xf numFmtId="0" fontId="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5" fillId="0" borderId="0"/>
    <xf numFmtId="0" fontId="3"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1" fillId="18" borderId="26" applyNumberFormat="0" applyFont="0" applyAlignment="0" applyProtection="0"/>
    <xf numFmtId="0" fontId="15" fillId="18" borderId="26" applyNumberFormat="0" applyFont="0" applyAlignment="0" applyProtection="0"/>
    <xf numFmtId="0" fontId="1" fillId="52" borderId="41" applyNumberFormat="0" applyFont="0" applyAlignment="0" applyProtection="0"/>
    <xf numFmtId="0" fontId="1" fillId="52" borderId="41" applyNumberFormat="0" applyFont="0" applyAlignment="0" applyProtection="0"/>
    <xf numFmtId="0" fontId="44" fillId="36" borderId="27" applyNumberFormat="0" applyAlignment="0" applyProtection="0"/>
    <xf numFmtId="0" fontId="62" fillId="36" borderId="28" applyNumberFormat="0" applyAlignment="0" applyProtection="0"/>
    <xf numFmtId="0" fontId="80" fillId="50" borderId="38" applyNumberFormat="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0" fontId="29" fillId="0" borderId="0" applyNumberFormat="0" applyBorder="0" applyAlignment="0"/>
    <xf numFmtId="0" fontId="68" fillId="0" borderId="0" applyNumberFormat="0" applyFill="0" applyBorder="0" applyAlignment="0" applyProtection="0"/>
    <xf numFmtId="0" fontId="70" fillId="0" borderId="0" applyNumberFormat="0" applyFill="0" applyBorder="0" applyAlignment="0" applyProtection="0"/>
    <xf numFmtId="0" fontId="73" fillId="0" borderId="0" applyNumberFormat="0" applyFill="0" applyBorder="0" applyAlignment="0" applyProtection="0"/>
    <xf numFmtId="0" fontId="71" fillId="0" borderId="33" applyNumberFormat="0" applyFill="0" applyAlignment="0" applyProtection="0"/>
    <xf numFmtId="0" fontId="86" fillId="0" borderId="42" applyNumberFormat="0" applyFill="0" applyAlignment="0" applyProtection="0"/>
    <xf numFmtId="0" fontId="84" fillId="0" borderId="0" applyNumberFormat="0" applyFill="0" applyBorder="0" applyAlignment="0" applyProtection="0"/>
    <xf numFmtId="0" fontId="52" fillId="0" borderId="0"/>
    <xf numFmtId="0" fontId="18" fillId="35"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7" fillId="0" borderId="0" applyFont="0" applyFill="0" applyBorder="0" applyAlignment="0" applyProtection="0"/>
    <xf numFmtId="44" fontId="1" fillId="0" borderId="0" applyFont="0" applyFill="0" applyBorder="0" applyAlignment="0" applyProtection="0"/>
    <xf numFmtId="44" fontId="1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alignment wrapText="1"/>
    </xf>
    <xf numFmtId="44" fontId="3" fillId="0" borderId="0" applyFont="0" applyFill="0" applyBorder="0" applyAlignment="0" applyProtection="0"/>
    <xf numFmtId="0" fontId="37" fillId="19" borderId="0" applyNumberFormat="0" applyBorder="0" applyAlignment="0" applyProtection="0"/>
    <xf numFmtId="0" fontId="2" fillId="2" borderId="0" applyNumberFormat="0" applyBorder="0" applyAlignment="0" applyProtection="0"/>
    <xf numFmtId="0" fontId="44" fillId="0" borderId="0" applyNumberFormat="0" applyFill="0" applyBorder="0" applyAlignment="0" applyProtection="0"/>
    <xf numFmtId="0" fontId="145"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51" fillId="22" borderId="9" applyNumberFormat="0" applyAlignment="0" applyProtection="0"/>
    <xf numFmtId="0" fontId="1" fillId="0" borderId="0"/>
    <xf numFmtId="0" fontId="3" fillId="0" borderId="0"/>
    <xf numFmtId="0" fontId="1" fillId="0" borderId="0"/>
    <xf numFmtId="0" fontId="1" fillId="0" borderId="0"/>
    <xf numFmtId="0" fontId="15" fillId="0" borderId="0"/>
    <xf numFmtId="0" fontId="15" fillId="0" borderId="0"/>
    <xf numFmtId="0" fontId="3" fillId="0" borderId="0"/>
    <xf numFmtId="0" fontId="1" fillId="0" borderId="0"/>
    <xf numFmtId="0" fontId="15" fillId="0" borderId="0"/>
    <xf numFmtId="0" fontId="1" fillId="0" borderId="0"/>
    <xf numFmtId="0" fontId="11" fillId="0" borderId="0"/>
    <xf numFmtId="0" fontId="11" fillId="0" borderId="0"/>
    <xf numFmtId="0" fontId="1" fillId="0" borderId="0"/>
    <xf numFmtId="0" fontId="11" fillId="0" borderId="0"/>
    <xf numFmtId="0" fontId="3" fillId="0" borderId="0"/>
    <xf numFmtId="0" fontId="59" fillId="0" borderId="0"/>
    <xf numFmtId="0" fontId="3" fillId="0" borderId="0"/>
    <xf numFmtId="0" fontId="11" fillId="0" borderId="0"/>
    <xf numFmtId="0" fontId="11" fillId="0" borderId="0"/>
    <xf numFmtId="0" fontId="3" fillId="0" borderId="0"/>
    <xf numFmtId="0" fontId="11" fillId="0" borderId="0"/>
    <xf numFmtId="0" fontId="1" fillId="0" borderId="0"/>
    <xf numFmtId="0" fontId="11" fillId="0" borderId="0"/>
    <xf numFmtId="0" fontId="11" fillId="0" borderId="0"/>
    <xf numFmtId="0" fontId="11" fillId="0" borderId="0"/>
    <xf numFmtId="0" fontId="1" fillId="0" borderId="0"/>
    <xf numFmtId="0" fontId="1" fillId="0" borderId="0"/>
    <xf numFmtId="0" fontId="3" fillId="0" borderId="0"/>
    <xf numFmtId="0" fontId="1" fillId="0" borderId="0"/>
    <xf numFmtId="0" fontId="11" fillId="0" borderId="0"/>
    <xf numFmtId="0" fontId="3" fillId="0" borderId="0">
      <alignment wrapText="1"/>
    </xf>
    <xf numFmtId="0" fontId="11" fillId="0" borderId="0"/>
    <xf numFmtId="0" fontId="11" fillId="0" borderId="0"/>
    <xf numFmtId="0" fontId="11" fillId="0" borderId="0"/>
    <xf numFmtId="0" fontId="3" fillId="0" borderId="0">
      <alignment wrapText="1"/>
    </xf>
    <xf numFmtId="0" fontId="11" fillId="0" borderId="0"/>
    <xf numFmtId="0" fontId="29" fillId="0" borderId="0">
      <alignment vertical="top"/>
    </xf>
    <xf numFmtId="0" fontId="11" fillId="0" borderId="0"/>
    <xf numFmtId="0" fontId="11" fillId="0" borderId="0"/>
    <xf numFmtId="0" fontId="1" fillId="0" borderId="0"/>
    <xf numFmtId="0" fontId="3" fillId="0" borderId="0"/>
    <xf numFmtId="0" fontId="11" fillId="0" borderId="0"/>
    <xf numFmtId="0" fontId="1" fillId="0" borderId="0"/>
    <xf numFmtId="0" fontId="1" fillId="0" borderId="0"/>
    <xf numFmtId="0" fontId="1" fillId="0" borderId="0"/>
    <xf numFmtId="0" fontId="1" fillId="0" borderId="0"/>
    <xf numFmtId="0" fontId="11" fillId="0" borderId="0"/>
    <xf numFmtId="0" fontId="3" fillId="0" borderId="0"/>
    <xf numFmtId="0" fontId="11" fillId="0" borderId="0"/>
    <xf numFmtId="0" fontId="3" fillId="0" borderId="0"/>
    <xf numFmtId="0" fontId="11" fillId="0" borderId="0"/>
    <xf numFmtId="0" fontId="3" fillId="0" borderId="0"/>
    <xf numFmtId="0" fontId="3" fillId="0" borderId="0"/>
    <xf numFmtId="0" fontId="3" fillId="0" borderId="0"/>
    <xf numFmtId="0" fontId="3" fillId="0" borderId="0"/>
    <xf numFmtId="0" fontId="1" fillId="0" borderId="0"/>
    <xf numFmtId="0" fontId="3"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alignment wrapText="1"/>
    </xf>
    <xf numFmtId="0" fontId="3" fillId="0" borderId="0">
      <alignment wrapText="1"/>
    </xf>
    <xf numFmtId="0" fontId="3" fillId="0" borderId="0">
      <alignment wrapText="1"/>
    </xf>
    <xf numFmtId="0" fontId="1" fillId="0" borderId="0"/>
    <xf numFmtId="0" fontId="1" fillId="0" borderId="0"/>
    <xf numFmtId="0" fontId="62" fillId="36" borderId="28" applyNumberFormat="0" applyAlignment="0" applyProtection="0"/>
    <xf numFmtId="9" fontId="3" fillId="0" borderId="0" applyFont="0" applyFill="0" applyBorder="0" applyAlignment="0" applyProtection="0">
      <alignment wrapText="1"/>
    </xf>
    <xf numFmtId="9" fontId="1"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alignment wrapText="1"/>
    </xf>
    <xf numFmtId="0" fontId="70" fillId="0" borderId="0" applyNumberFormat="0" applyFill="0" applyBorder="0" applyAlignment="0" applyProtection="0"/>
    <xf numFmtId="0" fontId="27" fillId="0" borderId="0"/>
    <xf numFmtId="37" fontId="60" fillId="44" borderId="0" applyFill="0"/>
    <xf numFmtId="0" fontId="3" fillId="0" borderId="0"/>
    <xf numFmtId="0" fontId="37" fillId="21" borderId="0" applyNumberFormat="0" applyBorder="0" applyAlignment="0" applyProtection="0"/>
    <xf numFmtId="166" fontId="11" fillId="0" borderId="0"/>
    <xf numFmtId="43" fontId="27" fillId="0" borderId="0" applyFont="0" applyFill="0" applyBorder="0" applyAlignment="0" applyProtection="0"/>
    <xf numFmtId="0" fontId="3" fillId="0" borderId="0"/>
    <xf numFmtId="0" fontId="1" fillId="0" borderId="0"/>
    <xf numFmtId="0" fontId="3" fillId="0" borderId="0"/>
    <xf numFmtId="0" fontId="31" fillId="0" borderId="0"/>
    <xf numFmtId="0" fontId="31" fillId="0" borderId="0"/>
    <xf numFmtId="0" fontId="31" fillId="0" borderId="0"/>
    <xf numFmtId="0" fontId="3" fillId="0" borderId="0"/>
    <xf numFmtId="0" fontId="3" fillId="0" borderId="0"/>
    <xf numFmtId="0" fontId="3" fillId="0" borderId="0"/>
    <xf numFmtId="0" fontId="3" fillId="0" borderId="0"/>
    <xf numFmtId="9"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43" fontId="15" fillId="0" borderId="0" applyFont="0" applyFill="0" applyBorder="0" applyAlignment="0" applyProtection="0"/>
    <xf numFmtId="0" fontId="3" fillId="0" borderId="0"/>
  </cellStyleXfs>
  <cellXfs count="1324">
    <xf numFmtId="0" fontId="0" fillId="0" borderId="0" xfId="0"/>
    <xf numFmtId="1" fontId="4" fillId="3" borderId="0" xfId="4" applyNumberFormat="1" applyFont="1" applyFill="1" applyBorder="1" applyAlignment="1">
      <alignment horizontal="left"/>
    </xf>
    <xf numFmtId="0" fontId="4" fillId="3" borderId="0" xfId="4" applyFont="1" applyFill="1" applyBorder="1"/>
    <xf numFmtId="3" fontId="5" fillId="3" borderId="0" xfId="4" applyNumberFormat="1" applyFont="1" applyFill="1" applyBorder="1"/>
    <xf numFmtId="37" fontId="4" fillId="3" borderId="0" xfId="4" applyNumberFormat="1" applyFont="1" applyFill="1" applyBorder="1" applyAlignment="1">
      <alignment horizontal="center"/>
    </xf>
    <xf numFmtId="37" fontId="5" fillId="3" borderId="0" xfId="4" applyNumberFormat="1" applyFont="1" applyFill="1" applyBorder="1" applyAlignment="1">
      <alignment horizontal="center"/>
    </xf>
    <xf numFmtId="37" fontId="5" fillId="3" borderId="0" xfId="4" applyNumberFormat="1" applyFont="1" applyFill="1" applyBorder="1"/>
    <xf numFmtId="0" fontId="5" fillId="3" borderId="0" xfId="4" applyFont="1" applyFill="1" applyBorder="1"/>
    <xf numFmtId="43" fontId="5" fillId="3" borderId="0" xfId="1" applyFont="1" applyFill="1" applyBorder="1"/>
    <xf numFmtId="0" fontId="4" fillId="3" borderId="0" xfId="4" applyFont="1" applyFill="1" applyBorder="1" applyAlignment="1"/>
    <xf numFmtId="3" fontId="4" fillId="3" borderId="0" xfId="0" applyNumberFormat="1" applyFont="1" applyFill="1" applyBorder="1" applyAlignment="1">
      <alignment horizontal="center"/>
    </xf>
    <xf numFmtId="37" fontId="4" fillId="3" borderId="0" xfId="0" applyNumberFormat="1" applyFont="1" applyFill="1" applyBorder="1" applyAlignment="1">
      <alignment horizontal="center"/>
    </xf>
    <xf numFmtId="10" fontId="5" fillId="3" borderId="0" xfId="3" applyNumberFormat="1" applyFont="1" applyFill="1" applyBorder="1"/>
    <xf numFmtId="1" fontId="6" fillId="4" borderId="1" xfId="4" applyNumberFormat="1" applyFont="1" applyFill="1" applyBorder="1" applyAlignment="1">
      <alignment horizontal="left"/>
    </xf>
    <xf numFmtId="0" fontId="6" fillId="4" borderId="2" xfId="4" applyFont="1" applyFill="1" applyBorder="1"/>
    <xf numFmtId="3" fontId="7" fillId="4" borderId="1" xfId="4" applyNumberFormat="1" applyFont="1" applyFill="1" applyBorder="1" applyAlignment="1">
      <alignment horizontal="center"/>
    </xf>
    <xf numFmtId="37" fontId="7" fillId="4" borderId="3" xfId="4" applyNumberFormat="1" applyFont="1" applyFill="1" applyBorder="1" applyAlignment="1">
      <alignment horizontal="center"/>
    </xf>
    <xf numFmtId="0" fontId="7" fillId="4" borderId="3" xfId="4" applyFont="1" applyFill="1" applyBorder="1" applyAlignment="1">
      <alignment horizontal="center"/>
    </xf>
    <xf numFmtId="3" fontId="7" fillId="4" borderId="2" xfId="0" applyNumberFormat="1" applyFont="1" applyFill="1" applyBorder="1" applyAlignment="1">
      <alignment horizontal="center"/>
    </xf>
    <xf numFmtId="37" fontId="7" fillId="4" borderId="1" xfId="4" applyNumberFormat="1" applyFont="1" applyFill="1" applyBorder="1" applyAlignment="1">
      <alignment horizontal="center"/>
    </xf>
    <xf numFmtId="37" fontId="7" fillId="4" borderId="2" xfId="4" applyNumberFormat="1" applyFont="1" applyFill="1" applyBorder="1" applyAlignment="1">
      <alignment horizontal="center"/>
    </xf>
    <xf numFmtId="37" fontId="7" fillId="6" borderId="3" xfId="4" applyNumberFormat="1" applyFont="1" applyFill="1" applyBorder="1" applyAlignment="1">
      <alignment horizontal="center"/>
    </xf>
    <xf numFmtId="37" fontId="7" fillId="5" borderId="2" xfId="4" applyNumberFormat="1" applyFont="1" applyFill="1" applyBorder="1" applyAlignment="1">
      <alignment horizontal="center"/>
    </xf>
    <xf numFmtId="1" fontId="9" fillId="4" borderId="4" xfId="4" applyNumberFormat="1" applyFont="1" applyFill="1" applyBorder="1" applyAlignment="1">
      <alignment horizontal="right"/>
    </xf>
    <xf numFmtId="0" fontId="9" fillId="4" borderId="5" xfId="4" applyFont="1" applyFill="1" applyBorder="1"/>
    <xf numFmtId="0" fontId="7" fillId="4" borderId="4" xfId="4" applyNumberFormat="1" applyFont="1" applyFill="1" applyBorder="1" applyAlignment="1">
      <alignment horizontal="center"/>
    </xf>
    <xf numFmtId="37" fontId="7" fillId="4" borderId="0" xfId="4" applyNumberFormat="1" applyFont="1" applyFill="1" applyBorder="1" applyAlignment="1">
      <alignment horizontal="center"/>
    </xf>
    <xf numFmtId="3" fontId="7" fillId="4" borderId="5" xfId="0" applyNumberFormat="1" applyFont="1" applyFill="1" applyBorder="1" applyAlignment="1">
      <alignment horizontal="center"/>
    </xf>
    <xf numFmtId="37" fontId="7" fillId="4" borderId="4" xfId="4" applyNumberFormat="1" applyFont="1" applyFill="1" applyBorder="1" applyAlignment="1">
      <alignment horizontal="center"/>
    </xf>
    <xf numFmtId="37" fontId="7" fillId="4" borderId="5" xfId="4" applyNumberFormat="1" applyFont="1" applyFill="1" applyBorder="1" applyAlignment="1">
      <alignment horizontal="center"/>
    </xf>
    <xf numFmtId="0" fontId="7" fillId="6" borderId="0" xfId="4" applyNumberFormat="1" applyFont="1" applyFill="1" applyBorder="1" applyAlignment="1">
      <alignment horizontal="center"/>
    </xf>
    <xf numFmtId="0" fontId="7" fillId="5" borderId="5" xfId="4" applyNumberFormat="1" applyFont="1" applyFill="1" applyBorder="1" applyAlignment="1">
      <alignment horizontal="center"/>
    </xf>
    <xf numFmtId="0" fontId="4" fillId="7" borderId="6" xfId="4" applyFont="1" applyFill="1" applyBorder="1"/>
    <xf numFmtId="0" fontId="4" fillId="7" borderId="7" xfId="4" applyFont="1" applyFill="1" applyBorder="1"/>
    <xf numFmtId="3" fontId="5" fillId="7" borderId="7" xfId="4" applyNumberFormat="1" applyFont="1" applyFill="1" applyBorder="1"/>
    <xf numFmtId="37" fontId="4" fillId="7" borderId="7" xfId="4" applyNumberFormat="1" applyFont="1" applyFill="1" applyBorder="1" applyAlignment="1">
      <alignment horizontal="center"/>
    </xf>
    <xf numFmtId="37" fontId="5" fillId="7" borderId="7" xfId="4" applyNumberFormat="1" applyFont="1" applyFill="1" applyBorder="1" applyAlignment="1">
      <alignment horizontal="center"/>
    </xf>
    <xf numFmtId="37" fontId="5" fillId="7" borderId="7" xfId="4" applyNumberFormat="1" applyFont="1" applyFill="1" applyBorder="1"/>
    <xf numFmtId="0" fontId="5" fillId="7" borderId="7" xfId="4" applyFont="1" applyFill="1" applyBorder="1"/>
    <xf numFmtId="1" fontId="5" fillId="3" borderId="0" xfId="4" applyNumberFormat="1" applyFont="1" applyFill="1" applyBorder="1" applyAlignment="1">
      <alignment horizontal="right"/>
    </xf>
    <xf numFmtId="164" fontId="5" fillId="3" borderId="0" xfId="2" applyNumberFormat="1" applyFont="1" applyFill="1" applyBorder="1"/>
    <xf numFmtId="164" fontId="5" fillId="3" borderId="0" xfId="2" applyNumberFormat="1" applyFont="1" applyFill="1" applyBorder="1" applyAlignment="1">
      <alignment horizontal="right"/>
    </xf>
    <xf numFmtId="165" fontId="5" fillId="3" borderId="0" xfId="1" applyNumberFormat="1" applyFont="1" applyFill="1" applyBorder="1"/>
    <xf numFmtId="165" fontId="5" fillId="3" borderId="0" xfId="1" applyNumberFormat="1" applyFont="1" applyFill="1" applyBorder="1" applyAlignment="1">
      <alignment horizontal="right"/>
    </xf>
    <xf numFmtId="165" fontId="5" fillId="3" borderId="0" xfId="1" applyNumberFormat="1" applyFont="1" applyFill="1" applyBorder="1" applyAlignment="1">
      <alignment horizontal="center"/>
    </xf>
    <xf numFmtId="165" fontId="5" fillId="0" borderId="0" xfId="1" applyNumberFormat="1" applyFont="1" applyFill="1" applyBorder="1"/>
    <xf numFmtId="165" fontId="4" fillId="3" borderId="0" xfId="1" applyNumberFormat="1" applyFont="1" applyFill="1" applyBorder="1" applyAlignment="1">
      <alignment horizontal="center"/>
    </xf>
    <xf numFmtId="165" fontId="4" fillId="3" borderId="7" xfId="1" applyNumberFormat="1" applyFont="1" applyFill="1" applyBorder="1"/>
    <xf numFmtId="165" fontId="5" fillId="3" borderId="7" xfId="1" applyNumberFormat="1" applyFont="1" applyFill="1" applyBorder="1" applyAlignment="1">
      <alignment horizontal="center"/>
    </xf>
    <xf numFmtId="165" fontId="5" fillId="3" borderId="7" xfId="1" applyNumberFormat="1" applyFont="1" applyFill="1" applyBorder="1"/>
    <xf numFmtId="10" fontId="5" fillId="3" borderId="0" xfId="1" applyNumberFormat="1" applyFont="1" applyFill="1" applyBorder="1"/>
    <xf numFmtId="165" fontId="5" fillId="3" borderId="0" xfId="4" applyNumberFormat="1" applyFont="1" applyFill="1" applyBorder="1"/>
    <xf numFmtId="165" fontId="5" fillId="7" borderId="7" xfId="1" applyNumberFormat="1" applyFont="1" applyFill="1" applyBorder="1"/>
    <xf numFmtId="165" fontId="4" fillId="7" borderId="7" xfId="1" applyNumberFormat="1" applyFont="1" applyFill="1" applyBorder="1" applyAlignment="1">
      <alignment horizontal="center"/>
    </xf>
    <xf numFmtId="0" fontId="10" fillId="8" borderId="0" xfId="4" applyFont="1" applyFill="1" applyBorder="1"/>
    <xf numFmtId="0" fontId="10" fillId="8" borderId="0" xfId="4" applyFont="1" applyFill="1" applyBorder="1" applyAlignment="1">
      <alignment horizontal="left"/>
    </xf>
    <xf numFmtId="165" fontId="5" fillId="8" borderId="0" xfId="1" applyNumberFormat="1" applyFont="1" applyFill="1" applyBorder="1"/>
    <xf numFmtId="165" fontId="4" fillId="8" borderId="0" xfId="1" applyNumberFormat="1" applyFont="1" applyFill="1" applyBorder="1" applyAlignment="1">
      <alignment horizontal="center"/>
    </xf>
    <xf numFmtId="37" fontId="5" fillId="8" borderId="0" xfId="4" applyNumberFormat="1" applyFont="1" applyFill="1" applyBorder="1" applyAlignment="1">
      <alignment horizontal="center"/>
    </xf>
    <xf numFmtId="0" fontId="5" fillId="8" borderId="0" xfId="4" applyFont="1" applyFill="1" applyBorder="1"/>
    <xf numFmtId="1" fontId="5" fillId="3" borderId="0" xfId="5" applyNumberFormat="1" applyFont="1" applyFill="1" applyBorder="1" applyAlignment="1">
      <alignment horizontal="right"/>
    </xf>
    <xf numFmtId="166" fontId="5" fillId="3" borderId="0" xfId="5" applyFont="1" applyFill="1" applyBorder="1"/>
    <xf numFmtId="1" fontId="4" fillId="3" borderId="0" xfId="5" applyNumberFormat="1" applyFont="1" applyFill="1" applyBorder="1" applyAlignment="1">
      <alignment horizontal="right"/>
    </xf>
    <xf numFmtId="165" fontId="4" fillId="3" borderId="0" xfId="1" applyNumberFormat="1" applyFont="1" applyFill="1" applyBorder="1"/>
    <xf numFmtId="165" fontId="5" fillId="3" borderId="0" xfId="6" applyNumberFormat="1" applyFont="1" applyFill="1" applyBorder="1" applyAlignment="1">
      <alignment horizontal="center"/>
    </xf>
    <xf numFmtId="1" fontId="10" fillId="8" borderId="0" xfId="4" applyNumberFormat="1" applyFont="1" applyFill="1" applyBorder="1" applyAlignment="1">
      <alignment horizontal="right"/>
    </xf>
    <xf numFmtId="1" fontId="12" fillId="3" borderId="0" xfId="7" quotePrefix="1" applyNumberFormat="1" applyFont="1" applyFill="1" applyBorder="1" applyAlignment="1">
      <alignment horizontal="right"/>
    </xf>
    <xf numFmtId="165" fontId="4" fillId="3" borderId="0" xfId="1" applyNumberFormat="1" applyFont="1" applyFill="1" applyBorder="1" applyAlignment="1">
      <alignment horizontal="right"/>
    </xf>
    <xf numFmtId="1" fontId="4" fillId="3" borderId="0" xfId="4" applyNumberFormat="1" applyFont="1" applyFill="1" applyBorder="1" applyAlignment="1">
      <alignment horizontal="right"/>
    </xf>
    <xf numFmtId="165" fontId="4" fillId="3" borderId="7" xfId="1" applyNumberFormat="1" applyFont="1" applyFill="1" applyBorder="1" applyAlignment="1">
      <alignment horizontal="right"/>
    </xf>
    <xf numFmtId="165" fontId="4" fillId="8" borderId="0" xfId="1" applyNumberFormat="1" applyFont="1" applyFill="1" applyBorder="1"/>
    <xf numFmtId="165" fontId="5" fillId="8" borderId="0" xfId="1" applyNumberFormat="1" applyFont="1" applyFill="1" applyBorder="1" applyAlignment="1">
      <alignment horizontal="right"/>
    </xf>
    <xf numFmtId="165" fontId="4" fillId="8" borderId="0" xfId="1" applyNumberFormat="1" applyFont="1" applyFill="1" applyBorder="1" applyAlignment="1">
      <alignment horizontal="right"/>
    </xf>
    <xf numFmtId="0" fontId="5" fillId="3" borderId="7" xfId="4" applyFont="1" applyFill="1" applyBorder="1"/>
    <xf numFmtId="166" fontId="4" fillId="3" borderId="0" xfId="5" applyFont="1" applyFill="1" applyBorder="1"/>
    <xf numFmtId="1" fontId="12" fillId="3" borderId="0" xfId="7" applyNumberFormat="1" applyFont="1" applyFill="1" applyBorder="1" applyAlignment="1">
      <alignment horizontal="right"/>
    </xf>
    <xf numFmtId="165" fontId="5" fillId="3" borderId="0" xfId="3" applyNumberFormat="1" applyFont="1" applyFill="1" applyBorder="1"/>
    <xf numFmtId="1" fontId="10" fillId="8" borderId="0" xfId="5" applyNumberFormat="1" applyFont="1" applyFill="1" applyBorder="1" applyAlignment="1">
      <alignment horizontal="right"/>
    </xf>
    <xf numFmtId="1" fontId="5" fillId="8" borderId="0" xfId="4" applyNumberFormat="1" applyFont="1" applyFill="1" applyBorder="1" applyAlignment="1">
      <alignment horizontal="right"/>
    </xf>
    <xf numFmtId="1" fontId="5" fillId="0" borderId="0" xfId="4" applyNumberFormat="1" applyFont="1" applyFill="1" applyBorder="1" applyAlignment="1">
      <alignment horizontal="right"/>
    </xf>
    <xf numFmtId="0" fontId="5" fillId="0" borderId="0" xfId="4" applyFont="1" applyFill="1" applyBorder="1"/>
    <xf numFmtId="165" fontId="5" fillId="0" borderId="0" xfId="1" applyNumberFormat="1" applyFont="1" applyFill="1" applyBorder="1" applyAlignment="1">
      <alignment horizontal="right"/>
    </xf>
    <xf numFmtId="165" fontId="5" fillId="0" borderId="0" xfId="1" applyNumberFormat="1" applyFont="1" applyFill="1" applyBorder="1" applyAlignment="1">
      <alignment horizontal="center"/>
    </xf>
    <xf numFmtId="165" fontId="4" fillId="0" borderId="0" xfId="1" applyNumberFormat="1" applyFont="1" applyFill="1" applyBorder="1" applyAlignment="1">
      <alignment horizontal="center"/>
    </xf>
    <xf numFmtId="1" fontId="12" fillId="0" borderId="0" xfId="7" quotePrefix="1" applyNumberFormat="1" applyFont="1" applyFill="1" applyBorder="1" applyAlignment="1">
      <alignment horizontal="right"/>
    </xf>
    <xf numFmtId="165" fontId="4" fillId="3" borderId="0" xfId="6" applyNumberFormat="1" applyFont="1" applyFill="1" applyBorder="1"/>
    <xf numFmtId="1" fontId="13" fillId="3" borderId="0" xfId="7" quotePrefix="1" applyNumberFormat="1" applyFont="1" applyFill="1" applyBorder="1" applyAlignment="1">
      <alignment horizontal="right"/>
    </xf>
    <xf numFmtId="165" fontId="5" fillId="3" borderId="7" xfId="1" applyNumberFormat="1" applyFont="1" applyFill="1" applyBorder="1" applyAlignment="1">
      <alignment horizontal="right"/>
    </xf>
    <xf numFmtId="165" fontId="5" fillId="3" borderId="7" xfId="6" applyNumberFormat="1" applyFont="1" applyFill="1" applyBorder="1" applyAlignment="1">
      <alignment horizontal="center"/>
    </xf>
    <xf numFmtId="3" fontId="5" fillId="3" borderId="7" xfId="4" applyNumberFormat="1" applyFont="1" applyFill="1" applyBorder="1"/>
    <xf numFmtId="3" fontId="5" fillId="3" borderId="0" xfId="4" applyNumberFormat="1" applyFont="1" applyFill="1" applyBorder="1" applyAlignment="1">
      <alignment horizontal="center"/>
    </xf>
    <xf numFmtId="165" fontId="4" fillId="3" borderId="7" xfId="6" applyNumberFormat="1" applyFont="1" applyFill="1" applyBorder="1"/>
    <xf numFmtId="1" fontId="14" fillId="3" borderId="0" xfId="4" applyNumberFormat="1" applyFont="1" applyFill="1" applyBorder="1" applyAlignment="1">
      <alignment horizontal="right"/>
    </xf>
    <xf numFmtId="0" fontId="5" fillId="11" borderId="0" xfId="4" applyFont="1" applyFill="1" applyBorder="1"/>
    <xf numFmtId="37" fontId="5" fillId="0" borderId="0" xfId="4" applyNumberFormat="1" applyFont="1" applyFill="1" applyBorder="1" applyAlignment="1">
      <alignment horizontal="center"/>
    </xf>
    <xf numFmtId="10" fontId="4" fillId="3" borderId="7" xfId="4" applyNumberFormat="1" applyFont="1" applyFill="1" applyBorder="1"/>
    <xf numFmtId="37" fontId="4" fillId="3" borderId="7" xfId="4" applyNumberFormat="1" applyFont="1" applyFill="1" applyBorder="1" applyAlignment="1">
      <alignment horizontal="center"/>
    </xf>
    <xf numFmtId="37" fontId="5" fillId="3" borderId="7" xfId="4" applyNumberFormat="1" applyFont="1" applyFill="1" applyBorder="1" applyAlignment="1">
      <alignment horizontal="center"/>
    </xf>
    <xf numFmtId="164" fontId="4" fillId="3" borderId="8" xfId="2" applyNumberFormat="1" applyFont="1" applyFill="1" applyBorder="1"/>
    <xf numFmtId="164" fontId="5" fillId="3" borderId="8" xfId="2" applyNumberFormat="1" applyFont="1" applyFill="1" applyBorder="1" applyAlignment="1">
      <alignment horizontal="center"/>
    </xf>
    <xf numFmtId="164" fontId="5" fillId="3" borderId="8" xfId="2" applyNumberFormat="1" applyFont="1" applyFill="1" applyBorder="1"/>
    <xf numFmtId="10" fontId="5" fillId="3" borderId="0" xfId="4" applyNumberFormat="1" applyFont="1" applyFill="1" applyBorder="1"/>
    <xf numFmtId="164" fontId="4" fillId="3" borderId="7" xfId="2" applyNumberFormat="1" applyFont="1" applyFill="1" applyBorder="1"/>
    <xf numFmtId="9" fontId="5" fillId="3" borderId="0" xfId="8" applyFont="1" applyFill="1" applyBorder="1"/>
    <xf numFmtId="37" fontId="5" fillId="3" borderId="0" xfId="4" applyNumberFormat="1" applyFont="1" applyFill="1" applyBorder="1" applyAlignment="1">
      <alignment horizontal="right"/>
    </xf>
    <xf numFmtId="37" fontId="4" fillId="3" borderId="0" xfId="4" applyNumberFormat="1" applyFont="1" applyFill="1" applyBorder="1" applyAlignment="1">
      <alignment horizontal="right"/>
    </xf>
    <xf numFmtId="37" fontId="3" fillId="0" borderId="0" xfId="627" applyFont="1" applyFill="1"/>
    <xf numFmtId="49" fontId="3" fillId="0" borderId="0" xfId="627" applyNumberFormat="1" applyFont="1" applyFill="1"/>
    <xf numFmtId="14" fontId="3" fillId="0" borderId="0" xfId="627" applyNumberFormat="1" applyFont="1" applyFill="1"/>
    <xf numFmtId="165" fontId="3" fillId="0" borderId="0" xfId="6" applyNumberFormat="1" applyFont="1" applyFill="1"/>
    <xf numFmtId="37" fontId="3" fillId="77" borderId="0" xfId="627" applyFont="1" applyFill="1"/>
    <xf numFmtId="0" fontId="29" fillId="0" borderId="0" xfId="7" applyFont="1" applyAlignment="1">
      <alignment horizontal="left"/>
    </xf>
    <xf numFmtId="0" fontId="29" fillId="0" borderId="0" xfId="7" quotePrefix="1" applyFont="1" applyAlignment="1">
      <alignment horizontal="left"/>
    </xf>
    <xf numFmtId="0" fontId="29" fillId="0" borderId="0" xfId="7" applyFont="1"/>
    <xf numFmtId="165" fontId="29" fillId="0" borderId="0" xfId="173" applyNumberFormat="1" applyFont="1"/>
    <xf numFmtId="165" fontId="3" fillId="77" borderId="0" xfId="173" applyNumberFormat="1" applyFont="1" applyFill="1" applyBorder="1"/>
    <xf numFmtId="171" fontId="88" fillId="0" borderId="0" xfId="567" applyNumberFormat="1" applyFont="1" applyFill="1" applyBorder="1"/>
    <xf numFmtId="165" fontId="3" fillId="0" borderId="0" xfId="173" applyNumberFormat="1" applyFont="1" applyBorder="1"/>
    <xf numFmtId="0" fontId="3" fillId="0" borderId="0" xfId="379"/>
    <xf numFmtId="37" fontId="3" fillId="0" borderId="0" xfId="627" quotePrefix="1" applyFont="1" applyFill="1"/>
    <xf numFmtId="14" fontId="89" fillId="0" borderId="0" xfId="7" applyNumberFormat="1" applyFont="1"/>
    <xf numFmtId="0" fontId="90" fillId="0" borderId="0" xfId="7" applyNumberFormat="1" applyFont="1"/>
    <xf numFmtId="0" fontId="89" fillId="0" borderId="0" xfId="7" applyNumberFormat="1" applyFont="1"/>
    <xf numFmtId="0" fontId="90" fillId="0" borderId="0" xfId="7" applyNumberFormat="1" applyFont="1" applyAlignment="1">
      <alignment horizontal="right"/>
    </xf>
    <xf numFmtId="49" fontId="91" fillId="0" borderId="0" xfId="7" applyNumberFormat="1" applyFont="1" applyAlignment="1">
      <alignment horizontal="right"/>
    </xf>
    <xf numFmtId="0" fontId="91" fillId="0" borderId="0" xfId="7" applyNumberFormat="1" applyFont="1" applyAlignment="1">
      <alignment horizontal="left"/>
    </xf>
    <xf numFmtId="0" fontId="92" fillId="0" borderId="0" xfId="7" applyNumberFormat="1" applyFont="1"/>
    <xf numFmtId="49" fontId="91" fillId="0" borderId="0" xfId="7" applyNumberFormat="1" applyFont="1" applyAlignment="1">
      <alignment horizontal="left"/>
    </xf>
    <xf numFmtId="49" fontId="93" fillId="0" borderId="0" xfId="7" applyNumberFormat="1" applyFont="1"/>
    <xf numFmtId="0" fontId="93" fillId="0" borderId="0" xfId="7" applyNumberFormat="1" applyFont="1"/>
    <xf numFmtId="172" fontId="94" fillId="0" borderId="0" xfId="7" quotePrefix="1" applyNumberFormat="1" applyFont="1" applyAlignment="1">
      <alignment horizontal="left"/>
    </xf>
    <xf numFmtId="0" fontId="29" fillId="0" borderId="0" xfId="7" applyNumberFormat="1" applyFont="1"/>
    <xf numFmtId="165" fontId="95" fillId="0" borderId="12" xfId="173" applyNumberFormat="1" applyFont="1" applyFill="1" applyBorder="1" applyAlignment="1">
      <alignment horizontal="centerContinuous"/>
    </xf>
    <xf numFmtId="0" fontId="95" fillId="0" borderId="12" xfId="7" applyFont="1" applyFill="1" applyBorder="1" applyAlignment="1">
      <alignment horizontal="centerContinuous"/>
    </xf>
    <xf numFmtId="165" fontId="95" fillId="0" borderId="12" xfId="173" quotePrefix="1" applyNumberFormat="1" applyFont="1" applyFill="1" applyBorder="1" applyAlignment="1">
      <alignment horizontal="centerContinuous"/>
    </xf>
    <xf numFmtId="0" fontId="96" fillId="0" borderId="12" xfId="7" applyNumberFormat="1" applyFont="1" applyBorder="1"/>
    <xf numFmtId="17" fontId="95" fillId="0" borderId="29" xfId="173" applyNumberFormat="1" applyFont="1" applyFill="1" applyBorder="1" applyAlignment="1">
      <alignment horizontal="centerContinuous"/>
    </xf>
    <xf numFmtId="0" fontId="95" fillId="0" borderId="0" xfId="7" applyFont="1" applyBorder="1"/>
    <xf numFmtId="0" fontId="95" fillId="0" borderId="0" xfId="7" applyFont="1"/>
    <xf numFmtId="17" fontId="95" fillId="0" borderId="29" xfId="173" applyNumberFormat="1" applyFont="1" applyBorder="1" applyAlignment="1">
      <alignment horizontal="centerContinuous"/>
    </xf>
    <xf numFmtId="17" fontId="4" fillId="0" borderId="29" xfId="173" applyNumberFormat="1" applyFont="1" applyFill="1" applyBorder="1" applyAlignment="1">
      <alignment horizontal="centerContinuous"/>
    </xf>
    <xf numFmtId="0" fontId="97" fillId="0" borderId="0" xfId="7" applyFont="1"/>
    <xf numFmtId="165" fontId="97" fillId="0" borderId="0" xfId="173" applyNumberFormat="1" applyFont="1"/>
    <xf numFmtId="37" fontId="3" fillId="0" borderId="0" xfId="627" applyFont="1" applyFill="1" applyBorder="1"/>
    <xf numFmtId="165" fontId="29" fillId="0" borderId="12" xfId="173" applyNumberFormat="1" applyFont="1" applyBorder="1"/>
    <xf numFmtId="165" fontId="29" fillId="46" borderId="0" xfId="6" applyNumberFormat="1" applyFont="1" applyFill="1" applyBorder="1"/>
    <xf numFmtId="165" fontId="89" fillId="0" borderId="0" xfId="6" applyNumberFormat="1" applyFont="1"/>
    <xf numFmtId="165" fontId="29" fillId="0" borderId="0" xfId="6" applyNumberFormat="1" applyFont="1"/>
    <xf numFmtId="165" fontId="29" fillId="0" borderId="12" xfId="6" applyNumberFormat="1" applyFont="1" applyBorder="1"/>
    <xf numFmtId="0" fontId="29" fillId="0" borderId="0" xfId="7" quotePrefix="1" applyFont="1"/>
    <xf numFmtId="0" fontId="96" fillId="0" borderId="0" xfId="7" applyFont="1" applyAlignment="1">
      <alignment horizontal="left"/>
    </xf>
    <xf numFmtId="165" fontId="29" fillId="46" borderId="7" xfId="6" applyNumberFormat="1" applyFont="1" applyFill="1" applyBorder="1"/>
    <xf numFmtId="0" fontId="96" fillId="0" borderId="0" xfId="7" applyFont="1"/>
    <xf numFmtId="0" fontId="96" fillId="0" borderId="0" xfId="7" quotePrefix="1" applyFont="1" applyAlignment="1">
      <alignment horizontal="left"/>
    </xf>
    <xf numFmtId="0" fontId="3" fillId="0" borderId="0" xfId="4"/>
    <xf numFmtId="165" fontId="3" fillId="0" borderId="0" xfId="6" applyNumberFormat="1" applyFont="1"/>
    <xf numFmtId="165" fontId="1" fillId="0" borderId="0" xfId="6" applyNumberFormat="1" applyFont="1"/>
    <xf numFmtId="0" fontId="3" fillId="0" borderId="0" xfId="4" applyFont="1"/>
    <xf numFmtId="0" fontId="96" fillId="78" borderId="0" xfId="7" quotePrefix="1" applyFont="1" applyFill="1" applyAlignment="1">
      <alignment horizontal="left"/>
    </xf>
    <xf numFmtId="0" fontId="29" fillId="78" borderId="0" xfId="7" applyFont="1" applyFill="1"/>
    <xf numFmtId="165" fontId="29" fillId="78" borderId="7" xfId="6" applyNumberFormat="1" applyFont="1" applyFill="1" applyBorder="1"/>
    <xf numFmtId="165" fontId="89" fillId="0" borderId="0" xfId="6" applyNumberFormat="1" applyFont="1" applyFill="1"/>
    <xf numFmtId="165" fontId="89" fillId="0" borderId="0" xfId="6" applyNumberFormat="1" applyFont="1" applyFill="1" applyBorder="1"/>
    <xf numFmtId="0" fontId="89" fillId="0" borderId="0" xfId="7" applyNumberFormat="1" applyFont="1" applyFill="1"/>
    <xf numFmtId="0" fontId="3" fillId="0" borderId="0" xfId="386"/>
    <xf numFmtId="0" fontId="3" fillId="0" borderId="0" xfId="386" applyFont="1"/>
    <xf numFmtId="173" fontId="3" fillId="0" borderId="0" xfId="386" applyNumberFormat="1" applyFont="1"/>
    <xf numFmtId="165" fontId="97" fillId="0" borderId="0" xfId="6" applyNumberFormat="1" applyFont="1"/>
    <xf numFmtId="0" fontId="96" fillId="7" borderId="0" xfId="7" applyFont="1" applyFill="1" applyAlignment="1">
      <alignment horizontal="left"/>
    </xf>
    <xf numFmtId="0" fontId="29" fillId="7" borderId="0" xfId="7" applyFont="1" applyFill="1"/>
    <xf numFmtId="173" fontId="29" fillId="7" borderId="7" xfId="6" quotePrefix="1" applyNumberFormat="1" applyFont="1" applyFill="1" applyBorder="1"/>
    <xf numFmtId="165" fontId="88" fillId="0" borderId="0" xfId="6" applyNumberFormat="1" applyFont="1" applyFill="1" applyBorder="1"/>
    <xf numFmtId="165" fontId="29" fillId="46" borderId="8" xfId="6" applyNumberFormat="1" applyFont="1" applyFill="1" applyBorder="1"/>
    <xf numFmtId="165" fontId="3" fillId="0" borderId="0" xfId="173" applyNumberFormat="1" applyFont="1" applyFill="1"/>
    <xf numFmtId="165" fontId="3" fillId="0" borderId="0" xfId="6" applyNumberFormat="1"/>
    <xf numFmtId="165" fontId="29" fillId="3" borderId="0" xfId="6" applyNumberFormat="1" applyFont="1" applyFill="1" applyBorder="1"/>
    <xf numFmtId="165" fontId="29" fillId="3" borderId="0" xfId="6" applyNumberFormat="1" applyFont="1" applyFill="1"/>
    <xf numFmtId="165" fontId="88" fillId="3" borderId="0" xfId="6" applyNumberFormat="1" applyFont="1" applyFill="1" applyBorder="1"/>
    <xf numFmtId="165" fontId="98" fillId="0" borderId="0" xfId="173" applyNumberFormat="1" applyFont="1" applyFill="1" applyAlignment="1">
      <alignment horizontal="right"/>
    </xf>
    <xf numFmtId="0" fontId="99" fillId="0" borderId="0" xfId="7" applyNumberFormat="1" applyFont="1"/>
    <xf numFmtId="165" fontId="100" fillId="0" borderId="0" xfId="173" applyNumberFormat="1" applyFont="1" applyFill="1"/>
    <xf numFmtId="168" fontId="95" fillId="0" borderId="0" xfId="3" applyNumberFormat="1" applyFont="1" applyFill="1"/>
    <xf numFmtId="0" fontId="3" fillId="0" borderId="0" xfId="379" applyFont="1"/>
    <xf numFmtId="0" fontId="0" fillId="0" borderId="0" xfId="0" applyFont="1" applyBorder="1"/>
    <xf numFmtId="0" fontId="0" fillId="0" borderId="46" xfId="0" applyBorder="1"/>
    <xf numFmtId="0" fontId="109" fillId="0" borderId="0" xfId="0" applyFont="1"/>
    <xf numFmtId="0" fontId="110" fillId="0" borderId="0" xfId="0" applyFont="1"/>
    <xf numFmtId="0" fontId="109" fillId="0" borderId="0" xfId="0" applyFont="1" applyAlignment="1"/>
    <xf numFmtId="175" fontId="109" fillId="0" borderId="0" xfId="0" applyNumberFormat="1" applyFont="1" applyAlignment="1"/>
    <xf numFmtId="3" fontId="109" fillId="0" borderId="0" xfId="0" applyNumberFormat="1" applyFont="1" applyAlignment="1"/>
    <xf numFmtId="176" fontId="109" fillId="0" borderId="0" xfId="0" applyNumberFormat="1" applyFont="1" applyAlignment="1"/>
    <xf numFmtId="10" fontId="109" fillId="0" borderId="0" xfId="0" applyNumberFormat="1" applyFont="1"/>
    <xf numFmtId="9" fontId="109" fillId="0" borderId="0" xfId="3" applyFont="1" applyFill="1" applyAlignment="1"/>
    <xf numFmtId="175" fontId="109" fillId="0" borderId="0" xfId="0" applyNumberFormat="1" applyFont="1" applyBorder="1" applyAlignment="1"/>
    <xf numFmtId="43" fontId="109" fillId="0" borderId="0" xfId="0" applyNumberFormat="1" applyFont="1" applyAlignment="1"/>
    <xf numFmtId="0" fontId="112" fillId="0" borderId="0" xfId="0" applyFont="1" applyFill="1" applyBorder="1"/>
    <xf numFmtId="0" fontId="112" fillId="0" borderId="0" xfId="0" applyFont="1" applyBorder="1"/>
    <xf numFmtId="4" fontId="95" fillId="0" borderId="0" xfId="633" applyNumberFormat="1" applyFont="1" applyFill="1" applyBorder="1" applyAlignment="1">
      <alignment horizontal="center"/>
    </xf>
    <xf numFmtId="0" fontId="113" fillId="0" borderId="0" xfId="0" applyFont="1" applyFill="1" applyBorder="1" applyAlignment="1">
      <alignment horizontal="center"/>
    </xf>
    <xf numFmtId="4" fontId="112" fillId="0" borderId="0" xfId="0" applyNumberFormat="1" applyFont="1" applyBorder="1"/>
    <xf numFmtId="4" fontId="112" fillId="0" borderId="0" xfId="0" applyNumberFormat="1" applyFont="1" applyFill="1" applyBorder="1"/>
    <xf numFmtId="0" fontId="0" fillId="0" borderId="0" xfId="0" applyBorder="1"/>
    <xf numFmtId="0" fontId="105" fillId="0" borderId="0" xfId="0" applyFont="1"/>
    <xf numFmtId="0" fontId="114" fillId="0" borderId="0" xfId="0" applyFont="1"/>
    <xf numFmtId="0" fontId="114" fillId="3" borderId="0" xfId="0" applyFont="1" applyFill="1"/>
    <xf numFmtId="0" fontId="114" fillId="0" borderId="0" xfId="0" applyFont="1" applyAlignment="1">
      <alignment horizontal="right"/>
    </xf>
    <xf numFmtId="1" fontId="107" fillId="3" borderId="0" xfId="4" applyNumberFormat="1" applyFont="1" applyFill="1" applyBorder="1" applyAlignment="1">
      <alignment horizontal="left"/>
    </xf>
    <xf numFmtId="0" fontId="114" fillId="0" borderId="0" xfId="0" applyFont="1" applyFill="1"/>
    <xf numFmtId="1" fontId="105" fillId="0" borderId="0" xfId="0" applyNumberFormat="1" applyFont="1"/>
    <xf numFmtId="0" fontId="115" fillId="26" borderId="0" xfId="103" applyFont="1"/>
    <xf numFmtId="0" fontId="116" fillId="26" borderId="0" xfId="103" applyFont="1"/>
    <xf numFmtId="0" fontId="116" fillId="3" borderId="0" xfId="103" applyFont="1" applyFill="1"/>
    <xf numFmtId="0" fontId="117" fillId="0" borderId="0" xfId="0" applyFont="1" applyAlignment="1">
      <alignment horizontal="center"/>
    </xf>
    <xf numFmtId="0" fontId="105" fillId="0" borderId="12" xfId="0" applyFont="1" applyBorder="1" applyAlignment="1">
      <alignment horizontal="center" wrapText="1"/>
    </xf>
    <xf numFmtId="0" fontId="105" fillId="0" borderId="12" xfId="0" applyFont="1" applyFill="1" applyBorder="1" applyAlignment="1">
      <alignment horizontal="center" wrapText="1"/>
    </xf>
    <xf numFmtId="0" fontId="118" fillId="3" borderId="0" xfId="0" applyFont="1" applyFill="1" applyAlignment="1">
      <alignment horizontal="center" wrapText="1"/>
    </xf>
    <xf numFmtId="1" fontId="106" fillId="0" borderId="0" xfId="4" applyNumberFormat="1" applyFont="1" applyFill="1" applyBorder="1" applyAlignment="1">
      <alignment horizontal="right"/>
    </xf>
    <xf numFmtId="0" fontId="107" fillId="0" borderId="0" xfId="4" applyFont="1" applyBorder="1" applyAlignment="1">
      <alignment horizontal="right"/>
    </xf>
    <xf numFmtId="164" fontId="114" fillId="0" borderId="0" xfId="2" applyNumberFormat="1" applyFont="1" applyFill="1"/>
    <xf numFmtId="44" fontId="114" fillId="0" borderId="0" xfId="0" applyNumberFormat="1" applyFont="1"/>
    <xf numFmtId="44" fontId="114" fillId="0" borderId="0" xfId="2" applyFont="1"/>
    <xf numFmtId="168" fontId="114" fillId="0" borderId="0" xfId="3" applyNumberFormat="1" applyFont="1" applyAlignment="1">
      <alignment horizontal="center"/>
    </xf>
    <xf numFmtId="1" fontId="106" fillId="3" borderId="0" xfId="4" applyNumberFormat="1" applyFont="1" applyFill="1" applyBorder="1" applyAlignment="1">
      <alignment horizontal="right"/>
    </xf>
    <xf numFmtId="0" fontId="106" fillId="3" borderId="0" xfId="4" applyFont="1" applyFill="1" applyBorder="1"/>
    <xf numFmtId="44" fontId="114" fillId="0" borderId="0" xfId="0" applyNumberFormat="1" applyFont="1" applyFill="1"/>
    <xf numFmtId="0" fontId="114" fillId="0" borderId="12" xfId="0" applyFont="1" applyFill="1" applyBorder="1"/>
    <xf numFmtId="0" fontId="114" fillId="0" borderId="12" xfId="0" applyFont="1" applyBorder="1"/>
    <xf numFmtId="164" fontId="105" fillId="0" borderId="0" xfId="0" applyNumberFormat="1" applyFont="1"/>
    <xf numFmtId="44" fontId="105" fillId="0" borderId="0" xfId="0" applyNumberFormat="1" applyFont="1"/>
    <xf numFmtId="0" fontId="107" fillId="3" borderId="0" xfId="4" applyFont="1" applyFill="1" applyBorder="1"/>
    <xf numFmtId="168" fontId="114" fillId="0" borderId="0" xfId="3" applyNumberFormat="1" applyFont="1"/>
    <xf numFmtId="0" fontId="117" fillId="0" borderId="0" xfId="0" applyFont="1" applyFill="1" applyAlignment="1">
      <alignment horizontal="left"/>
    </xf>
    <xf numFmtId="9" fontId="114" fillId="0" borderId="0" xfId="3" applyFont="1"/>
    <xf numFmtId="0" fontId="120" fillId="3" borderId="0" xfId="4" applyFont="1" applyFill="1" applyBorder="1" applyAlignment="1">
      <alignment horizontal="left"/>
    </xf>
    <xf numFmtId="0" fontId="106" fillId="0" borderId="0" xfId="4" applyFont="1" applyBorder="1" applyAlignment="1">
      <alignment horizontal="right"/>
    </xf>
    <xf numFmtId="164" fontId="114" fillId="0" borderId="0" xfId="0" applyNumberFormat="1" applyFont="1" applyFill="1"/>
    <xf numFmtId="166" fontId="106" fillId="3" borderId="0" xfId="5" applyFont="1" applyFill="1" applyBorder="1"/>
    <xf numFmtId="164" fontId="114" fillId="0" borderId="0" xfId="0" applyNumberFormat="1" applyFont="1"/>
    <xf numFmtId="164" fontId="114" fillId="0" borderId="0" xfId="2" applyNumberFormat="1" applyFont="1" applyBorder="1"/>
    <xf numFmtId="0" fontId="105" fillId="0" borderId="0" xfId="0" applyFont="1" applyFill="1" applyBorder="1"/>
    <xf numFmtId="0" fontId="114" fillId="0" borderId="0" xfId="0" applyFont="1" applyFill="1" applyBorder="1"/>
    <xf numFmtId="181" fontId="114" fillId="0" borderId="0" xfId="1" applyNumberFormat="1" applyFont="1" applyFill="1" applyBorder="1"/>
    <xf numFmtId="0" fontId="120" fillId="3" borderId="0" xfId="4" applyFont="1" applyFill="1" applyBorder="1"/>
    <xf numFmtId="164" fontId="114" fillId="0" borderId="0" xfId="2" applyNumberFormat="1" applyFont="1"/>
    <xf numFmtId="164" fontId="108" fillId="0" borderId="0" xfId="0" applyNumberFormat="1" applyFont="1" applyFill="1"/>
    <xf numFmtId="0" fontId="106" fillId="0" borderId="0" xfId="0" applyFont="1"/>
    <xf numFmtId="0" fontId="106" fillId="0" borderId="0" xfId="0" applyFont="1" applyFill="1"/>
    <xf numFmtId="37" fontId="114" fillId="0" borderId="0" xfId="0" applyNumberFormat="1" applyFont="1" applyFill="1"/>
    <xf numFmtId="0" fontId="121" fillId="0" borderId="0" xfId="0" applyFont="1"/>
    <xf numFmtId="43" fontId="114" fillId="0" borderId="0" xfId="0" applyNumberFormat="1" applyFont="1" applyFill="1"/>
    <xf numFmtId="10" fontId="114" fillId="0" borderId="12" xfId="0" applyNumberFormat="1" applyFont="1" applyFill="1" applyBorder="1"/>
    <xf numFmtId="0" fontId="105" fillId="0" borderId="0" xfId="0" applyFont="1" applyAlignment="1">
      <alignment horizontal="right"/>
    </xf>
    <xf numFmtId="0" fontId="121" fillId="0" borderId="0" xfId="0" applyFont="1" applyFill="1"/>
    <xf numFmtId="180" fontId="114" fillId="0" borderId="12" xfId="3" applyNumberFormat="1" applyFont="1" applyBorder="1"/>
    <xf numFmtId="164" fontId="114" fillId="0" borderId="12" xfId="2" applyNumberFormat="1" applyFont="1" applyBorder="1"/>
    <xf numFmtId="0" fontId="114" fillId="0" borderId="0" xfId="0" quotePrefix="1" applyFont="1"/>
    <xf numFmtId="0" fontId="121" fillId="0" borderId="0" xfId="0" applyFont="1" applyAlignment="1">
      <alignment horizontal="center"/>
    </xf>
    <xf numFmtId="164" fontId="114" fillId="0" borderId="0" xfId="2" applyNumberFormat="1" applyFont="1" applyFill="1" applyBorder="1"/>
    <xf numFmtId="164" fontId="114" fillId="0" borderId="0" xfId="0" applyNumberFormat="1" applyFont="1" applyBorder="1"/>
    <xf numFmtId="1" fontId="114" fillId="0" borderId="0" xfId="0" applyNumberFormat="1" applyFont="1"/>
    <xf numFmtId="164" fontId="114" fillId="0" borderId="12" xfId="2" applyNumberFormat="1" applyFont="1" applyFill="1" applyBorder="1"/>
    <xf numFmtId="164" fontId="114" fillId="0" borderId="12" xfId="0" applyNumberFormat="1" applyFont="1" applyBorder="1"/>
    <xf numFmtId="0" fontId="107" fillId="0" borderId="0" xfId="4" applyFont="1" applyBorder="1"/>
    <xf numFmtId="3" fontId="107" fillId="0" borderId="0" xfId="634" applyNumberFormat="1" applyFont="1" applyFill="1" applyBorder="1" applyAlignment="1">
      <alignment horizontal="center"/>
    </xf>
    <xf numFmtId="3" fontId="122" fillId="0" borderId="0" xfId="634" applyNumberFormat="1" applyFont="1" applyBorder="1"/>
    <xf numFmtId="0" fontId="107" fillId="0" borderId="0" xfId="4" applyFont="1" applyFill="1" applyBorder="1"/>
    <xf numFmtId="0" fontId="122" fillId="0" borderId="0" xfId="634" applyFont="1" applyBorder="1"/>
    <xf numFmtId="3" fontId="122" fillId="0" borderId="0" xfId="139" applyNumberFormat="1" applyFont="1" applyFill="1" applyBorder="1"/>
    <xf numFmtId="3" fontId="122" fillId="0" borderId="0" xfId="634" applyNumberFormat="1" applyFont="1" applyFill="1" applyBorder="1"/>
    <xf numFmtId="0" fontId="106" fillId="0" borderId="0" xfId="4" applyFont="1" applyBorder="1"/>
    <xf numFmtId="3" fontId="122" fillId="0" borderId="12" xfId="139" applyNumberFormat="1" applyFont="1" applyFill="1" applyBorder="1"/>
    <xf numFmtId="3" fontId="106" fillId="0" borderId="0" xfId="4" applyNumberFormat="1" applyFont="1" applyBorder="1"/>
    <xf numFmtId="3" fontId="107" fillId="0" borderId="0" xfId="139" applyNumberFormat="1" applyFont="1" applyBorder="1"/>
    <xf numFmtId="3" fontId="106" fillId="0" borderId="0" xfId="139" applyNumberFormat="1" applyFont="1" applyBorder="1"/>
    <xf numFmtId="37" fontId="122" fillId="0" borderId="0" xfId="139" applyNumberFormat="1" applyFont="1" applyFill="1" applyBorder="1"/>
    <xf numFmtId="37" fontId="122" fillId="0" borderId="12" xfId="139" applyNumberFormat="1" applyFont="1" applyFill="1" applyBorder="1"/>
    <xf numFmtId="37" fontId="107" fillId="0" borderId="0" xfId="139" applyNumberFormat="1" applyFont="1" applyBorder="1"/>
    <xf numFmtId="3" fontId="123" fillId="0" borderId="0" xfId="4" applyNumberFormat="1" applyFont="1" applyBorder="1"/>
    <xf numFmtId="0" fontId="107" fillId="0" borderId="0" xfId="634" applyFont="1" applyBorder="1"/>
    <xf numFmtId="0" fontId="124" fillId="0" borderId="0" xfId="0" applyFont="1"/>
    <xf numFmtId="0" fontId="125" fillId="3" borderId="0" xfId="0" applyFont="1" applyFill="1"/>
    <xf numFmtId="1" fontId="124" fillId="0" borderId="0" xfId="0" applyNumberFormat="1" applyFont="1"/>
    <xf numFmtId="0" fontId="126" fillId="6" borderId="0" xfId="0" applyFont="1" applyFill="1"/>
    <xf numFmtId="0" fontId="125" fillId="6" borderId="0" xfId="0" applyFont="1" applyFill="1"/>
    <xf numFmtId="0" fontId="102" fillId="7" borderId="0" xfId="0" applyFont="1" applyFill="1"/>
    <xf numFmtId="0" fontId="125" fillId="7" borderId="0" xfId="0" applyFont="1" applyFill="1"/>
    <xf numFmtId="0" fontId="127" fillId="8" borderId="0" xfId="4" applyFont="1" applyFill="1"/>
    <xf numFmtId="3" fontId="127" fillId="8" borderId="0" xfId="4" applyNumberFormat="1" applyFont="1" applyFill="1"/>
    <xf numFmtId="0" fontId="127" fillId="8" borderId="0" xfId="0" applyFont="1" applyFill="1"/>
    <xf numFmtId="0" fontId="128" fillId="0" borderId="0" xfId="0" applyFont="1"/>
    <xf numFmtId="3" fontId="129" fillId="3" borderId="0" xfId="4" applyNumberFormat="1" applyFont="1" applyFill="1"/>
    <xf numFmtId="0" fontId="103" fillId="3" borderId="0" xfId="4" applyFont="1" applyFill="1"/>
    <xf numFmtId="3" fontId="103" fillId="3" borderId="0" xfId="4" applyNumberFormat="1" applyFont="1" applyFill="1"/>
    <xf numFmtId="3" fontId="102" fillId="3" borderId="7" xfId="4" applyNumberFormat="1" applyFont="1" applyFill="1" applyBorder="1"/>
    <xf numFmtId="0" fontId="130" fillId="0" borderId="0" xfId="0" applyFont="1" applyFill="1" applyAlignment="1">
      <alignment horizontal="left"/>
    </xf>
    <xf numFmtId="0" fontId="131" fillId="8" borderId="0" xfId="0" applyFont="1" applyFill="1"/>
    <xf numFmtId="3" fontId="102" fillId="3" borderId="0" xfId="4" applyNumberFormat="1" applyFont="1" applyFill="1"/>
    <xf numFmtId="0" fontId="132" fillId="3" borderId="0" xfId="0" applyFont="1" applyFill="1" applyAlignment="1">
      <alignment horizontal="right"/>
    </xf>
    <xf numFmtId="3" fontId="132" fillId="3" borderId="8" xfId="0" applyNumberFormat="1" applyFont="1" applyFill="1" applyBorder="1"/>
    <xf numFmtId="0" fontId="132" fillId="3" borderId="0" xfId="0" applyFont="1" applyFill="1"/>
    <xf numFmtId="0" fontId="133" fillId="6" borderId="0" xfId="0" applyFont="1" applyFill="1"/>
    <xf numFmtId="0" fontId="132" fillId="7" borderId="0" xfId="0" applyFont="1" applyFill="1"/>
    <xf numFmtId="0" fontId="131" fillId="8" borderId="0" xfId="0" applyFont="1" applyFill="1" applyAlignment="1">
      <alignment horizontal="center"/>
    </xf>
    <xf numFmtId="0" fontId="134" fillId="8" borderId="0" xfId="0" applyFont="1" applyFill="1" applyAlignment="1">
      <alignment horizontal="center"/>
    </xf>
    <xf numFmtId="3" fontId="125" fillId="3" borderId="0" xfId="0" applyNumberFormat="1" applyFont="1" applyFill="1"/>
    <xf numFmtId="176" fontId="125" fillId="0" borderId="0" xfId="0" applyNumberFormat="1" applyFont="1" applyFill="1"/>
    <xf numFmtId="175" fontId="132" fillId="3" borderId="0" xfId="0" applyNumberFormat="1" applyFont="1" applyFill="1" applyBorder="1"/>
    <xf numFmtId="0" fontId="125" fillId="3" borderId="0" xfId="0" applyFont="1" applyFill="1" applyAlignment="1">
      <alignment horizontal="right"/>
    </xf>
    <xf numFmtId="176" fontId="132" fillId="3" borderId="8" xfId="0" applyNumberFormat="1" applyFont="1" applyFill="1" applyBorder="1"/>
    <xf numFmtId="175" fontId="125" fillId="3" borderId="0" xfId="0" applyNumberFormat="1" applyFont="1" applyFill="1" applyBorder="1"/>
    <xf numFmtId="0" fontId="129" fillId="3" borderId="0" xfId="0" quotePrefix="1" applyFont="1" applyFill="1" applyAlignment="1">
      <alignment horizontal="left"/>
    </xf>
    <xf numFmtId="0" fontId="102" fillId="3" borderId="0" xfId="4" applyFont="1" applyFill="1"/>
    <xf numFmtId="9" fontId="125" fillId="3" borderId="0" xfId="3" applyFont="1" applyFill="1"/>
    <xf numFmtId="0" fontId="135" fillId="6" borderId="0" xfId="4" applyFont="1" applyFill="1"/>
    <xf numFmtId="0" fontId="135" fillId="6" borderId="0" xfId="0" applyFont="1" applyFill="1"/>
    <xf numFmtId="165" fontId="132" fillId="0" borderId="8" xfId="0" applyNumberFormat="1" applyFont="1" applyFill="1" applyBorder="1"/>
    <xf numFmtId="0" fontId="86" fillId="0" borderId="12" xfId="0" applyFont="1" applyBorder="1" applyAlignment="1">
      <alignment horizontal="center" wrapText="1"/>
    </xf>
    <xf numFmtId="165" fontId="5" fillId="79" borderId="0" xfId="1" applyNumberFormat="1" applyFont="1" applyFill="1" applyBorder="1"/>
    <xf numFmtId="0" fontId="5" fillId="79" borderId="0" xfId="4" applyFont="1" applyFill="1" applyBorder="1"/>
    <xf numFmtId="0" fontId="86" fillId="0" borderId="0" xfId="0" applyFont="1" applyFill="1"/>
    <xf numFmtId="0" fontId="3" fillId="0" borderId="0" xfId="381" applyAlignment="1">
      <alignment horizontal="center"/>
    </xf>
    <xf numFmtId="165" fontId="0" fillId="0" borderId="0" xfId="6" applyNumberFormat="1" applyFont="1" applyAlignment="1">
      <alignment horizontal="center"/>
    </xf>
    <xf numFmtId="9" fontId="96" fillId="0" borderId="0" xfId="7" applyNumberFormat="1" applyFont="1" applyAlignment="1">
      <alignment horizontal="right"/>
    </xf>
    <xf numFmtId="180" fontId="96" fillId="0" borderId="0" xfId="7" applyNumberFormat="1" applyFont="1" applyFill="1" applyAlignment="1">
      <alignment horizontal="center"/>
    </xf>
    <xf numFmtId="0" fontId="3" fillId="7" borderId="0" xfId="381" applyFill="1" applyAlignment="1">
      <alignment horizontal="center"/>
    </xf>
    <xf numFmtId="165" fontId="0" fillId="7" borderId="0" xfId="6" applyNumberFormat="1" applyFont="1" applyFill="1" applyAlignment="1">
      <alignment horizontal="center"/>
    </xf>
    <xf numFmtId="165" fontId="95" fillId="7" borderId="0" xfId="6" quotePrefix="1" applyNumberFormat="1" applyFont="1" applyFill="1" applyAlignment="1">
      <alignment horizontal="center"/>
    </xf>
    <xf numFmtId="9" fontId="96" fillId="0" borderId="0" xfId="7" quotePrefix="1" applyNumberFormat="1" applyFont="1" applyAlignment="1">
      <alignment horizontal="right"/>
    </xf>
    <xf numFmtId="0" fontId="86" fillId="7" borderId="52" xfId="381" applyFont="1" applyFill="1" applyBorder="1" applyAlignment="1">
      <alignment horizontal="center"/>
    </xf>
    <xf numFmtId="165" fontId="86" fillId="7" borderId="6" xfId="6" applyNumberFormat="1" applyFont="1" applyFill="1" applyBorder="1" applyAlignment="1">
      <alignment horizontal="center" wrapText="1"/>
    </xf>
    <xf numFmtId="165" fontId="86" fillId="7" borderId="52" xfId="6" applyNumberFormat="1" applyFont="1" applyFill="1" applyBorder="1" applyAlignment="1">
      <alignment horizontal="center" wrapText="1"/>
    </xf>
    <xf numFmtId="0" fontId="89" fillId="0" borderId="29" xfId="7" applyNumberFormat="1" applyFont="1" applyBorder="1"/>
    <xf numFmtId="0" fontId="89" fillId="0" borderId="0" xfId="7" applyNumberFormat="1" applyFont="1" applyBorder="1"/>
    <xf numFmtId="0" fontId="3" fillId="7" borderId="0" xfId="381" applyFill="1" applyAlignment="1">
      <alignment horizontal="left"/>
    </xf>
    <xf numFmtId="165" fontId="0" fillId="7" borderId="0" xfId="6" applyNumberFormat="1" applyFont="1" applyFill="1"/>
    <xf numFmtId="10" fontId="0" fillId="7" borderId="0" xfId="560" applyNumberFormat="1" applyFont="1" applyFill="1"/>
    <xf numFmtId="165" fontId="95" fillId="0" borderId="12" xfId="173" applyNumberFormat="1" applyFont="1" applyFill="1" applyBorder="1" applyAlignment="1"/>
    <xf numFmtId="0" fontId="29" fillId="0" borderId="12" xfId="7" applyNumberFormat="1" applyFont="1" applyBorder="1"/>
    <xf numFmtId="0" fontId="89" fillId="0" borderId="12" xfId="7" applyNumberFormat="1" applyFont="1" applyBorder="1"/>
    <xf numFmtId="165" fontId="95" fillId="0" borderId="0" xfId="173" applyNumberFormat="1" applyFont="1" applyFill="1" applyBorder="1" applyAlignment="1"/>
    <xf numFmtId="17" fontId="95" fillId="0" borderId="0" xfId="173" applyNumberFormat="1" applyFont="1" applyFill="1" applyBorder="1" applyAlignment="1">
      <alignment horizontal="centerContinuous"/>
    </xf>
    <xf numFmtId="44" fontId="3" fillId="0" borderId="0" xfId="2" applyFont="1" applyFill="1"/>
    <xf numFmtId="0" fontId="29" fillId="0" borderId="12" xfId="7" applyFont="1" applyBorder="1"/>
    <xf numFmtId="0" fontId="29" fillId="0" borderId="0" xfId="7" applyFont="1" applyBorder="1"/>
    <xf numFmtId="165" fontId="3" fillId="0" borderId="0" xfId="173" applyNumberFormat="1" applyFont="1" applyFill="1" applyAlignment="1">
      <alignment horizontal="right"/>
    </xf>
    <xf numFmtId="165" fontId="3" fillId="0" borderId="12" xfId="173" applyNumberFormat="1" applyFont="1" applyFill="1" applyBorder="1"/>
    <xf numFmtId="44" fontId="95" fillId="0" borderId="50" xfId="2" applyFont="1" applyFill="1" applyBorder="1"/>
    <xf numFmtId="44" fontId="95" fillId="0" borderId="0" xfId="2" applyFont="1" applyFill="1" applyBorder="1"/>
    <xf numFmtId="165" fontId="95" fillId="0" borderId="0" xfId="173" applyNumberFormat="1" applyFont="1" applyFill="1"/>
    <xf numFmtId="1" fontId="86" fillId="0" borderId="0" xfId="0" applyNumberFormat="1" applyFont="1" applyFill="1"/>
    <xf numFmtId="0" fontId="3" fillId="80" borderId="0" xfId="381" applyFill="1" applyAlignment="1">
      <alignment horizontal="left"/>
    </xf>
    <xf numFmtId="165" fontId="0" fillId="80" borderId="0" xfId="6" applyNumberFormat="1" applyFont="1" applyFill="1"/>
    <xf numFmtId="10" fontId="0" fillId="80" borderId="0" xfId="560" applyNumberFormat="1" applyFont="1" applyFill="1"/>
    <xf numFmtId="180" fontId="96" fillId="80" borderId="0" xfId="7" applyNumberFormat="1" applyFont="1" applyFill="1" applyAlignment="1">
      <alignment horizontal="center"/>
    </xf>
    <xf numFmtId="0" fontId="139" fillId="0" borderId="0" xfId="0" applyFont="1"/>
    <xf numFmtId="0" fontId="139" fillId="81" borderId="0" xfId="0" quotePrefix="1" applyFont="1" applyFill="1"/>
    <xf numFmtId="0" fontId="1" fillId="0" borderId="0" xfId="0" applyFont="1" applyFill="1"/>
    <xf numFmtId="0" fontId="1" fillId="0" borderId="0" xfId="0" applyFont="1"/>
    <xf numFmtId="0" fontId="139" fillId="81" borderId="0" xfId="0" applyFont="1" applyFill="1"/>
    <xf numFmtId="0" fontId="140" fillId="0" borderId="0" xfId="0" applyFont="1"/>
    <xf numFmtId="0" fontId="139" fillId="0" borderId="0" xfId="0" applyFont="1" applyAlignment="1">
      <alignment horizontal="center"/>
    </xf>
    <xf numFmtId="0" fontId="141" fillId="0" borderId="0" xfId="0" applyFont="1" applyFill="1" applyAlignment="1">
      <alignment horizontal="center"/>
    </xf>
    <xf numFmtId="0" fontId="86" fillId="0" borderId="0" xfId="0" applyFont="1" applyFill="1" applyAlignment="1">
      <alignment horizontal="center"/>
    </xf>
    <xf numFmtId="0" fontId="86" fillId="0" borderId="0" xfId="0" quotePrefix="1" applyFont="1" applyAlignment="1">
      <alignment horizontal="center"/>
    </xf>
    <xf numFmtId="49" fontId="86" fillId="0" borderId="0" xfId="0" applyNumberFormat="1" applyFont="1" applyAlignment="1">
      <alignment horizontal="center"/>
    </xf>
    <xf numFmtId="49" fontId="86" fillId="0" borderId="0" xfId="0" applyNumberFormat="1" applyFont="1" applyFill="1" applyBorder="1" applyAlignment="1">
      <alignment horizontal="center"/>
    </xf>
    <xf numFmtId="0" fontId="86" fillId="0" borderId="0" xfId="0" applyFont="1" applyFill="1" applyBorder="1" applyAlignment="1">
      <alignment horizontal="center"/>
    </xf>
    <xf numFmtId="0" fontId="140" fillId="0" borderId="12" xfId="1011" applyFont="1" applyFill="1" applyBorder="1" applyAlignment="1">
      <alignment horizontal="center" wrapText="1"/>
    </xf>
    <xf numFmtId="14" fontId="86" fillId="0" borderId="12" xfId="0" applyNumberFormat="1" applyFont="1" applyFill="1" applyBorder="1" applyAlignment="1">
      <alignment horizontal="center"/>
    </xf>
    <xf numFmtId="1" fontId="139" fillId="0" borderId="0" xfId="627" applyNumberFormat="1" applyFont="1" applyFill="1" applyBorder="1"/>
    <xf numFmtId="37" fontId="139" fillId="0" borderId="0" xfId="627" applyFont="1" applyFill="1"/>
    <xf numFmtId="10" fontId="1" fillId="0" borderId="0" xfId="3" applyNumberFormat="1" applyFont="1" applyFill="1"/>
    <xf numFmtId="164" fontId="139" fillId="0" borderId="51" xfId="2" applyNumberFormat="1" applyFont="1" applyFill="1" applyBorder="1"/>
    <xf numFmtId="164" fontId="139" fillId="0" borderId="0" xfId="2" applyNumberFormat="1" applyFont="1" applyFill="1"/>
    <xf numFmtId="164" fontId="1" fillId="0" borderId="0" xfId="0" applyNumberFormat="1" applyFont="1" applyFill="1"/>
    <xf numFmtId="10" fontId="139" fillId="0" borderId="50" xfId="3" applyNumberFormat="1" applyFont="1" applyFill="1" applyBorder="1"/>
    <xf numFmtId="165" fontId="139" fillId="0" borderId="0" xfId="1" applyNumberFormat="1" applyFont="1" applyFill="1"/>
    <xf numFmtId="37" fontId="139" fillId="0" borderId="0" xfId="627" applyFont="1" applyFill="1" applyBorder="1"/>
    <xf numFmtId="0" fontId="0" fillId="0" borderId="0" xfId="0" applyFill="1"/>
    <xf numFmtId="4" fontId="1" fillId="0" borderId="0" xfId="0" applyNumberFormat="1" applyFont="1"/>
    <xf numFmtId="166" fontId="102" fillId="3" borderId="0" xfId="630" applyFont="1" applyFill="1" applyBorder="1"/>
    <xf numFmtId="166" fontId="103" fillId="3" borderId="0" xfId="630" applyFont="1" applyFill="1" applyBorder="1"/>
    <xf numFmtId="3" fontId="103" fillId="3" borderId="0" xfId="630" applyNumberFormat="1" applyFont="1" applyFill="1" applyBorder="1"/>
    <xf numFmtId="174" fontId="102" fillId="3" borderId="0" xfId="630" applyNumberFormat="1" applyFont="1" applyFill="1" applyBorder="1" applyAlignment="1">
      <alignment horizontal="left"/>
    </xf>
    <xf numFmtId="166" fontId="102" fillId="3" borderId="0" xfId="630" applyFont="1" applyFill="1" applyBorder="1" applyAlignment="1">
      <alignment horizontal="center"/>
    </xf>
    <xf numFmtId="3" fontId="102" fillId="3" borderId="0" xfId="630" applyNumberFormat="1" applyFont="1" applyFill="1" applyBorder="1"/>
    <xf numFmtId="14" fontId="102" fillId="3" borderId="0" xfId="630" applyNumberFormat="1" applyFont="1" applyFill="1" applyBorder="1" applyAlignment="1">
      <alignment horizontal="center"/>
    </xf>
    <xf numFmtId="14" fontId="102" fillId="3" borderId="0" xfId="630" quotePrefix="1" applyNumberFormat="1" applyFont="1" applyFill="1" applyBorder="1" applyAlignment="1">
      <alignment horizontal="center"/>
    </xf>
    <xf numFmtId="166" fontId="104" fillId="3" borderId="0" xfId="630" applyFont="1" applyFill="1" applyBorder="1"/>
    <xf numFmtId="165" fontId="103" fillId="3" borderId="0" xfId="139" applyNumberFormat="1" applyFont="1" applyFill="1" applyBorder="1"/>
    <xf numFmtId="166" fontId="102" fillId="3" borderId="50" xfId="630" applyFont="1" applyFill="1" applyBorder="1"/>
    <xf numFmtId="165" fontId="102" fillId="3" borderId="50" xfId="139" applyNumberFormat="1" applyFont="1" applyFill="1" applyBorder="1"/>
    <xf numFmtId="166" fontId="103" fillId="3" borderId="50" xfId="630" applyFont="1" applyFill="1" applyBorder="1"/>
    <xf numFmtId="43" fontId="103" fillId="3" borderId="0" xfId="139" applyFont="1" applyFill="1" applyBorder="1"/>
    <xf numFmtId="10" fontId="103" fillId="3" borderId="0" xfId="630" applyNumberFormat="1" applyFont="1" applyFill="1" applyBorder="1"/>
    <xf numFmtId="37" fontId="146" fillId="0" borderId="0" xfId="4" applyNumberFormat="1" applyFont="1" applyFill="1" applyBorder="1" applyAlignment="1">
      <alignment horizontal="left"/>
    </xf>
    <xf numFmtId="164" fontId="4" fillId="0" borderId="7" xfId="2" applyNumberFormat="1" applyFont="1" applyFill="1" applyBorder="1"/>
    <xf numFmtId="164" fontId="5" fillId="0" borderId="7" xfId="2" applyNumberFormat="1" applyFont="1" applyFill="1" applyBorder="1" applyAlignment="1">
      <alignment horizontal="center"/>
    </xf>
    <xf numFmtId="164" fontId="4" fillId="0" borderId="7" xfId="2" applyNumberFormat="1" applyFont="1" applyFill="1" applyBorder="1" applyAlignment="1">
      <alignment horizontal="center"/>
    </xf>
    <xf numFmtId="164" fontId="146" fillId="3" borderId="0" xfId="2" applyNumberFormat="1" applyFont="1" applyFill="1" applyBorder="1" applyAlignment="1">
      <alignment horizontal="center"/>
    </xf>
    <xf numFmtId="165" fontId="146" fillId="3" borderId="0" xfId="1" applyNumberFormat="1" applyFont="1" applyFill="1" applyBorder="1" applyAlignment="1">
      <alignment horizontal="center"/>
    </xf>
    <xf numFmtId="0" fontId="105" fillId="0" borderId="0" xfId="0" applyFont="1" applyFill="1"/>
    <xf numFmtId="0" fontId="122" fillId="0" borderId="0" xfId="1159" applyFont="1" applyFill="1"/>
    <xf numFmtId="0" fontId="147" fillId="0" borderId="0" xfId="1159" applyFont="1" applyFill="1"/>
    <xf numFmtId="0" fontId="119" fillId="0" borderId="0" xfId="1159" applyFont="1" applyFill="1"/>
    <xf numFmtId="0" fontId="122" fillId="7" borderId="0" xfId="1159" applyFont="1" applyFill="1"/>
    <xf numFmtId="0" fontId="119" fillId="82" borderId="0" xfId="1159" applyFont="1" applyFill="1" applyAlignment="1">
      <alignment horizontal="center"/>
    </xf>
    <xf numFmtId="0" fontId="119" fillId="83" borderId="0" xfId="1159" applyFont="1" applyFill="1" applyAlignment="1">
      <alignment horizontal="center" wrapText="1"/>
    </xf>
    <xf numFmtId="0" fontId="119" fillId="84" borderId="0" xfId="1159" applyFont="1" applyFill="1" applyAlignment="1">
      <alignment horizontal="center" wrapText="1"/>
    </xf>
    <xf numFmtId="0" fontId="119" fillId="7" borderId="0" xfId="1159" applyFont="1" applyFill="1" applyAlignment="1">
      <alignment horizontal="center"/>
    </xf>
    <xf numFmtId="0" fontId="148" fillId="0" borderId="0" xfId="1159" applyFont="1" applyFill="1" applyAlignment="1">
      <alignment horizontal="center"/>
    </xf>
    <xf numFmtId="0" fontId="118" fillId="0" borderId="0" xfId="1159" applyFont="1" applyFill="1" applyAlignment="1">
      <alignment horizontal="left"/>
    </xf>
    <xf numFmtId="0" fontId="119" fillId="0" borderId="0" xfId="1159" applyFont="1" applyFill="1" applyAlignment="1">
      <alignment horizontal="left"/>
    </xf>
    <xf numFmtId="165" fontId="122" fillId="0" borderId="0" xfId="134" applyNumberFormat="1" applyFont="1" applyFill="1"/>
    <xf numFmtId="0" fontId="114" fillId="0" borderId="0" xfId="0" applyFont="1" applyAlignment="1">
      <alignment horizontal="left"/>
    </xf>
    <xf numFmtId="43" fontId="114" fillId="0" borderId="0" xfId="134" applyFont="1" applyFill="1" applyBorder="1"/>
    <xf numFmtId="0" fontId="119" fillId="0" borderId="50" xfId="1159" applyFont="1" applyFill="1" applyBorder="1"/>
    <xf numFmtId="0" fontId="119" fillId="0" borderId="50" xfId="1159" applyFont="1" applyFill="1" applyBorder="1" applyAlignment="1">
      <alignment horizontal="right"/>
    </xf>
    <xf numFmtId="0" fontId="118" fillId="0" borderId="0" xfId="1159" applyFont="1" applyFill="1" applyAlignment="1">
      <alignment horizontal="center"/>
    </xf>
    <xf numFmtId="43" fontId="149" fillId="0" borderId="0" xfId="134" applyFont="1" applyFill="1" applyAlignment="1">
      <alignment horizontal="right"/>
    </xf>
    <xf numFmtId="43" fontId="122" fillId="0" borderId="0" xfId="134" applyFont="1" applyFill="1"/>
    <xf numFmtId="0" fontId="122" fillId="0" borderId="50" xfId="0" applyFont="1" applyFill="1" applyBorder="1" applyAlignment="1">
      <alignment vertical="top"/>
    </xf>
    <xf numFmtId="0" fontId="122" fillId="0" borderId="50" xfId="1159" applyFont="1" applyFill="1" applyBorder="1"/>
    <xf numFmtId="0" fontId="122" fillId="0" borderId="0" xfId="0" applyFont="1" applyFill="1" applyAlignment="1">
      <alignment vertical="top"/>
    </xf>
    <xf numFmtId="0" fontId="119" fillId="0" borderId="0" xfId="1159" applyFont="1" applyFill="1" applyBorder="1"/>
    <xf numFmtId="0" fontId="150" fillId="0" borderId="0" xfId="0" applyFont="1" applyFill="1" applyBorder="1" applyAlignment="1">
      <alignment vertical="top"/>
    </xf>
    <xf numFmtId="0" fontId="114" fillId="0" borderId="50" xfId="0" applyFont="1" applyFill="1" applyBorder="1"/>
    <xf numFmtId="0" fontId="122" fillId="0" borderId="0" xfId="1159" applyFont="1" applyFill="1" applyBorder="1"/>
    <xf numFmtId="43" fontId="114" fillId="0" borderId="0" xfId="134" applyFont="1" applyFill="1"/>
    <xf numFmtId="0" fontId="119" fillId="0" borderId="0" xfId="1159" applyFont="1" applyFill="1" applyBorder="1" applyAlignment="1">
      <alignment horizontal="right"/>
    </xf>
    <xf numFmtId="0" fontId="118" fillId="0" borderId="0" xfId="1159" applyFont="1" applyFill="1" applyBorder="1" applyAlignment="1">
      <alignment horizontal="center"/>
    </xf>
    <xf numFmtId="44" fontId="105" fillId="0" borderId="0" xfId="0" applyNumberFormat="1" applyFont="1" applyBorder="1"/>
    <xf numFmtId="168" fontId="114" fillId="0" borderId="0" xfId="3" applyNumberFormat="1" applyFont="1" applyAlignment="1">
      <alignment horizontal="left"/>
    </xf>
    <xf numFmtId="164" fontId="114" fillId="0" borderId="12" xfId="0" applyNumberFormat="1" applyFont="1" applyFill="1" applyBorder="1"/>
    <xf numFmtId="164" fontId="5" fillId="0" borderId="0" xfId="2" applyNumberFormat="1" applyFont="1" applyFill="1" applyBorder="1" applyAlignment="1">
      <alignment horizontal="right"/>
    </xf>
    <xf numFmtId="164" fontId="5" fillId="0" borderId="0" xfId="2" applyNumberFormat="1" applyFont="1" applyFill="1" applyBorder="1"/>
    <xf numFmtId="166" fontId="151" fillId="0" borderId="0" xfId="628" applyFont="1" applyFill="1" applyBorder="1" applyAlignment="1"/>
    <xf numFmtId="0" fontId="30" fillId="0" borderId="0" xfId="0" applyFont="1"/>
    <xf numFmtId="0" fontId="152" fillId="0" borderId="0" xfId="0" applyFont="1"/>
    <xf numFmtId="0" fontId="153" fillId="0" borderId="43" xfId="0" applyFont="1" applyBorder="1"/>
    <xf numFmtId="0" fontId="154" fillId="0" borderId="44" xfId="0" applyFont="1" applyBorder="1"/>
    <xf numFmtId="0" fontId="154" fillId="0" borderId="45" xfId="0" applyFont="1" applyBorder="1"/>
    <xf numFmtId="0" fontId="154" fillId="0" borderId="46" xfId="0" applyFont="1" applyBorder="1"/>
    <xf numFmtId="0" fontId="154" fillId="0" borderId="0" xfId="0" applyFont="1" applyBorder="1"/>
    <xf numFmtId="0" fontId="154" fillId="0" borderId="47" xfId="0" applyFont="1" applyBorder="1"/>
    <xf numFmtId="0" fontId="154" fillId="0" borderId="12" xfId="0" applyFont="1" applyBorder="1" applyAlignment="1">
      <alignment horizontal="center"/>
    </xf>
    <xf numFmtId="0" fontId="154" fillId="0" borderId="47" xfId="0" applyFont="1" applyBorder="1" applyAlignment="1">
      <alignment horizontal="center"/>
    </xf>
    <xf numFmtId="0" fontId="30" fillId="0" borderId="46" xfId="0" applyFont="1" applyBorder="1"/>
    <xf numFmtId="3" fontId="30" fillId="0" borderId="0" xfId="0" applyNumberFormat="1" applyFont="1" applyBorder="1"/>
    <xf numFmtId="10" fontId="155" fillId="0" borderId="47" xfId="573" applyNumberFormat="1" applyFont="1" applyBorder="1"/>
    <xf numFmtId="3" fontId="30" fillId="0" borderId="12" xfId="0" applyNumberFormat="1" applyFont="1" applyBorder="1"/>
    <xf numFmtId="3" fontId="30" fillId="0" borderId="47" xfId="0" applyNumberFormat="1" applyFont="1" applyBorder="1"/>
    <xf numFmtId="3" fontId="154" fillId="0" borderId="0" xfId="0" applyNumberFormat="1" applyFont="1" applyBorder="1"/>
    <xf numFmtId="3" fontId="154" fillId="0" borderId="47" xfId="0" applyNumberFormat="1" applyFont="1" applyBorder="1"/>
    <xf numFmtId="10" fontId="151" fillId="0" borderId="0" xfId="629" applyNumberFormat="1" applyFont="1" applyBorder="1"/>
    <xf numFmtId="0" fontId="30" fillId="0" borderId="0" xfId="0" applyFont="1" applyBorder="1"/>
    <xf numFmtId="0" fontId="30" fillId="0" borderId="47" xfId="0" applyFont="1" applyBorder="1"/>
    <xf numFmtId="0" fontId="30" fillId="0" borderId="48" xfId="0" applyFont="1" applyBorder="1"/>
    <xf numFmtId="0" fontId="30" fillId="0" borderId="29" xfId="0" applyFont="1" applyBorder="1"/>
    <xf numFmtId="0" fontId="30" fillId="0" borderId="49" xfId="0" applyFont="1" applyBorder="1"/>
    <xf numFmtId="2" fontId="30" fillId="0" borderId="0" xfId="0" applyNumberFormat="1" applyFont="1" applyBorder="1"/>
    <xf numFmtId="2" fontId="30" fillId="0" borderId="12" xfId="0" applyNumberFormat="1" applyFont="1" applyFill="1" applyBorder="1"/>
    <xf numFmtId="4" fontId="154" fillId="0" borderId="0" xfId="0" applyNumberFormat="1" applyFont="1" applyBorder="1"/>
    <xf numFmtId="0" fontId="30" fillId="0" borderId="0" xfId="0" applyFont="1" applyFill="1"/>
    <xf numFmtId="0" fontId="152" fillId="0" borderId="0" xfId="0" applyFont="1" applyFill="1" applyAlignment="1">
      <alignment wrapText="1"/>
    </xf>
    <xf numFmtId="0" fontId="152" fillId="0" borderId="0" xfId="0" applyFont="1" applyFill="1"/>
    <xf numFmtId="10" fontId="30" fillId="0" borderId="0" xfId="0" applyNumberFormat="1" applyFont="1" applyFill="1"/>
    <xf numFmtId="0" fontId="154" fillId="0" borderId="0" xfId="0" applyFont="1" applyFill="1" applyBorder="1" applyAlignment="1">
      <alignment horizontal="center"/>
    </xf>
    <xf numFmtId="10" fontId="30" fillId="0" borderId="0" xfId="3" applyNumberFormat="1" applyFont="1" applyFill="1"/>
    <xf numFmtId="37" fontId="139" fillId="0" borderId="0" xfId="1160" applyFont="1" applyFill="1"/>
    <xf numFmtId="182" fontId="142" fillId="0" borderId="0" xfId="1160" applyNumberFormat="1" applyFont="1" applyFill="1" applyBorder="1" applyAlignment="1">
      <alignment horizontal="center" wrapText="1"/>
    </xf>
    <xf numFmtId="0" fontId="86" fillId="0" borderId="0" xfId="0" applyFont="1" applyAlignment="1">
      <alignment horizontal="center"/>
    </xf>
    <xf numFmtId="37" fontId="139" fillId="0" borderId="0" xfId="1160" applyFont="1" applyFill="1" applyBorder="1"/>
    <xf numFmtId="49" fontId="156" fillId="0" borderId="0" xfId="0" applyNumberFormat="1" applyFont="1" applyAlignment="1">
      <alignment horizontal="center"/>
    </xf>
    <xf numFmtId="37" fontId="142" fillId="78" borderId="53" xfId="1160" applyFont="1" applyFill="1" applyBorder="1"/>
    <xf numFmtId="37" fontId="139" fillId="0" borderId="0" xfId="1160" applyFont="1" applyFill="1" applyAlignment="1">
      <alignment horizontal="left" indent="1"/>
    </xf>
    <xf numFmtId="165" fontId="139" fillId="0" borderId="12" xfId="1" applyNumberFormat="1" applyFont="1" applyFill="1" applyBorder="1"/>
    <xf numFmtId="37" fontId="139" fillId="0" borderId="0" xfId="1160" applyFont="1" applyFill="1" applyAlignment="1">
      <alignment horizontal="left" indent="2"/>
    </xf>
    <xf numFmtId="37" fontId="157" fillId="0" borderId="0" xfId="1160" applyFont="1" applyFill="1" applyBorder="1" applyAlignment="1">
      <alignment horizontal="right"/>
    </xf>
    <xf numFmtId="37" fontId="139" fillId="0" borderId="0" xfId="1160" applyFont="1" applyFill="1" applyAlignment="1"/>
    <xf numFmtId="165" fontId="139" fillId="0" borderId="0" xfId="1" applyNumberFormat="1" applyFont="1" applyFill="1" applyBorder="1"/>
    <xf numFmtId="164" fontId="139" fillId="0" borderId="29" xfId="2" applyNumberFormat="1" applyFont="1" applyFill="1" applyBorder="1" applyAlignment="1">
      <alignment horizontal="right"/>
    </xf>
    <xf numFmtId="37" fontId="139" fillId="0" borderId="0" xfId="1160" applyFont="1" applyFill="1" applyAlignment="1">
      <alignment horizontal="left" indent="3"/>
    </xf>
    <xf numFmtId="37" fontId="157" fillId="0" borderId="0" xfId="1160" applyFont="1" applyFill="1" applyAlignment="1">
      <alignment horizontal="right"/>
    </xf>
    <xf numFmtId="37" fontId="139" fillId="0" borderId="0" xfId="1160" applyFont="1" applyFill="1" applyBorder="1" applyAlignment="1">
      <alignment horizontal="right"/>
    </xf>
    <xf numFmtId="37" fontId="139" fillId="0" borderId="0" xfId="1160" applyFont="1" applyFill="1" applyAlignment="1">
      <alignment horizontal="left"/>
    </xf>
    <xf numFmtId="37" fontId="139" fillId="0" borderId="12" xfId="1160" applyFont="1" applyFill="1" applyBorder="1"/>
    <xf numFmtId="0" fontId="139" fillId="0" borderId="0" xfId="0" quotePrefix="1" applyFont="1"/>
    <xf numFmtId="0" fontId="139" fillId="81" borderId="0" xfId="0" applyFont="1" applyFill="1" applyAlignment="1">
      <alignment horizontal="left"/>
    </xf>
    <xf numFmtId="0" fontId="140" fillId="0" borderId="0" xfId="0" applyFont="1" applyAlignment="1">
      <alignment horizontal="center"/>
    </xf>
    <xf numFmtId="0" fontId="158" fillId="0" borderId="0" xfId="0" quotePrefix="1" applyFont="1" applyAlignment="1">
      <alignment horizontal="center"/>
    </xf>
    <xf numFmtId="0" fontId="158" fillId="0" borderId="0" xfId="0" applyFont="1" applyAlignment="1">
      <alignment horizontal="center"/>
    </xf>
    <xf numFmtId="165" fontId="139" fillId="0" borderId="0" xfId="1" applyNumberFormat="1" applyFont="1"/>
    <xf numFmtId="0" fontId="3" fillId="0" borderId="0" xfId="0" applyFont="1" applyFill="1"/>
    <xf numFmtId="0" fontId="3" fillId="0" borderId="0" xfId="0" applyFont="1"/>
    <xf numFmtId="0" fontId="3" fillId="0" borderId="0" xfId="0" applyFont="1" applyAlignment="1">
      <alignment horizontal="left"/>
    </xf>
    <xf numFmtId="164" fontId="139" fillId="0" borderId="0" xfId="2" applyNumberFormat="1" applyFont="1"/>
    <xf numFmtId="164" fontId="139" fillId="0" borderId="29" xfId="2" applyNumberFormat="1" applyFont="1" applyBorder="1"/>
    <xf numFmtId="165" fontId="146" fillId="0" borderId="0" xfId="1" applyNumberFormat="1" applyFont="1" applyFill="1" applyBorder="1" applyAlignment="1">
      <alignment horizontal="left"/>
    </xf>
    <xf numFmtId="164" fontId="105" fillId="0" borderId="0" xfId="0" applyNumberFormat="1" applyFont="1" applyFill="1"/>
    <xf numFmtId="17" fontId="3" fillId="0" borderId="0" xfId="627" applyNumberFormat="1" applyFont="1" applyFill="1"/>
    <xf numFmtId="0" fontId="33" fillId="0" borderId="0" xfId="7" applyFont="1"/>
    <xf numFmtId="37" fontId="159" fillId="77" borderId="0" xfId="627" applyFont="1" applyFill="1"/>
    <xf numFmtId="37" fontId="159" fillId="0" borderId="0" xfId="627" applyFont="1" applyFill="1"/>
    <xf numFmtId="0" fontId="33" fillId="0" borderId="0" xfId="7" applyFont="1" applyAlignment="1">
      <alignment horizontal="left"/>
    </xf>
    <xf numFmtId="0" fontId="33" fillId="0" borderId="0" xfId="7" quotePrefix="1" applyFont="1" applyAlignment="1">
      <alignment horizontal="left"/>
    </xf>
    <xf numFmtId="165" fontId="33" fillId="77" borderId="0" xfId="6" applyNumberFormat="1" applyFont="1" applyFill="1"/>
    <xf numFmtId="165" fontId="33" fillId="0" borderId="0" xfId="6" applyNumberFormat="1" applyFont="1" applyFill="1"/>
    <xf numFmtId="14" fontId="160" fillId="0" borderId="0" xfId="627" applyNumberFormat="1" applyFont="1" applyFill="1"/>
    <xf numFmtId="0" fontId="89" fillId="0" borderId="0" xfId="7" applyNumberFormat="1" applyFont="1" applyAlignment="1">
      <alignment horizontal="centerContinuous"/>
    </xf>
    <xf numFmtId="0" fontId="161" fillId="0" borderId="0" xfId="7" applyNumberFormat="1" applyFont="1"/>
    <xf numFmtId="37" fontId="60" fillId="0" borderId="0" xfId="627" applyFont="1" applyFill="1"/>
    <xf numFmtId="0" fontId="33" fillId="0" borderId="0" xfId="7" applyNumberFormat="1" applyFont="1" applyAlignment="1">
      <alignment horizontal="center"/>
    </xf>
    <xf numFmtId="0" fontId="89" fillId="0" borderId="0" xfId="7" applyNumberFormat="1" applyFont="1" applyAlignment="1">
      <alignment horizontal="center"/>
    </xf>
    <xf numFmtId="172" fontId="162" fillId="0" borderId="0" xfId="7" quotePrefix="1" applyNumberFormat="1" applyFont="1" applyAlignment="1">
      <alignment horizontal="left"/>
    </xf>
    <xf numFmtId="0" fontId="33" fillId="0" borderId="0" xfId="7" applyNumberFormat="1" applyFont="1"/>
    <xf numFmtId="0" fontId="163" fillId="77" borderId="12" xfId="7" applyNumberFormat="1" applyFont="1" applyFill="1" applyBorder="1" applyAlignment="1">
      <alignment horizontal="centerContinuous"/>
    </xf>
    <xf numFmtId="165" fontId="159" fillId="78" borderId="0" xfId="6" applyNumberFormat="1" applyFont="1" applyFill="1" applyBorder="1" applyAlignment="1">
      <alignment horizontal="centerContinuous"/>
    </xf>
    <xf numFmtId="165" fontId="101" fillId="0" borderId="12" xfId="6" applyNumberFormat="1" applyFont="1" applyBorder="1" applyAlignment="1">
      <alignment horizontal="centerContinuous"/>
    </xf>
    <xf numFmtId="0" fontId="33" fillId="0" borderId="12" xfId="7" applyNumberFormat="1" applyFont="1" applyBorder="1" applyAlignment="1">
      <alignment horizontal="centerContinuous"/>
    </xf>
    <xf numFmtId="165" fontId="101" fillId="78" borderId="0" xfId="6" applyNumberFormat="1" applyFont="1" applyFill="1" applyBorder="1" applyAlignment="1">
      <alignment horizontal="centerContinuous"/>
    </xf>
    <xf numFmtId="165" fontId="159" fillId="0" borderId="0" xfId="7" applyNumberFormat="1" applyFont="1" applyAlignment="1">
      <alignment horizontal="center"/>
    </xf>
    <xf numFmtId="165" fontId="101" fillId="78" borderId="0" xfId="7" applyNumberFormat="1" applyFont="1" applyFill="1" applyAlignment="1">
      <alignment horizontal="center"/>
    </xf>
    <xf numFmtId="0" fontId="163" fillId="0" borderId="0" xfId="7" applyNumberFormat="1" applyFont="1" applyAlignment="1">
      <alignment horizontal="center"/>
    </xf>
    <xf numFmtId="165" fontId="101" fillId="78" borderId="29" xfId="6" applyNumberFormat="1" applyFont="1" applyFill="1" applyBorder="1" applyAlignment="1">
      <alignment horizontal="centerContinuous"/>
    </xf>
    <xf numFmtId="165" fontId="101" fillId="0" borderId="29" xfId="6" applyNumberFormat="1" applyFont="1" applyBorder="1" applyAlignment="1">
      <alignment horizontal="centerContinuous"/>
    </xf>
    <xf numFmtId="17" fontId="163" fillId="0" borderId="29" xfId="7" applyNumberFormat="1" applyFont="1" applyBorder="1" applyAlignment="1">
      <alignment horizontal="center"/>
    </xf>
    <xf numFmtId="0" fontId="164" fillId="0" borderId="0" xfId="7" applyNumberFormat="1" applyFont="1"/>
    <xf numFmtId="37" fontId="159" fillId="0" borderId="0" xfId="627" applyFont="1" applyFill="1" applyBorder="1"/>
    <xf numFmtId="0" fontId="33" fillId="0" borderId="12" xfId="7" applyFont="1" applyBorder="1"/>
    <xf numFmtId="165" fontId="33" fillId="46" borderId="0" xfId="6" applyNumberFormat="1" applyFont="1" applyFill="1" applyBorder="1"/>
    <xf numFmtId="165" fontId="33" fillId="0" borderId="0" xfId="6" applyNumberFormat="1" applyFont="1" applyFill="1" applyBorder="1"/>
    <xf numFmtId="165" fontId="33" fillId="0" borderId="12" xfId="6" applyNumberFormat="1" applyFont="1" applyBorder="1"/>
    <xf numFmtId="165" fontId="33" fillId="0" borderId="12" xfId="6" applyNumberFormat="1" applyFont="1" applyFill="1" applyBorder="1"/>
    <xf numFmtId="0" fontId="33" fillId="0" borderId="0" xfId="7" applyFont="1" applyBorder="1"/>
    <xf numFmtId="165" fontId="33" fillId="0" borderId="0" xfId="6" applyNumberFormat="1" applyFont="1"/>
    <xf numFmtId="0" fontId="163" fillId="0" borderId="0" xfId="7" applyFont="1" applyAlignment="1">
      <alignment horizontal="left"/>
    </xf>
    <xf numFmtId="165" fontId="33" fillId="46" borderId="7" xfId="6" applyNumberFormat="1" applyFont="1" applyFill="1" applyBorder="1"/>
    <xf numFmtId="165" fontId="33" fillId="0" borderId="7" xfId="6" applyNumberFormat="1" applyFont="1" applyFill="1" applyBorder="1"/>
    <xf numFmtId="0" fontId="33" fillId="0" borderId="0" xfId="7" quotePrefix="1" applyFont="1"/>
    <xf numFmtId="0" fontId="33" fillId="0" borderId="0" xfId="7" applyFont="1" applyFill="1"/>
    <xf numFmtId="0" fontId="163" fillId="0" borderId="0" xfId="7" applyFont="1"/>
    <xf numFmtId="165" fontId="33" fillId="46" borderId="8" xfId="6" applyNumberFormat="1" applyFont="1" applyFill="1" applyBorder="1"/>
    <xf numFmtId="165" fontId="33" fillId="0" borderId="8" xfId="6" applyNumberFormat="1" applyFont="1" applyFill="1" applyBorder="1"/>
    <xf numFmtId="0" fontId="159" fillId="0" borderId="0" xfId="4" applyFont="1" applyFill="1"/>
    <xf numFmtId="0" fontId="12" fillId="0" borderId="0" xfId="7" applyFont="1"/>
    <xf numFmtId="165" fontId="159" fillId="0" borderId="0" xfId="174" applyNumberFormat="1" applyFont="1" applyFill="1"/>
    <xf numFmtId="165" fontId="3" fillId="0" borderId="0" xfId="174" applyNumberFormat="1" applyFont="1" applyFill="1"/>
    <xf numFmtId="165" fontId="159" fillId="0" borderId="0" xfId="6" applyNumberFormat="1" applyFont="1" applyFill="1"/>
    <xf numFmtId="165" fontId="33" fillId="3" borderId="0" xfId="6" applyNumberFormat="1" applyFont="1" applyFill="1" applyBorder="1"/>
    <xf numFmtId="0" fontId="33" fillId="3" borderId="0" xfId="7" applyFont="1" applyFill="1"/>
    <xf numFmtId="0" fontId="3" fillId="0" borderId="0" xfId="4" applyFont="1" applyFill="1"/>
    <xf numFmtId="37" fontId="159" fillId="3" borderId="0" xfId="627" applyFont="1" applyFill="1" applyBorder="1"/>
    <xf numFmtId="37" fontId="159" fillId="3" borderId="0" xfId="627" applyFont="1" applyFill="1"/>
    <xf numFmtId="0" fontId="33" fillId="0" borderId="0" xfId="1161" applyFont="1"/>
    <xf numFmtId="0" fontId="33" fillId="0" borderId="0" xfId="1161" applyFont="1" applyAlignment="1">
      <alignment horizontal="left"/>
    </xf>
    <xf numFmtId="0" fontId="33" fillId="0" borderId="0" xfId="1161" quotePrefix="1" applyFont="1" applyAlignment="1">
      <alignment horizontal="left"/>
    </xf>
    <xf numFmtId="0" fontId="29" fillId="0" borderId="0" xfId="1161" applyFont="1"/>
    <xf numFmtId="0" fontId="90" fillId="0" borderId="0" xfId="1161" applyNumberFormat="1" applyFont="1"/>
    <xf numFmtId="0" fontId="89" fillId="0" borderId="0" xfId="1161" applyNumberFormat="1" applyFont="1"/>
    <xf numFmtId="0" fontId="90" fillId="0" borderId="0" xfId="1161" applyNumberFormat="1" applyFont="1" applyAlignment="1">
      <alignment horizontal="right"/>
    </xf>
    <xf numFmtId="0" fontId="91" fillId="0" borderId="0" xfId="1161" applyNumberFormat="1" applyFont="1" applyAlignment="1">
      <alignment horizontal="left"/>
    </xf>
    <xf numFmtId="0" fontId="89" fillId="0" borderId="0" xfId="1161" applyNumberFormat="1" applyFont="1" applyAlignment="1">
      <alignment horizontal="centerContinuous"/>
    </xf>
    <xf numFmtId="0" fontId="161" fillId="0" borderId="0" xfId="1161" applyNumberFormat="1" applyFont="1"/>
    <xf numFmtId="0" fontId="99" fillId="0" borderId="0" xfId="1161" applyNumberFormat="1" applyFont="1"/>
    <xf numFmtId="49" fontId="91" fillId="0" borderId="0" xfId="1161" applyNumberFormat="1" applyFont="1" applyAlignment="1">
      <alignment horizontal="left"/>
    </xf>
    <xf numFmtId="49" fontId="93" fillId="0" borderId="0" xfId="1161" applyNumberFormat="1" applyFont="1"/>
    <xf numFmtId="0" fontId="33" fillId="0" borderId="0" xfId="1161" applyNumberFormat="1" applyFont="1" applyAlignment="1">
      <alignment horizontal="center"/>
    </xf>
    <xf numFmtId="0" fontId="89" fillId="0" borderId="0" xfId="1161" applyNumberFormat="1" applyFont="1" applyAlignment="1">
      <alignment horizontal="center"/>
    </xf>
    <xf numFmtId="172" fontId="162" fillId="0" borderId="0" xfId="1161" quotePrefix="1" applyNumberFormat="1" applyFont="1" applyAlignment="1">
      <alignment horizontal="left"/>
    </xf>
    <xf numFmtId="0" fontId="33" fillId="0" borderId="0" xfId="1161" applyNumberFormat="1" applyFont="1"/>
    <xf numFmtId="0" fontId="163" fillId="77" borderId="12" xfId="1161" applyNumberFormat="1" applyFont="1" applyFill="1" applyBorder="1" applyAlignment="1">
      <alignment horizontal="centerContinuous"/>
    </xf>
    <xf numFmtId="0" fontId="29" fillId="0" borderId="0" xfId="1161" applyNumberFormat="1" applyFont="1"/>
    <xf numFmtId="0" fontId="33" fillId="0" borderId="12" xfId="1161" applyNumberFormat="1" applyFont="1" applyBorder="1" applyAlignment="1">
      <alignment horizontal="centerContinuous"/>
    </xf>
    <xf numFmtId="165" fontId="159" fillId="0" borderId="0" xfId="1161" applyNumberFormat="1" applyFont="1" applyAlignment="1">
      <alignment horizontal="center"/>
    </xf>
    <xf numFmtId="165" fontId="101" fillId="78" borderId="0" xfId="1161" applyNumberFormat="1" applyFont="1" applyFill="1" applyAlignment="1">
      <alignment horizontal="center"/>
    </xf>
    <xf numFmtId="0" fontId="163" fillId="0" borderId="0" xfId="1161" applyNumberFormat="1" applyFont="1" applyAlignment="1">
      <alignment horizontal="center"/>
    </xf>
    <xf numFmtId="17" fontId="163" fillId="0" borderId="29" xfId="1161" applyNumberFormat="1" applyFont="1" applyBorder="1" applyAlignment="1">
      <alignment horizontal="center"/>
    </xf>
    <xf numFmtId="0" fontId="164" fillId="0" borderId="0" xfId="1161" applyNumberFormat="1" applyFont="1"/>
    <xf numFmtId="0" fontId="33" fillId="0" borderId="12" xfId="1161" applyFont="1" applyBorder="1"/>
    <xf numFmtId="0" fontId="33" fillId="0" borderId="0" xfId="1161" applyFont="1" applyBorder="1"/>
    <xf numFmtId="0" fontId="163" fillId="0" borderId="0" xfId="1161" applyFont="1" applyAlignment="1">
      <alignment horizontal="left"/>
    </xf>
    <xf numFmtId="0" fontId="33" fillId="0" borderId="0" xfId="1161" quotePrefix="1" applyFont="1"/>
    <xf numFmtId="0" fontId="33" fillId="0" borderId="0" xfId="1161" applyFont="1" applyFill="1"/>
    <xf numFmtId="0" fontId="163" fillId="0" borderId="0" xfId="1161" applyFont="1"/>
    <xf numFmtId="0" fontId="12" fillId="0" borderId="0" xfId="1161" applyFont="1"/>
    <xf numFmtId="0" fontId="33" fillId="3" borderId="0" xfId="1161" applyFont="1" applyFill="1"/>
    <xf numFmtId="43" fontId="107" fillId="0" borderId="0" xfId="134" applyFont="1" applyFill="1" applyBorder="1"/>
    <xf numFmtId="164" fontId="1" fillId="0" borderId="0" xfId="1" applyNumberFormat="1" applyFont="1" applyFill="1"/>
    <xf numFmtId="164" fontId="1" fillId="11" borderId="0" xfId="0" applyNumberFormat="1" applyFont="1" applyFill="1"/>
    <xf numFmtId="164" fontId="3" fillId="0" borderId="0" xfId="2" applyNumberFormat="1" applyFont="1" applyFill="1"/>
    <xf numFmtId="37" fontId="4" fillId="3" borderId="0" xfId="4" applyNumberFormat="1" applyFont="1" applyFill="1" applyBorder="1"/>
    <xf numFmtId="44" fontId="5" fillId="3" borderId="0" xfId="2" applyFont="1" applyFill="1" applyBorder="1"/>
    <xf numFmtId="43" fontId="5" fillId="3" borderId="0" xfId="4" applyNumberFormat="1" applyFont="1" applyFill="1" applyBorder="1"/>
    <xf numFmtId="0" fontId="0" fillId="3" borderId="0" xfId="0" applyFont="1" applyFill="1"/>
    <xf numFmtId="1" fontId="119" fillId="83" borderId="0" xfId="1159" applyNumberFormat="1" applyFont="1" applyFill="1" applyAlignment="1">
      <alignment horizontal="center"/>
    </xf>
    <xf numFmtId="1" fontId="119" fillId="84" borderId="0" xfId="1159" applyNumberFormat="1" applyFont="1" applyFill="1" applyAlignment="1">
      <alignment horizontal="center"/>
    </xf>
    <xf numFmtId="0" fontId="107" fillId="0" borderId="0" xfId="632" applyFont="1" applyBorder="1"/>
    <xf numFmtId="0" fontId="114" fillId="0" borderId="0" xfId="0" applyFont="1" applyBorder="1"/>
    <xf numFmtId="0" fontId="106" fillId="0" borderId="12" xfId="633" applyFont="1" applyFill="1" applyBorder="1"/>
    <xf numFmtId="0" fontId="107" fillId="7" borderId="0" xfId="633" applyFont="1" applyFill="1" applyBorder="1"/>
    <xf numFmtId="0" fontId="106" fillId="0" borderId="0" xfId="633" applyFont="1" applyBorder="1"/>
    <xf numFmtId="0" fontId="107" fillId="0" borderId="0" xfId="633" applyFont="1" applyBorder="1"/>
    <xf numFmtId="0" fontId="106" fillId="0" borderId="0" xfId="633" applyFont="1" applyFill="1" applyBorder="1"/>
    <xf numFmtId="4" fontId="106" fillId="0" borderId="0" xfId="632" applyNumberFormat="1" applyFont="1" applyFill="1" applyBorder="1" applyAlignment="1">
      <alignment horizontal="right"/>
    </xf>
    <xf numFmtId="10" fontId="107" fillId="0" borderId="0" xfId="632" applyNumberFormat="1" applyFont="1" applyFill="1" applyBorder="1" applyAlignment="1">
      <alignment horizontal="right"/>
    </xf>
    <xf numFmtId="4" fontId="107" fillId="0" borderId="0" xfId="632" applyNumberFormat="1" applyFont="1" applyFill="1" applyBorder="1" applyAlignment="1">
      <alignment horizontal="left"/>
    </xf>
    <xf numFmtId="4" fontId="107" fillId="0" borderId="12" xfId="633" applyNumberFormat="1" applyFont="1" applyFill="1" applyBorder="1" applyAlignment="1">
      <alignment horizontal="center" wrapText="1"/>
    </xf>
    <xf numFmtId="4" fontId="106" fillId="0" borderId="0" xfId="633" applyNumberFormat="1" applyFont="1" applyFill="1" applyBorder="1" applyAlignment="1">
      <alignment horizontal="right"/>
    </xf>
    <xf numFmtId="2" fontId="114" fillId="0" borderId="0" xfId="0" applyNumberFormat="1" applyFont="1" applyBorder="1"/>
    <xf numFmtId="2" fontId="106" fillId="0" borderId="0" xfId="633" applyNumberFormat="1" applyFont="1" applyFill="1" applyBorder="1" applyAlignment="1">
      <alignment horizontal="right"/>
    </xf>
    <xf numFmtId="0" fontId="106" fillId="0" borderId="0" xfId="633" applyNumberFormat="1" applyFont="1" applyFill="1" applyBorder="1" applyAlignment="1">
      <alignment horizontal="right"/>
    </xf>
    <xf numFmtId="4" fontId="114" fillId="0" borderId="0" xfId="0" applyNumberFormat="1" applyFont="1" applyBorder="1"/>
    <xf numFmtId="44" fontId="114" fillId="0" borderId="0" xfId="0" applyNumberFormat="1" applyFont="1" applyBorder="1"/>
    <xf numFmtId="4" fontId="114" fillId="0" borderId="0" xfId="0" applyNumberFormat="1" applyFont="1" applyFill="1" applyBorder="1"/>
    <xf numFmtId="2" fontId="114" fillId="0" borderId="0" xfId="0" applyNumberFormat="1" applyFont="1" applyFill="1" applyBorder="1"/>
    <xf numFmtId="0" fontId="1" fillId="0" borderId="0" xfId="0" applyFont="1" applyBorder="1"/>
    <xf numFmtId="0" fontId="107" fillId="0" borderId="0" xfId="633" applyFont="1" applyFill="1" applyBorder="1"/>
    <xf numFmtId="43" fontId="0" fillId="88" borderId="0" xfId="1" applyFont="1" applyFill="1" applyBorder="1"/>
    <xf numFmtId="0" fontId="0" fillId="0" borderId="55" xfId="0" applyBorder="1"/>
    <xf numFmtId="0" fontId="0" fillId="0" borderId="63" xfId="0" applyBorder="1"/>
    <xf numFmtId="0" fontId="86" fillId="93" borderId="57" xfId="0" applyFont="1" applyFill="1" applyBorder="1" applyAlignment="1">
      <alignment horizontal="center"/>
    </xf>
    <xf numFmtId="0" fontId="0" fillId="0" borderId="57" xfId="0" applyBorder="1"/>
    <xf numFmtId="0" fontId="86" fillId="0" borderId="57" xfId="0" applyFont="1" applyBorder="1"/>
    <xf numFmtId="17" fontId="86" fillId="0" borderId="12" xfId="0" applyNumberFormat="1" applyFont="1" applyBorder="1" applyAlignment="1">
      <alignment horizontal="center"/>
    </xf>
    <xf numFmtId="0" fontId="86" fillId="0" borderId="65" xfId="0" applyFont="1" applyBorder="1" applyAlignment="1">
      <alignment horizontal="center"/>
    </xf>
    <xf numFmtId="43" fontId="86" fillId="0" borderId="64" xfId="1" applyFont="1" applyFill="1" applyBorder="1"/>
    <xf numFmtId="43" fontId="86" fillId="0" borderId="64" xfId="0" applyNumberFormat="1" applyFont="1" applyBorder="1"/>
    <xf numFmtId="44" fontId="86" fillId="0" borderId="65" xfId="0" applyNumberFormat="1" applyFont="1" applyBorder="1"/>
    <xf numFmtId="44" fontId="139" fillId="0" borderId="0" xfId="2" applyFont="1" applyFill="1" applyBorder="1"/>
    <xf numFmtId="0" fontId="86" fillId="0" borderId="57" xfId="0" applyFont="1" applyFill="1" applyBorder="1"/>
    <xf numFmtId="0" fontId="86" fillId="0" borderId="65" xfId="0" applyFont="1" applyFill="1" applyBorder="1" applyAlignment="1">
      <alignment horizontal="center"/>
    </xf>
    <xf numFmtId="165" fontId="0" fillId="0" borderId="0" xfId="1" applyNumberFormat="1" applyFont="1" applyFill="1" applyBorder="1"/>
    <xf numFmtId="165" fontId="0" fillId="0" borderId="51" xfId="1" applyNumberFormat="1" applyFont="1" applyFill="1" applyBorder="1"/>
    <xf numFmtId="43" fontId="0" fillId="0" borderId="0" xfId="0" applyNumberFormat="1" applyFill="1" applyBorder="1"/>
    <xf numFmtId="0" fontId="0" fillId="0" borderId="64" xfId="0" applyFill="1" applyBorder="1"/>
    <xf numFmtId="164" fontId="0" fillId="0" borderId="0" xfId="2" applyNumberFormat="1" applyFont="1" applyFill="1" applyBorder="1"/>
    <xf numFmtId="44" fontId="86" fillId="0" borderId="64" xfId="0" applyNumberFormat="1" applyFont="1" applyFill="1" applyBorder="1"/>
    <xf numFmtId="164" fontId="0" fillId="0" borderId="12" xfId="2" applyNumberFormat="1" applyFont="1" applyFill="1" applyBorder="1"/>
    <xf numFmtId="0" fontId="0" fillId="0" borderId="63" xfId="0" applyFill="1" applyBorder="1"/>
    <xf numFmtId="0" fontId="86" fillId="7" borderId="57" xfId="0" applyFont="1" applyFill="1" applyBorder="1" applyAlignment="1">
      <alignment horizontal="center"/>
    </xf>
    <xf numFmtId="44" fontId="0" fillId="0" borderId="0" xfId="0" applyNumberFormat="1" applyFill="1" applyBorder="1"/>
    <xf numFmtId="44" fontId="86" fillId="0" borderId="51" xfId="0" applyNumberFormat="1" applyFont="1" applyFill="1" applyBorder="1"/>
    <xf numFmtId="44" fontId="86" fillId="0" borderId="63" xfId="0" applyNumberFormat="1" applyFont="1" applyFill="1" applyBorder="1"/>
    <xf numFmtId="164" fontId="166" fillId="0" borderId="0" xfId="2" applyNumberFormat="1" applyFont="1" applyFill="1" applyAlignment="1">
      <alignment vertical="center"/>
    </xf>
    <xf numFmtId="166" fontId="5" fillId="0" borderId="0" xfId="392" applyFont="1" applyAlignment="1">
      <alignment wrapText="1"/>
    </xf>
    <xf numFmtId="165" fontId="107" fillId="0" borderId="0" xfId="134" applyNumberFormat="1" applyFont="1" applyFill="1" applyBorder="1"/>
    <xf numFmtId="0" fontId="86" fillId="0" borderId="56" xfId="0" applyFont="1" applyFill="1" applyBorder="1"/>
    <xf numFmtId="44" fontId="86" fillId="0" borderId="12" xfId="0" applyNumberFormat="1" applyFont="1" applyFill="1" applyBorder="1"/>
    <xf numFmtId="0" fontId="86" fillId="0" borderId="0" xfId="0" applyFont="1" applyFill="1" applyBorder="1" applyAlignment="1">
      <alignment horizontal="right"/>
    </xf>
    <xf numFmtId="0" fontId="0" fillId="0" borderId="55" xfId="0" applyFill="1" applyBorder="1"/>
    <xf numFmtId="0" fontId="86" fillId="0" borderId="56" xfId="0" applyFont="1" applyBorder="1"/>
    <xf numFmtId="0" fontId="86" fillId="89" borderId="57" xfId="0" applyFont="1" applyFill="1" applyBorder="1" applyAlignment="1">
      <alignment horizontal="center"/>
    </xf>
    <xf numFmtId="44" fontId="0" fillId="0" borderId="0" xfId="2" applyFont="1" applyFill="1" applyBorder="1"/>
    <xf numFmtId="0" fontId="165" fillId="0" borderId="57" xfId="0" applyFont="1" applyFill="1" applyBorder="1" applyAlignment="1">
      <alignment horizontal="right"/>
    </xf>
    <xf numFmtId="43" fontId="86" fillId="0" borderId="64" xfId="0" applyNumberFormat="1" applyFont="1" applyFill="1" applyBorder="1"/>
    <xf numFmtId="0" fontId="0" fillId="0" borderId="56" xfId="0" applyFill="1" applyBorder="1"/>
    <xf numFmtId="44" fontId="86" fillId="0" borderId="65" xfId="0" applyNumberFormat="1" applyFont="1" applyFill="1" applyBorder="1"/>
    <xf numFmtId="0" fontId="0" fillId="0" borderId="51" xfId="0" applyFill="1" applyBorder="1"/>
    <xf numFmtId="0" fontId="0" fillId="0" borderId="0" xfId="0" applyFill="1" applyBorder="1"/>
    <xf numFmtId="0" fontId="0" fillId="0" borderId="57" xfId="0" applyFill="1" applyBorder="1"/>
    <xf numFmtId="165" fontId="107" fillId="0" borderId="54" xfId="134" applyNumberFormat="1" applyFont="1" applyFill="1" applyBorder="1"/>
    <xf numFmtId="165" fontId="122" fillId="0" borderId="0" xfId="134" applyNumberFormat="1" applyFont="1" applyFill="1" applyBorder="1"/>
    <xf numFmtId="43" fontId="86" fillId="0" borderId="65" xfId="1" applyFont="1" applyFill="1" applyBorder="1"/>
    <xf numFmtId="0" fontId="0" fillId="0" borderId="65" xfId="0" applyBorder="1"/>
    <xf numFmtId="0" fontId="114" fillId="0" borderId="0" xfId="0" applyFont="1" applyFill="1" applyBorder="1"/>
    <xf numFmtId="0" fontId="114" fillId="0" borderId="0" xfId="0" applyFont="1"/>
    <xf numFmtId="0" fontId="114" fillId="0" borderId="0" xfId="0" applyFont="1" applyFill="1"/>
    <xf numFmtId="0" fontId="122" fillId="0" borderId="0" xfId="1159" applyFont="1" applyFill="1" applyBorder="1"/>
    <xf numFmtId="0" fontId="122" fillId="0" borderId="0" xfId="1159" applyFont="1"/>
    <xf numFmtId="43" fontId="122" fillId="0" borderId="0" xfId="1159" applyNumberFormat="1" applyFont="1"/>
    <xf numFmtId="0" fontId="122" fillId="0" borderId="0" xfId="1159" applyFont="1" applyFill="1"/>
    <xf numFmtId="165" fontId="122" fillId="0" borderId="0" xfId="134" applyNumberFormat="1" applyFont="1" applyFill="1"/>
    <xf numFmtId="0" fontId="119" fillId="0" borderId="0" xfId="1159" applyFont="1" applyFill="1" applyBorder="1"/>
    <xf numFmtId="165" fontId="119" fillId="0" borderId="54" xfId="134" applyNumberFormat="1" applyFont="1" applyFill="1" applyBorder="1"/>
    <xf numFmtId="165" fontId="119" fillId="0" borderId="0" xfId="134" applyNumberFormat="1" applyFont="1" applyFill="1" applyBorder="1"/>
    <xf numFmtId="0" fontId="119" fillId="84" borderId="0" xfId="1159" applyFont="1" applyFill="1" applyAlignment="1">
      <alignment horizontal="center" wrapText="1"/>
    </xf>
    <xf numFmtId="1" fontId="119" fillId="84" borderId="0" xfId="1159" applyNumberFormat="1" applyFont="1" applyFill="1" applyAlignment="1">
      <alignment horizontal="center"/>
    </xf>
    <xf numFmtId="0" fontId="105" fillId="87" borderId="0" xfId="0" applyFont="1" applyFill="1" applyAlignment="1">
      <alignment horizontal="center" wrapText="1"/>
    </xf>
    <xf numFmtId="165" fontId="119" fillId="3" borderId="0" xfId="1" applyNumberFormat="1" applyFont="1" applyFill="1" applyAlignment="1">
      <alignment horizontal="center" wrapText="1"/>
    </xf>
    <xf numFmtId="165" fontId="122" fillId="0" borderId="0" xfId="1" applyNumberFormat="1" applyFont="1"/>
    <xf numFmtId="165" fontId="114" fillId="0" borderId="0" xfId="1" applyNumberFormat="1" applyFont="1"/>
    <xf numFmtId="165" fontId="122" fillId="3" borderId="0" xfId="1" applyNumberFormat="1" applyFont="1" applyFill="1"/>
    <xf numFmtId="165" fontId="105" fillId="87" borderId="0" xfId="1" applyNumberFormat="1" applyFont="1" applyFill="1" applyAlignment="1">
      <alignment horizontal="center" wrapText="1"/>
    </xf>
    <xf numFmtId="0" fontId="122" fillId="3" borderId="0" xfId="1159" applyFont="1" applyFill="1"/>
    <xf numFmtId="0" fontId="119" fillId="3" borderId="0" xfId="1159" applyFont="1" applyFill="1" applyAlignment="1">
      <alignment horizontal="center" wrapText="1"/>
    </xf>
    <xf numFmtId="166" fontId="5" fillId="0" borderId="0" xfId="392" applyFont="1"/>
    <xf numFmtId="166" fontId="4" fillId="0" borderId="0" xfId="392" applyFont="1"/>
    <xf numFmtId="166" fontId="5" fillId="0" borderId="0" xfId="392" applyFont="1" applyFill="1"/>
    <xf numFmtId="166" fontId="167" fillId="0" borderId="0" xfId="392" applyFont="1"/>
    <xf numFmtId="14" fontId="5" fillId="0" borderId="0" xfId="392" applyNumberFormat="1" applyFont="1" applyFill="1" applyAlignment="1">
      <alignment horizontal="center"/>
    </xf>
    <xf numFmtId="166" fontId="5" fillId="0" borderId="0" xfId="392" applyFont="1" applyFill="1" applyAlignment="1">
      <alignment horizontal="center" wrapText="1"/>
    </xf>
    <xf numFmtId="166" fontId="5" fillId="0" borderId="0" xfId="392" applyFont="1" applyFill="1" applyAlignment="1">
      <alignment horizontal="center"/>
    </xf>
    <xf numFmtId="166" fontId="5" fillId="0" borderId="0" xfId="392" applyFont="1" applyAlignment="1">
      <alignment horizontal="right"/>
    </xf>
    <xf numFmtId="166" fontId="5" fillId="92" borderId="0" xfId="392" applyFont="1" applyFill="1"/>
    <xf numFmtId="166" fontId="5" fillId="0" borderId="0" xfId="392" applyFont="1" applyAlignment="1">
      <alignment horizontal="center"/>
    </xf>
    <xf numFmtId="44" fontId="86" fillId="0" borderId="0" xfId="0" applyNumberFormat="1" applyFont="1" applyFill="1" applyBorder="1"/>
    <xf numFmtId="43" fontId="0" fillId="0" borderId="0" xfId="0" applyNumberFormat="1" applyBorder="1"/>
    <xf numFmtId="44" fontId="86" fillId="0" borderId="64" xfId="0" applyNumberFormat="1" applyFont="1" applyBorder="1"/>
    <xf numFmtId="43" fontId="0" fillId="0" borderId="51" xfId="1" applyFont="1" applyFill="1" applyBorder="1"/>
    <xf numFmtId="8" fontId="0" fillId="0" borderId="0" xfId="0" applyNumberFormat="1"/>
    <xf numFmtId="0" fontId="0" fillId="0" borderId="64" xfId="0" applyBorder="1"/>
    <xf numFmtId="164" fontId="3" fillId="0" borderId="0" xfId="2" applyNumberFormat="1" applyFont="1" applyFill="1" applyBorder="1"/>
    <xf numFmtId="9" fontId="0" fillId="0" borderId="0" xfId="3" applyFont="1" applyFill="1" applyBorder="1"/>
    <xf numFmtId="0" fontId="0" fillId="0" borderId="0" xfId="0"/>
    <xf numFmtId="0" fontId="0" fillId="0" borderId="0" xfId="0" applyBorder="1"/>
    <xf numFmtId="0" fontId="0" fillId="0" borderId="0" xfId="0" applyFill="1"/>
    <xf numFmtId="0" fontId="86" fillId="0" borderId="0" xfId="0" applyFont="1"/>
    <xf numFmtId="0" fontId="0" fillId="0" borderId="0" xfId="0" applyAlignment="1">
      <alignment horizontal="right"/>
    </xf>
    <xf numFmtId="43" fontId="0" fillId="0" borderId="0" xfId="1" applyFont="1" applyFill="1" applyBorder="1"/>
    <xf numFmtId="0" fontId="0" fillId="3" borderId="0" xfId="0" applyFill="1"/>
    <xf numFmtId="0" fontId="86" fillId="3" borderId="0" xfId="0" applyFont="1" applyFill="1"/>
    <xf numFmtId="164" fontId="166" fillId="90" borderId="0" xfId="2" applyNumberFormat="1" applyFont="1" applyFill="1" applyAlignment="1">
      <alignment vertical="center"/>
    </xf>
    <xf numFmtId="44" fontId="0" fillId="0" borderId="0" xfId="0" applyNumberFormat="1"/>
    <xf numFmtId="0" fontId="0" fillId="0" borderId="12" xfId="0" applyBorder="1"/>
    <xf numFmtId="44" fontId="0" fillId="0" borderId="0" xfId="2" applyFont="1" applyFill="1"/>
    <xf numFmtId="44" fontId="0" fillId="0" borderId="0" xfId="0" applyNumberFormat="1" applyFill="1"/>
    <xf numFmtId="0" fontId="0" fillId="0" borderId="12" xfId="0" applyFill="1" applyBorder="1"/>
    <xf numFmtId="44" fontId="0" fillId="0" borderId="12" xfId="2" applyFont="1" applyFill="1" applyBorder="1"/>
    <xf numFmtId="0" fontId="0" fillId="90" borderId="57" xfId="0" applyFill="1" applyBorder="1"/>
    <xf numFmtId="9" fontId="0" fillId="90" borderId="0" xfId="3" applyFont="1" applyFill="1" applyBorder="1"/>
    <xf numFmtId="0" fontId="0" fillId="3" borderId="0" xfId="0" applyFill="1" applyAlignment="1">
      <alignment horizontal="right"/>
    </xf>
    <xf numFmtId="43" fontId="0" fillId="0" borderId="0" xfId="1" applyFont="1"/>
    <xf numFmtId="0" fontId="166" fillId="0" borderId="0" xfId="0" applyFont="1" applyBorder="1" applyAlignment="1">
      <alignment vertical="center"/>
    </xf>
    <xf numFmtId="164" fontId="166" fillId="0" borderId="29" xfId="2" applyNumberFormat="1" applyFont="1" applyBorder="1" applyAlignment="1">
      <alignment vertical="center"/>
    </xf>
    <xf numFmtId="164" fontId="166" fillId="0" borderId="0" xfId="2" applyNumberFormat="1" applyFont="1" applyAlignment="1">
      <alignment vertical="center"/>
    </xf>
    <xf numFmtId="0" fontId="86" fillId="89" borderId="12" xfId="0" applyFont="1" applyFill="1" applyBorder="1" applyAlignment="1">
      <alignment horizontal="center"/>
    </xf>
    <xf numFmtId="0" fontId="86" fillId="89" borderId="6" xfId="0" applyFont="1" applyFill="1" applyBorder="1" applyAlignment="1">
      <alignment horizontal="center"/>
    </xf>
    <xf numFmtId="0" fontId="86" fillId="89" borderId="7" xfId="0" applyFont="1" applyFill="1" applyBorder="1" applyAlignment="1">
      <alignment horizontal="center"/>
    </xf>
    <xf numFmtId="0" fontId="0" fillId="3" borderId="0" xfId="0" applyFill="1" applyBorder="1"/>
    <xf numFmtId="0" fontId="86" fillId="3" borderId="0" xfId="0" applyFont="1" applyFill="1" applyAlignment="1">
      <alignment horizontal="center"/>
    </xf>
    <xf numFmtId="0" fontId="0" fillId="3" borderId="12" xfId="0" applyFill="1" applyBorder="1" applyAlignment="1">
      <alignment horizontal="center"/>
    </xf>
    <xf numFmtId="0" fontId="0" fillId="3" borderId="0" xfId="0" applyFill="1" applyAlignment="1">
      <alignment horizontal="center"/>
    </xf>
    <xf numFmtId="0" fontId="0" fillId="3" borderId="55" xfId="0" applyFill="1" applyBorder="1"/>
    <xf numFmtId="9" fontId="0" fillId="3" borderId="51" xfId="3" applyFont="1" applyFill="1" applyBorder="1"/>
    <xf numFmtId="0" fontId="0" fillId="3" borderId="57" xfId="0" applyFill="1" applyBorder="1"/>
    <xf numFmtId="9" fontId="0" fillId="3" borderId="0" xfId="3" applyFont="1" applyFill="1" applyBorder="1"/>
    <xf numFmtId="0" fontId="0" fillId="3" borderId="56" xfId="0" applyFill="1" applyBorder="1"/>
    <xf numFmtId="9" fontId="0" fillId="3" borderId="12" xfId="3" applyFont="1" applyFill="1" applyBorder="1"/>
    <xf numFmtId="164" fontId="86" fillId="3" borderId="29" xfId="2" applyNumberFormat="1" applyFont="1" applyFill="1" applyBorder="1"/>
    <xf numFmtId="9" fontId="86" fillId="3" borderId="29" xfId="3" applyFont="1" applyFill="1" applyBorder="1"/>
    <xf numFmtId="44" fontId="0" fillId="3" borderId="0" xfId="2" applyFont="1" applyFill="1"/>
    <xf numFmtId="164" fontId="0" fillId="0" borderId="0" xfId="2" applyNumberFormat="1" applyFont="1" applyFill="1"/>
    <xf numFmtId="0" fontId="0" fillId="0" borderId="51" xfId="0" applyBorder="1"/>
    <xf numFmtId="43" fontId="5" fillId="0" borderId="0" xfId="1" applyFont="1" applyFill="1" applyBorder="1"/>
    <xf numFmtId="0" fontId="156" fillId="0" borderId="0" xfId="0" applyFont="1" applyAlignment="1">
      <alignment horizontal="center"/>
    </xf>
    <xf numFmtId="0" fontId="0" fillId="0" borderId="0" xfId="0" applyAlignment="1">
      <alignment horizontal="left"/>
    </xf>
    <xf numFmtId="0" fontId="141" fillId="0" borderId="0" xfId="0" applyFont="1" applyAlignment="1">
      <alignment horizontal="left"/>
    </xf>
    <xf numFmtId="166" fontId="167" fillId="0" borderId="0" xfId="392" applyFont="1" applyFill="1"/>
    <xf numFmtId="0" fontId="25" fillId="26" borderId="0" xfId="103" applyFont="1"/>
    <xf numFmtId="0" fontId="128" fillId="0" borderId="0" xfId="0" applyFont="1" applyBorder="1"/>
    <xf numFmtId="10" fontId="124" fillId="0" borderId="49" xfId="573" applyNumberFormat="1" applyFont="1" applyBorder="1"/>
    <xf numFmtId="10" fontId="124" fillId="0" borderId="29" xfId="0" applyNumberFormat="1" applyFont="1" applyBorder="1"/>
    <xf numFmtId="0" fontId="124" fillId="0" borderId="48" xfId="0" applyFont="1" applyBorder="1" applyAlignment="1">
      <alignment horizontal="right"/>
    </xf>
    <xf numFmtId="0" fontId="128" fillId="0" borderId="47" xfId="0" applyFont="1" applyBorder="1"/>
    <xf numFmtId="0" fontId="128" fillId="0" borderId="46" xfId="0" applyFont="1" applyBorder="1"/>
    <xf numFmtId="164" fontId="128" fillId="0" borderId="47" xfId="0" applyNumberFormat="1" applyFont="1" applyBorder="1"/>
    <xf numFmtId="164" fontId="128" fillId="0" borderId="0" xfId="0" applyNumberFormat="1" applyFont="1" applyBorder="1"/>
    <xf numFmtId="0" fontId="124" fillId="0" borderId="46" xfId="0" applyFont="1" applyBorder="1" applyAlignment="1">
      <alignment horizontal="right"/>
    </xf>
    <xf numFmtId="42" fontId="128" fillId="0" borderId="0" xfId="0" applyNumberFormat="1" applyFont="1" applyBorder="1"/>
    <xf numFmtId="0" fontId="0" fillId="0" borderId="45" xfId="0" applyFont="1" applyBorder="1"/>
    <xf numFmtId="0" fontId="124" fillId="0" borderId="44" xfId="0" applyFont="1" applyBorder="1"/>
    <xf numFmtId="0" fontId="0" fillId="0" borderId="43" xfId="0" applyFont="1" applyBorder="1"/>
    <xf numFmtId="0" fontId="128" fillId="0" borderId="49" xfId="0" applyFont="1" applyBorder="1"/>
    <xf numFmtId="0" fontId="128" fillId="0" borderId="29" xfId="0" applyFont="1" applyBorder="1"/>
    <xf numFmtId="0" fontId="128" fillId="0" borderId="48" xfId="0" applyFont="1" applyBorder="1"/>
    <xf numFmtId="164" fontId="124" fillId="0" borderId="0" xfId="2" applyNumberFormat="1" applyFont="1" applyBorder="1"/>
    <xf numFmtId="9" fontId="124" fillId="0" borderId="47" xfId="3" applyFont="1" applyBorder="1" applyAlignment="1">
      <alignment horizontal="center"/>
    </xf>
    <xf numFmtId="10" fontId="124" fillId="0" borderId="0" xfId="3" applyNumberFormat="1" applyFont="1" applyBorder="1"/>
    <xf numFmtId="164" fontId="128" fillId="0" borderId="12" xfId="2" applyNumberFormat="1" applyFont="1" applyBorder="1"/>
    <xf numFmtId="164" fontId="128" fillId="0" borderId="0" xfId="2" applyNumberFormat="1" applyFont="1" applyBorder="1"/>
    <xf numFmtId="0" fontId="124" fillId="0" borderId="66" xfId="0" applyFont="1" applyBorder="1" applyAlignment="1">
      <alignment horizontal="center"/>
    </xf>
    <xf numFmtId="0" fontId="124" fillId="0" borderId="67" xfId="0" applyFont="1" applyBorder="1" applyAlignment="1"/>
    <xf numFmtId="0" fontId="128" fillId="0" borderId="43" xfId="0" applyFont="1" applyBorder="1"/>
    <xf numFmtId="0" fontId="168" fillId="0" borderId="0" xfId="0" applyFont="1"/>
    <xf numFmtId="3" fontId="30" fillId="0" borderId="12" xfId="0" applyNumberFormat="1" applyFont="1" applyFill="1" applyBorder="1"/>
    <xf numFmtId="165" fontId="122" fillId="0" borderId="54" xfId="134" applyNumberFormat="1" applyFont="1" applyFill="1" applyBorder="1"/>
    <xf numFmtId="0" fontId="125" fillId="0" borderId="0" xfId="0" applyFont="1" applyFill="1"/>
    <xf numFmtId="3" fontId="125" fillId="0" borderId="0" xfId="0" applyNumberFormat="1" applyFont="1" applyFill="1"/>
    <xf numFmtId="0" fontId="119" fillId="0" borderId="0" xfId="1159" applyFont="1" applyAlignment="1">
      <alignment horizontal="right"/>
    </xf>
    <xf numFmtId="164" fontId="119" fillId="0" borderId="7" xfId="1159" applyNumberFormat="1" applyFont="1" applyFill="1" applyBorder="1"/>
    <xf numFmtId="164" fontId="107" fillId="0" borderId="50" xfId="220" applyNumberFormat="1" applyFont="1" applyFill="1" applyBorder="1"/>
    <xf numFmtId="164" fontId="0" fillId="0" borderId="0" xfId="0" applyNumberFormat="1" applyFill="1"/>
    <xf numFmtId="164" fontId="105" fillId="0" borderId="0" xfId="2" applyNumberFormat="1" applyFont="1"/>
    <xf numFmtId="164" fontId="114" fillId="0" borderId="0" xfId="0" applyNumberFormat="1" applyFont="1" applyFill="1" applyBorder="1"/>
    <xf numFmtId="165" fontId="114" fillId="0" borderId="0" xfId="1" applyNumberFormat="1" applyFont="1" applyFill="1"/>
    <xf numFmtId="0" fontId="86" fillId="0" borderId="0" xfId="0" applyFont="1" applyAlignment="1">
      <alignment horizontal="right"/>
    </xf>
    <xf numFmtId="0" fontId="114" fillId="0" borderId="0" xfId="0" applyFont="1" applyFill="1"/>
    <xf numFmtId="164" fontId="0" fillId="0" borderId="0" xfId="0" applyNumberFormat="1"/>
    <xf numFmtId="164" fontId="0" fillId="0" borderId="0" xfId="2" applyNumberFormat="1" applyFont="1"/>
    <xf numFmtId="10" fontId="86" fillId="0" borderId="0" xfId="3" applyNumberFormat="1" applyFont="1"/>
    <xf numFmtId="10" fontId="105" fillId="87" borderId="0" xfId="3" applyNumberFormat="1" applyFont="1" applyFill="1" applyAlignment="1">
      <alignment horizontal="center" wrapText="1"/>
    </xf>
    <xf numFmtId="164" fontId="0" fillId="0" borderId="0" xfId="2" applyNumberFormat="1" applyFont="1" applyFill="1"/>
    <xf numFmtId="164" fontId="0" fillId="0" borderId="12" xfId="2" applyNumberFormat="1" applyFont="1" applyBorder="1"/>
    <xf numFmtId="164" fontId="0" fillId="0" borderId="12" xfId="2" applyNumberFormat="1" applyFont="1" applyFill="1" applyBorder="1"/>
    <xf numFmtId="0" fontId="171" fillId="0" borderId="0" xfId="0" applyFont="1" applyAlignment="1">
      <alignment horizontal="right"/>
    </xf>
    <xf numFmtId="0" fontId="0" fillId="0" borderId="0" xfId="0"/>
    <xf numFmtId="0" fontId="114" fillId="0" borderId="0" xfId="0" applyFont="1"/>
    <xf numFmtId="164" fontId="122" fillId="0" borderId="12" xfId="2" applyNumberFormat="1" applyFont="1" applyBorder="1"/>
    <xf numFmtId="164" fontId="105" fillId="0" borderId="0" xfId="2" applyNumberFormat="1" applyFont="1"/>
    <xf numFmtId="0" fontId="117" fillId="0" borderId="0" xfId="0" applyFont="1" applyAlignment="1">
      <alignment horizontal="right"/>
    </xf>
    <xf numFmtId="0" fontId="169" fillId="0" borderId="0" xfId="0" applyFont="1"/>
    <xf numFmtId="164" fontId="117" fillId="0" borderId="0" xfId="2" applyNumberFormat="1" applyFont="1"/>
    <xf numFmtId="164" fontId="114" fillId="0" borderId="0" xfId="2" applyNumberFormat="1" applyFont="1"/>
    <xf numFmtId="165" fontId="170" fillId="0" borderId="0" xfId="1" applyNumberFormat="1" applyFont="1" applyAlignment="1">
      <alignment horizontal="center"/>
    </xf>
    <xf numFmtId="0" fontId="171" fillId="0" borderId="0" xfId="0" applyFont="1"/>
    <xf numFmtId="43" fontId="122" fillId="0" borderId="0" xfId="1" applyNumberFormat="1" applyFont="1"/>
    <xf numFmtId="0" fontId="131" fillId="3" borderId="0" xfId="0" applyFont="1" applyFill="1" applyAlignment="1">
      <alignment horizontal="left" wrapText="1"/>
    </xf>
    <xf numFmtId="165" fontId="114" fillId="0" borderId="0" xfId="0" applyNumberFormat="1" applyFont="1" applyFill="1"/>
    <xf numFmtId="165" fontId="125" fillId="3" borderId="0" xfId="1" applyNumberFormat="1" applyFont="1" applyFill="1"/>
    <xf numFmtId="165" fontId="125" fillId="3" borderId="0" xfId="1" applyNumberFormat="1" applyFont="1" applyFill="1" applyAlignment="1">
      <alignment horizontal="left" wrapText="1"/>
    </xf>
    <xf numFmtId="0" fontId="131" fillId="0" borderId="0" xfId="0" applyFont="1" applyFill="1" applyBorder="1" applyAlignment="1">
      <alignment horizontal="center"/>
    </xf>
    <xf numFmtId="0" fontId="134" fillId="0" borderId="0" xfId="0" applyFont="1" applyFill="1" applyBorder="1" applyAlignment="1">
      <alignment horizontal="center"/>
    </xf>
    <xf numFmtId="0" fontId="125" fillId="0" borderId="0" xfId="0" applyFont="1" applyFill="1" applyBorder="1"/>
    <xf numFmtId="165" fontId="146" fillId="0" borderId="0" xfId="1" applyNumberFormat="1" applyFont="1" applyFill="1" applyBorder="1" applyAlignment="1">
      <alignment horizontal="right"/>
    </xf>
    <xf numFmtId="165" fontId="146" fillId="0" borderId="0" xfId="1" applyNumberFormat="1" applyFont="1" applyFill="1" applyBorder="1" applyAlignment="1">
      <alignment horizontal="center"/>
    </xf>
    <xf numFmtId="165" fontId="5" fillId="0" borderId="0" xfId="1" applyNumberFormat="1" applyFont="1" applyFill="1" applyBorder="1" applyAlignment="1">
      <alignment horizontal="left"/>
    </xf>
    <xf numFmtId="0" fontId="25" fillId="0" borderId="0" xfId="103" applyFont="1" applyFill="1"/>
    <xf numFmtId="0" fontId="114" fillId="0" borderId="0" xfId="0" applyFont="1" applyFill="1" applyAlignment="1">
      <alignment horizontal="right"/>
    </xf>
    <xf numFmtId="0" fontId="122" fillId="0" borderId="0" xfId="634" applyFont="1" applyBorder="1" applyAlignment="1">
      <alignment horizontal="right"/>
    </xf>
    <xf numFmtId="0" fontId="119" fillId="0" borderId="0" xfId="634" applyFont="1" applyBorder="1" applyAlignment="1">
      <alignment horizontal="right"/>
    </xf>
    <xf numFmtId="164" fontId="122" fillId="0" borderId="0" xfId="2" applyNumberFormat="1" applyFont="1" applyFill="1" applyBorder="1"/>
    <xf numFmtId="164" fontId="119" fillId="0" borderId="0" xfId="2" applyNumberFormat="1" applyFont="1" applyFill="1" applyBorder="1"/>
    <xf numFmtId="0" fontId="117" fillId="0" borderId="0" xfId="0" applyFont="1" applyAlignment="1">
      <alignment horizontal="left"/>
    </xf>
    <xf numFmtId="44" fontId="112" fillId="0" borderId="0" xfId="2" applyFont="1" applyBorder="1"/>
    <xf numFmtId="164" fontId="109" fillId="0" borderId="0" xfId="2" applyNumberFormat="1" applyFont="1" applyAlignment="1"/>
    <xf numFmtId="1" fontId="114" fillId="0" borderId="0" xfId="0" applyNumberFormat="1" applyFont="1" applyFill="1"/>
    <xf numFmtId="44" fontId="105" fillId="0" borderId="0" xfId="0" applyNumberFormat="1" applyFont="1" applyFill="1"/>
    <xf numFmtId="164" fontId="106" fillId="0" borderId="0" xfId="0" applyNumberFormat="1" applyFont="1" applyFill="1"/>
    <xf numFmtId="44" fontId="106" fillId="0" borderId="0" xfId="0" applyNumberFormat="1" applyFont="1" applyFill="1"/>
    <xf numFmtId="165" fontId="106" fillId="0" borderId="0" xfId="1" applyNumberFormat="1" applyFont="1" applyFill="1"/>
    <xf numFmtId="43" fontId="122" fillId="0" borderId="0" xfId="1159" applyNumberFormat="1" applyFont="1" applyFill="1" applyBorder="1"/>
    <xf numFmtId="1" fontId="4" fillId="0" borderId="0" xfId="4" applyNumberFormat="1" applyFont="1" applyFill="1" applyBorder="1" applyAlignment="1">
      <alignment horizontal="left"/>
    </xf>
    <xf numFmtId="0" fontId="0" fillId="0" borderId="0" xfId="0" applyFont="1" applyFill="1"/>
    <xf numFmtId="0" fontId="0" fillId="0" borderId="12" xfId="0" applyFont="1" applyFill="1" applyBorder="1" applyAlignment="1">
      <alignment horizontal="center"/>
    </xf>
    <xf numFmtId="43" fontId="0" fillId="0" borderId="0" xfId="158" applyFont="1" applyFill="1"/>
    <xf numFmtId="43" fontId="0" fillId="0" borderId="0" xfId="0" applyNumberFormat="1" applyFont="1" applyFill="1" applyBorder="1" applyAlignment="1">
      <alignment horizontal="center"/>
    </xf>
    <xf numFmtId="43" fontId="0" fillId="0" borderId="0" xfId="0" applyNumberFormat="1" applyFont="1" applyFill="1"/>
    <xf numFmtId="43" fontId="0" fillId="0" borderId="0" xfId="158" applyFont="1" applyFill="1" applyAlignment="1">
      <alignment horizontal="left"/>
    </xf>
    <xf numFmtId="0" fontId="0" fillId="0" borderId="0" xfId="0" applyFont="1" applyFill="1" applyAlignment="1">
      <alignment horizontal="left" indent="1"/>
    </xf>
    <xf numFmtId="165" fontId="0" fillId="0" borderId="0" xfId="158" applyNumberFormat="1" applyFont="1" applyFill="1"/>
    <xf numFmtId="0" fontId="0" fillId="0" borderId="0" xfId="0" applyFont="1" applyFill="1" applyAlignment="1">
      <alignment horizontal="center"/>
    </xf>
    <xf numFmtId="0" fontId="84" fillId="0" borderId="0" xfId="0" applyFont="1" applyFill="1"/>
    <xf numFmtId="0" fontId="84" fillId="0" borderId="0" xfId="0" applyFont="1" applyFill="1" applyAlignment="1">
      <alignment horizontal="center"/>
    </xf>
    <xf numFmtId="0" fontId="0" fillId="0" borderId="0" xfId="0" applyFont="1" applyFill="1" applyAlignment="1"/>
    <xf numFmtId="0" fontId="128" fillId="0" borderId="0" xfId="0" applyFont="1" applyFill="1" applyAlignment="1"/>
    <xf numFmtId="1" fontId="140" fillId="0" borderId="0" xfId="4" applyNumberFormat="1" applyFont="1" applyFill="1" applyBorder="1" applyAlignment="1">
      <alignment horizontal="left"/>
    </xf>
    <xf numFmtId="37" fontId="7" fillId="5" borderId="3" xfId="4" applyNumberFormat="1" applyFont="1" applyFill="1" applyBorder="1" applyAlignment="1">
      <alignment horizontal="center"/>
    </xf>
    <xf numFmtId="37" fontId="14" fillId="5" borderId="0" xfId="4" applyNumberFormat="1" applyFont="1" applyFill="1" applyBorder="1" applyAlignment="1">
      <alignment horizontal="center"/>
    </xf>
    <xf numFmtId="17" fontId="175" fillId="0" borderId="0" xfId="173" applyNumberFormat="1" applyFont="1" applyFill="1" applyBorder="1" applyAlignment="1">
      <alignment horizontal="center"/>
    </xf>
    <xf numFmtId="17" fontId="175" fillId="0" borderId="29" xfId="173" applyNumberFormat="1" applyFont="1" applyFill="1" applyBorder="1" applyAlignment="1">
      <alignment horizontal="center"/>
    </xf>
    <xf numFmtId="17" fontId="175" fillId="0" borderId="0" xfId="173" applyNumberFormat="1" applyFont="1" applyFill="1" applyBorder="1" applyAlignment="1">
      <alignment horizontal="left"/>
    </xf>
    <xf numFmtId="37" fontId="4" fillId="3" borderId="0" xfId="4" applyNumberFormat="1" applyFont="1" applyFill="1" applyBorder="1" applyAlignment="1">
      <alignment horizontal="left"/>
    </xf>
    <xf numFmtId="3" fontId="4" fillId="3" borderId="0" xfId="0" applyNumberFormat="1" applyFont="1" applyFill="1" applyBorder="1" applyAlignment="1">
      <alignment horizontal="left"/>
    </xf>
    <xf numFmtId="37" fontId="8" fillId="5" borderId="1" xfId="4" applyNumberFormat="1" applyFont="1" applyFill="1" applyBorder="1" applyAlignment="1">
      <alignment horizontal="left"/>
    </xf>
    <xf numFmtId="0" fontId="8" fillId="5" borderId="4" xfId="4" applyNumberFormat="1" applyFont="1" applyFill="1" applyBorder="1" applyAlignment="1">
      <alignment horizontal="left"/>
    </xf>
    <xf numFmtId="37" fontId="4" fillId="7" borderId="7" xfId="4" applyNumberFormat="1" applyFont="1" applyFill="1" applyBorder="1" applyAlignment="1">
      <alignment horizontal="left"/>
    </xf>
    <xf numFmtId="164" fontId="5" fillId="3" borderId="0" xfId="2" applyNumberFormat="1" applyFont="1" applyFill="1" applyBorder="1" applyAlignment="1">
      <alignment horizontal="left"/>
    </xf>
    <xf numFmtId="165" fontId="5" fillId="3" borderId="0" xfId="1" applyNumberFormat="1" applyFont="1" applyFill="1" applyBorder="1" applyAlignment="1">
      <alignment horizontal="left"/>
    </xf>
    <xf numFmtId="165" fontId="4" fillId="3" borderId="7" xfId="1" applyNumberFormat="1" applyFont="1" applyFill="1" applyBorder="1" applyAlignment="1">
      <alignment horizontal="left"/>
    </xf>
    <xf numFmtId="165" fontId="4" fillId="3" borderId="0" xfId="1" applyNumberFormat="1" applyFont="1" applyFill="1" applyBorder="1" applyAlignment="1">
      <alignment horizontal="left"/>
    </xf>
    <xf numFmtId="165" fontId="4" fillId="7" borderId="7" xfId="1" applyNumberFormat="1" applyFont="1" applyFill="1" applyBorder="1" applyAlignment="1">
      <alignment horizontal="left"/>
    </xf>
    <xf numFmtId="165" fontId="4" fillId="8" borderId="0" xfId="1" applyNumberFormat="1" applyFont="1" applyFill="1" applyBorder="1" applyAlignment="1">
      <alignment horizontal="left"/>
    </xf>
    <xf numFmtId="10" fontId="4" fillId="3" borderId="7" xfId="4" applyNumberFormat="1" applyFont="1" applyFill="1" applyBorder="1" applyAlignment="1">
      <alignment horizontal="left"/>
    </xf>
    <xf numFmtId="164" fontId="4" fillId="3" borderId="8" xfId="2" applyNumberFormat="1" applyFont="1" applyFill="1" applyBorder="1" applyAlignment="1">
      <alignment horizontal="left"/>
    </xf>
    <xf numFmtId="164" fontId="4" fillId="0" borderId="7" xfId="2" applyNumberFormat="1" applyFont="1" applyFill="1" applyBorder="1" applyAlignment="1">
      <alignment horizontal="left"/>
    </xf>
    <xf numFmtId="0" fontId="176" fillId="0" borderId="0" xfId="0" applyFont="1"/>
    <xf numFmtId="176" fontId="176" fillId="0" borderId="0" xfId="0" applyNumberFormat="1" applyFont="1"/>
    <xf numFmtId="0" fontId="176" fillId="0" borderId="0" xfId="0" applyFont="1" applyAlignment="1"/>
    <xf numFmtId="44" fontId="176" fillId="0" borderId="0" xfId="2" applyFont="1" applyFill="1"/>
    <xf numFmtId="0" fontId="176" fillId="0" borderId="0" xfId="0" applyNumberFormat="1" applyFont="1"/>
    <xf numFmtId="175" fontId="176" fillId="0" borderId="0" xfId="0" applyNumberFormat="1" applyFont="1" applyAlignment="1"/>
    <xf numFmtId="3" fontId="176" fillId="0" borderId="0" xfId="0" applyNumberFormat="1" applyFont="1" applyAlignment="1"/>
    <xf numFmtId="0" fontId="177" fillId="0" borderId="0" xfId="0" applyFont="1" applyAlignment="1">
      <alignment horizontal="right"/>
    </xf>
    <xf numFmtId="176" fontId="176" fillId="0" borderId="0" xfId="0" applyNumberFormat="1" applyFont="1" applyFill="1" applyAlignment="1"/>
    <xf numFmtId="0" fontId="176" fillId="0" borderId="0" xfId="0" applyNumberFormat="1" applyFont="1" applyAlignment="1"/>
    <xf numFmtId="1" fontId="176" fillId="0" borderId="0" xfId="0" applyNumberFormat="1" applyFont="1" applyAlignment="1"/>
    <xf numFmtId="176" fontId="176" fillId="0" borderId="0" xfId="0" applyNumberFormat="1" applyFont="1" applyAlignment="1"/>
    <xf numFmtId="10" fontId="176" fillId="0" borderId="0" xfId="573" applyNumberFormat="1" applyFont="1" applyAlignment="1"/>
    <xf numFmtId="0" fontId="176" fillId="0" borderId="0" xfId="0" applyNumberFormat="1" applyFont="1" applyAlignment="1">
      <alignment horizontal="right"/>
    </xf>
    <xf numFmtId="175" fontId="176" fillId="0" borderId="0" xfId="0" applyNumberFormat="1" applyFont="1" applyFill="1" applyAlignment="1"/>
    <xf numFmtId="0" fontId="178" fillId="0" borderId="0" xfId="0" applyFont="1" applyAlignment="1"/>
    <xf numFmtId="44" fontId="176" fillId="0" borderId="0" xfId="2" applyFont="1" applyAlignment="1"/>
    <xf numFmtId="44" fontId="176" fillId="0" borderId="0" xfId="0" applyNumberFormat="1" applyFont="1" applyFill="1" applyAlignment="1"/>
    <xf numFmtId="4" fontId="176" fillId="0" borderId="0" xfId="0" applyNumberFormat="1" applyFont="1"/>
    <xf numFmtId="44" fontId="176" fillId="0" borderId="0" xfId="0" applyNumberFormat="1" applyFont="1"/>
    <xf numFmtId="0" fontId="176" fillId="0" borderId="0" xfId="0" applyNumberFormat="1" applyFont="1" applyAlignment="1">
      <alignment horizontal="fill"/>
    </xf>
    <xf numFmtId="179" fontId="176" fillId="0" borderId="0" xfId="0" applyNumberFormat="1" applyFont="1"/>
    <xf numFmtId="10" fontId="176" fillId="0" borderId="0" xfId="0" applyNumberFormat="1" applyFont="1" applyFill="1"/>
    <xf numFmtId="10" fontId="176" fillId="0" borderId="0" xfId="0" applyNumberFormat="1" applyFont="1"/>
    <xf numFmtId="180" fontId="176" fillId="0" borderId="0" xfId="0" applyNumberFormat="1" applyFont="1"/>
    <xf numFmtId="9" fontId="176" fillId="0" borderId="0" xfId="0" applyNumberFormat="1" applyFont="1"/>
    <xf numFmtId="177" fontId="176" fillId="0" borderId="0" xfId="0" applyNumberFormat="1" applyFont="1"/>
    <xf numFmtId="3" fontId="179" fillId="0" borderId="0" xfId="0" applyNumberFormat="1" applyFont="1" applyAlignment="1">
      <alignment horizontal="center"/>
    </xf>
    <xf numFmtId="0" fontId="179" fillId="0" borderId="0" xfId="0" applyFont="1" applyAlignment="1">
      <alignment horizontal="center"/>
    </xf>
    <xf numFmtId="0" fontId="176" fillId="0" borderId="0" xfId="0" applyNumberFormat="1" applyFont="1" applyFill="1"/>
    <xf numFmtId="0" fontId="176" fillId="0" borderId="0" xfId="0" applyNumberFormat="1" applyFont="1" applyFill="1" applyAlignment="1">
      <alignment horizontal="right"/>
    </xf>
    <xf numFmtId="175" fontId="176" fillId="0" borderId="0" xfId="0" applyNumberFormat="1" applyFont="1" applyFill="1"/>
    <xf numFmtId="9" fontId="176" fillId="0" borderId="0" xfId="3" applyFont="1" applyFill="1"/>
    <xf numFmtId="0" fontId="176" fillId="0" borderId="0" xfId="0" applyFont="1" applyFill="1" applyBorder="1" applyAlignment="1"/>
    <xf numFmtId="0" fontId="176" fillId="0" borderId="0" xfId="0" applyFont="1" applyFill="1" applyBorder="1" applyAlignment="1">
      <alignment horizontal="right"/>
    </xf>
    <xf numFmtId="175" fontId="176" fillId="0" borderId="0" xfId="0" applyNumberFormat="1" applyFont="1" applyFill="1" applyBorder="1" applyAlignment="1"/>
    <xf numFmtId="175" fontId="176" fillId="0" borderId="0" xfId="0" applyNumberFormat="1" applyFont="1"/>
    <xf numFmtId="9" fontId="176" fillId="0" borderId="0" xfId="3" applyFont="1"/>
    <xf numFmtId="5" fontId="176" fillId="0" borderId="0" xfId="0" applyNumberFormat="1" applyFont="1" applyFill="1" applyBorder="1" applyAlignment="1"/>
    <xf numFmtId="175" fontId="176" fillId="0" borderId="0" xfId="573" applyNumberFormat="1" applyFont="1" applyFill="1" applyBorder="1"/>
    <xf numFmtId="10" fontId="176" fillId="0" borderId="0" xfId="0" applyNumberFormat="1" applyFont="1" applyAlignment="1"/>
    <xf numFmtId="10" fontId="176" fillId="0" borderId="0" xfId="573" applyNumberFormat="1" applyFont="1"/>
    <xf numFmtId="168" fontId="176" fillId="0" borderId="0" xfId="3" applyNumberFormat="1" applyFont="1" applyAlignment="1"/>
    <xf numFmtId="0" fontId="178" fillId="0" borderId="0" xfId="0" applyFont="1" applyFill="1" applyBorder="1" applyAlignment="1"/>
    <xf numFmtId="3" fontId="176" fillId="0" borderId="0" xfId="0" applyNumberFormat="1" applyFont="1" applyFill="1" applyBorder="1"/>
    <xf numFmtId="3" fontId="176" fillId="0" borderId="0" xfId="0" applyNumberFormat="1" applyFont="1"/>
    <xf numFmtId="175" fontId="176" fillId="0" borderId="0" xfId="0" applyNumberFormat="1" applyFont="1" applyFill="1" applyBorder="1"/>
    <xf numFmtId="3" fontId="176" fillId="0" borderId="0" xfId="0" applyNumberFormat="1" applyFont="1" applyFill="1" applyBorder="1" applyAlignment="1"/>
    <xf numFmtId="3" fontId="180" fillId="0" borderId="0" xfId="0" applyNumberFormat="1" applyFont="1" applyFill="1" applyBorder="1" applyAlignment="1"/>
    <xf numFmtId="10" fontId="180" fillId="0" borderId="0" xfId="0" applyNumberFormat="1" applyFont="1" applyFill="1" applyBorder="1" applyAlignment="1"/>
    <xf numFmtId="0" fontId="181" fillId="0" borderId="0" xfId="0" applyFont="1"/>
    <xf numFmtId="0" fontId="176" fillId="0" borderId="0" xfId="0" applyFont="1" applyAlignment="1">
      <alignment horizontal="center"/>
    </xf>
    <xf numFmtId="0" fontId="176" fillId="0" borderId="0" xfId="0" applyNumberFormat="1" applyFont="1" applyAlignment="1">
      <alignment horizontal="center"/>
    </xf>
    <xf numFmtId="178" fontId="176" fillId="0" borderId="0" xfId="0" applyNumberFormat="1" applyFont="1"/>
    <xf numFmtId="10" fontId="176" fillId="0" borderId="0" xfId="573" applyNumberFormat="1" applyFont="1" applyFill="1" applyAlignment="1"/>
    <xf numFmtId="0" fontId="176" fillId="0" borderId="0" xfId="0" applyFont="1" applyFill="1" applyAlignment="1"/>
    <xf numFmtId="0" fontId="176" fillId="0" borderId="0" xfId="0" applyNumberFormat="1" applyFont="1" applyFill="1" applyAlignment="1"/>
    <xf numFmtId="3" fontId="176" fillId="0" borderId="0" xfId="0" applyNumberFormat="1" applyFont="1" applyFill="1" applyAlignment="1"/>
    <xf numFmtId="43" fontId="176" fillId="0" borderId="0" xfId="1" applyFont="1" applyFill="1" applyAlignment="1"/>
    <xf numFmtId="9" fontId="176" fillId="0" borderId="0" xfId="3" applyFont="1" applyFill="1" applyAlignment="1">
      <alignment horizontal="right"/>
    </xf>
    <xf numFmtId="165" fontId="176" fillId="0" borderId="0" xfId="1" applyNumberFormat="1" applyFont="1" applyAlignment="1"/>
    <xf numFmtId="165" fontId="176" fillId="0" borderId="0" xfId="0" applyNumberFormat="1" applyFont="1" applyAlignment="1"/>
    <xf numFmtId="43" fontId="176" fillId="0" borderId="0" xfId="0" applyNumberFormat="1" applyFont="1" applyAlignment="1"/>
    <xf numFmtId="0" fontId="182" fillId="0" borderId="0" xfId="0" applyFont="1" applyAlignment="1">
      <alignment horizontal="right"/>
    </xf>
    <xf numFmtId="9" fontId="182" fillId="0" borderId="0" xfId="3" applyFont="1" applyAlignment="1"/>
    <xf numFmtId="0" fontId="182" fillId="0" borderId="0" xfId="0" applyFont="1" applyAlignment="1"/>
    <xf numFmtId="164" fontId="182" fillId="0" borderId="0" xfId="2" applyNumberFormat="1" applyFont="1" applyFill="1" applyAlignment="1"/>
    <xf numFmtId="175" fontId="176" fillId="0" borderId="0" xfId="0" applyNumberFormat="1" applyFont="1" applyBorder="1" applyAlignment="1"/>
    <xf numFmtId="0" fontId="183" fillId="0" borderId="0" xfId="0" applyFont="1" applyFill="1"/>
    <xf numFmtId="0" fontId="184" fillId="0" borderId="0" xfId="1159" applyFont="1" applyFill="1"/>
    <xf numFmtId="0" fontId="185" fillId="0" borderId="0" xfId="0" applyFont="1" applyFill="1"/>
    <xf numFmtId="0" fontId="186" fillId="0" borderId="0" xfId="1159" applyFont="1" applyFill="1"/>
    <xf numFmtId="0" fontId="187" fillId="0" borderId="0" xfId="1159" applyFont="1" applyFill="1"/>
    <xf numFmtId="164" fontId="185" fillId="0" borderId="0" xfId="0" applyNumberFormat="1" applyFont="1" applyFill="1" applyBorder="1"/>
    <xf numFmtId="0" fontId="188" fillId="0" borderId="0" xfId="0" applyFont="1"/>
    <xf numFmtId="0" fontId="184" fillId="7" borderId="0" xfId="1159" applyFont="1" applyFill="1"/>
    <xf numFmtId="0" fontId="187" fillId="7" borderId="0" xfId="1159" applyFont="1" applyFill="1" applyAlignment="1">
      <alignment horizontal="center" wrapText="1"/>
    </xf>
    <xf numFmtId="0" fontId="187" fillId="82" borderId="0" xfId="1159" applyFont="1" applyFill="1" applyAlignment="1">
      <alignment horizontal="center"/>
    </xf>
    <xf numFmtId="0" fontId="187" fillId="83" borderId="0" xfId="1159" applyFont="1" applyFill="1" applyAlignment="1">
      <alignment horizontal="center" wrapText="1"/>
    </xf>
    <xf numFmtId="0" fontId="187" fillId="84" borderId="0" xfId="1159" applyFont="1" applyFill="1" applyAlignment="1">
      <alignment horizontal="center" wrapText="1"/>
    </xf>
    <xf numFmtId="0" fontId="183" fillId="84" borderId="0" xfId="0" applyFont="1" applyFill="1" applyAlignment="1">
      <alignment horizontal="center"/>
    </xf>
    <xf numFmtId="0" fontId="183" fillId="87" borderId="0" xfId="0" applyFont="1" applyFill="1" applyAlignment="1">
      <alignment horizontal="center" wrapText="1"/>
    </xf>
    <xf numFmtId="0" fontId="184" fillId="3" borderId="0" xfId="1159" applyFont="1" applyFill="1"/>
    <xf numFmtId="0" fontId="187" fillId="7" borderId="0" xfId="1159" applyFont="1" applyFill="1" applyAlignment="1">
      <alignment horizontal="center"/>
    </xf>
    <xf numFmtId="10" fontId="183" fillId="87" borderId="0" xfId="3" applyNumberFormat="1" applyFont="1" applyFill="1" applyAlignment="1">
      <alignment horizontal="center" wrapText="1"/>
    </xf>
    <xf numFmtId="0" fontId="187" fillId="3" borderId="0" xfId="1159" applyFont="1" applyFill="1" applyAlignment="1">
      <alignment horizontal="center" wrapText="1"/>
    </xf>
    <xf numFmtId="0" fontId="188" fillId="0" borderId="0" xfId="0" applyFont="1" applyAlignment="1">
      <alignment horizontal="right"/>
    </xf>
    <xf numFmtId="184" fontId="185" fillId="0" borderId="0" xfId="0" applyNumberFormat="1" applyFont="1"/>
    <xf numFmtId="0" fontId="185" fillId="0" borderId="0" xfId="0" applyFont="1"/>
    <xf numFmtId="165" fontId="185" fillId="0" borderId="0" xfId="1" applyNumberFormat="1" applyFont="1"/>
    <xf numFmtId="0" fontId="184" fillId="0" borderId="0" xfId="1159" applyFont="1"/>
    <xf numFmtId="165" fontId="184" fillId="0" borderId="0" xfId="1" applyNumberFormat="1" applyFont="1"/>
    <xf numFmtId="0" fontId="190" fillId="0" borderId="0" xfId="1159" applyFont="1" applyFill="1" applyAlignment="1">
      <alignment horizontal="left"/>
    </xf>
    <xf numFmtId="0" fontId="191" fillId="0" borderId="0" xfId="1159" applyFont="1" applyFill="1" applyAlignment="1">
      <alignment horizontal="center"/>
    </xf>
    <xf numFmtId="0" fontId="187" fillId="0" borderId="0" xfId="1159" applyFont="1" applyFill="1" applyAlignment="1">
      <alignment horizontal="left"/>
    </xf>
    <xf numFmtId="43" fontId="184" fillId="0" borderId="0" xfId="134" applyFont="1" applyFill="1" applyAlignment="1">
      <alignment horizontal="center"/>
    </xf>
    <xf numFmtId="165" fontId="184" fillId="0" borderId="0" xfId="134" applyNumberFormat="1" applyFont="1" applyFill="1"/>
    <xf numFmtId="43" fontId="184" fillId="0" borderId="0" xfId="1159" applyNumberFormat="1" applyFont="1" applyFill="1"/>
    <xf numFmtId="0" fontId="185" fillId="0" borderId="0" xfId="0" applyFont="1" applyFill="1" applyBorder="1"/>
    <xf numFmtId="0" fontId="185" fillId="0" borderId="0" xfId="0" applyFont="1" applyAlignment="1">
      <alignment horizontal="left"/>
    </xf>
    <xf numFmtId="43" fontId="185" fillId="0" borderId="0" xfId="134" applyFont="1" applyFill="1" applyBorder="1"/>
    <xf numFmtId="165" fontId="185" fillId="0" borderId="0" xfId="134" applyNumberFormat="1" applyFont="1" applyFill="1"/>
    <xf numFmtId="43" fontId="184" fillId="0" borderId="0" xfId="1159" applyNumberFormat="1" applyFont="1"/>
    <xf numFmtId="165" fontId="184" fillId="0" borderId="0" xfId="1159" applyNumberFormat="1" applyFont="1"/>
    <xf numFmtId="0" fontId="185" fillId="0" borderId="0" xfId="0" applyFont="1" applyFill="1" applyAlignment="1">
      <alignment horizontal="left"/>
    </xf>
    <xf numFmtId="0" fontId="192" fillId="0" borderId="0" xfId="0" applyFont="1" applyFill="1"/>
    <xf numFmtId="164" fontId="184" fillId="0" borderId="0" xfId="1159" applyNumberFormat="1" applyFont="1" applyFill="1"/>
    <xf numFmtId="0" fontId="187" fillId="0" borderId="50" xfId="1159" applyFont="1" applyFill="1" applyBorder="1"/>
    <xf numFmtId="0" fontId="187" fillId="0" borderId="50" xfId="1159" applyFont="1" applyFill="1" applyBorder="1" applyAlignment="1">
      <alignment horizontal="right"/>
    </xf>
    <xf numFmtId="43" fontId="187" fillId="0" borderId="50" xfId="134" applyFont="1" applyFill="1" applyBorder="1" applyAlignment="1">
      <alignment horizontal="center"/>
    </xf>
    <xf numFmtId="164" fontId="193" fillId="0" borderId="50" xfId="220" applyNumberFormat="1" applyFont="1" applyFill="1" applyBorder="1"/>
    <xf numFmtId="165" fontId="187" fillId="0" borderId="0" xfId="134" applyNumberFormat="1" applyFont="1" applyFill="1" applyBorder="1"/>
    <xf numFmtId="165" fontId="187" fillId="0" borderId="54" xfId="134" applyNumberFormat="1" applyFont="1" applyFill="1" applyBorder="1"/>
    <xf numFmtId="44" fontId="187" fillId="0" borderId="50" xfId="134" applyNumberFormat="1" applyFont="1" applyFill="1" applyBorder="1"/>
    <xf numFmtId="164" fontId="187" fillId="0" borderId="50" xfId="134" applyNumberFormat="1" applyFont="1" applyFill="1" applyBorder="1"/>
    <xf numFmtId="0" fontId="190" fillId="0" borderId="0" xfId="1159" applyFont="1" applyFill="1" applyAlignment="1">
      <alignment horizontal="center"/>
    </xf>
    <xf numFmtId="43" fontId="194" fillId="0" borderId="0" xfId="134" applyFont="1" applyFill="1" applyAlignment="1">
      <alignment horizontal="right"/>
    </xf>
    <xf numFmtId="43" fontId="184" fillId="0" borderId="0" xfId="134" applyFont="1" applyFill="1"/>
    <xf numFmtId="0" fontId="184" fillId="0" borderId="50" xfId="0" applyFont="1" applyFill="1" applyBorder="1" applyAlignment="1">
      <alignment vertical="top"/>
    </xf>
    <xf numFmtId="43" fontId="184" fillId="0" borderId="50" xfId="134" applyFont="1" applyFill="1" applyBorder="1" applyAlignment="1">
      <alignment horizontal="center"/>
    </xf>
    <xf numFmtId="0" fontId="184" fillId="0" borderId="50" xfId="1159" applyFont="1" applyFill="1" applyBorder="1"/>
    <xf numFmtId="0" fontId="184" fillId="0" borderId="0" xfId="0" applyFont="1" applyFill="1" applyAlignment="1">
      <alignment vertical="top"/>
    </xf>
    <xf numFmtId="43" fontId="184" fillId="0" borderId="0" xfId="134" applyNumberFormat="1" applyFont="1" applyFill="1"/>
    <xf numFmtId="0" fontId="187" fillId="0" borderId="0" xfId="1159" applyFont="1" applyFill="1" applyBorder="1"/>
    <xf numFmtId="0" fontId="185" fillId="0" borderId="46" xfId="0" applyFont="1" applyBorder="1" applyAlignment="1">
      <alignment horizontal="left"/>
    </xf>
    <xf numFmtId="0" fontId="195" fillId="0" borderId="0" xfId="0" applyFont="1" applyFill="1" applyBorder="1" applyAlignment="1">
      <alignment vertical="top"/>
    </xf>
    <xf numFmtId="165" fontId="183" fillId="0" borderId="0" xfId="134" applyNumberFormat="1" applyFont="1" applyFill="1"/>
    <xf numFmtId="0" fontId="185" fillId="0" borderId="50" xfId="0" applyFont="1" applyFill="1" applyBorder="1"/>
    <xf numFmtId="165" fontId="184" fillId="0" borderId="0" xfId="134" applyNumberFormat="1" applyFont="1" applyFill="1" applyBorder="1"/>
    <xf numFmtId="0" fontId="184" fillId="0" borderId="0" xfId="1159" applyFont="1" applyFill="1" applyBorder="1"/>
    <xf numFmtId="43" fontId="185" fillId="0" borderId="0" xfId="134" applyFont="1" applyFill="1"/>
    <xf numFmtId="165" fontId="185" fillId="0" borderId="0" xfId="134" applyNumberFormat="1" applyFont="1" applyFill="1" applyBorder="1"/>
    <xf numFmtId="44" fontId="185" fillId="0" borderId="0" xfId="0" applyNumberFormat="1" applyFont="1" applyFill="1" applyBorder="1"/>
    <xf numFmtId="165" fontId="196" fillId="0" borderId="0" xfId="1" applyNumberFormat="1" applyFont="1" applyAlignment="1">
      <alignment horizontal="center"/>
    </xf>
    <xf numFmtId="0" fontId="187" fillId="0" borderId="0" xfId="1159" applyFont="1" applyAlignment="1">
      <alignment horizontal="right"/>
    </xf>
    <xf numFmtId="164" fontId="184" fillId="0" borderId="12" xfId="2" applyNumberFormat="1" applyFont="1" applyBorder="1"/>
    <xf numFmtId="164" fontId="183" fillId="0" borderId="0" xfId="2" applyNumberFormat="1" applyFont="1"/>
    <xf numFmtId="0" fontId="197" fillId="0" borderId="0" xfId="0" applyFont="1" applyAlignment="1">
      <alignment horizontal="right"/>
    </xf>
    <xf numFmtId="0" fontId="198" fillId="0" borderId="0" xfId="0" applyFont="1"/>
    <xf numFmtId="164" fontId="197" fillId="0" borderId="0" xfId="2" applyNumberFormat="1" applyFont="1"/>
    <xf numFmtId="0" fontId="187" fillId="0" borderId="0" xfId="1159" applyFont="1" applyFill="1" applyBorder="1" applyAlignment="1">
      <alignment horizontal="right"/>
    </xf>
    <xf numFmtId="43" fontId="193" fillId="0" borderId="0" xfId="134" applyFont="1" applyFill="1" applyBorder="1"/>
    <xf numFmtId="44" fontId="193" fillId="0" borderId="0" xfId="220" applyFont="1" applyFill="1" applyBorder="1"/>
    <xf numFmtId="164" fontId="185" fillId="0" borderId="0" xfId="2" applyNumberFormat="1" applyFont="1"/>
    <xf numFmtId="0" fontId="190" fillId="0" borderId="0" xfId="1159" applyFont="1" applyFill="1" applyBorder="1" applyAlignment="1">
      <alignment horizontal="center"/>
    </xf>
    <xf numFmtId="164" fontId="185" fillId="0" borderId="0" xfId="0" applyNumberFormat="1" applyFont="1" applyFill="1"/>
    <xf numFmtId="44" fontId="185" fillId="0" borderId="0" xfId="0" applyNumberFormat="1" applyFont="1" applyFill="1"/>
    <xf numFmtId="0" fontId="140" fillId="0" borderId="0" xfId="632" applyFont="1" applyBorder="1"/>
    <xf numFmtId="4" fontId="139" fillId="0" borderId="0" xfId="632" applyNumberFormat="1" applyFont="1" applyFill="1" applyBorder="1" applyAlignment="1">
      <alignment horizontal="right"/>
    </xf>
    <xf numFmtId="10" fontId="140" fillId="0" borderId="0" xfId="632" applyNumberFormat="1" applyFont="1" applyFill="1" applyBorder="1" applyAlignment="1">
      <alignment horizontal="right"/>
    </xf>
    <xf numFmtId="4" fontId="140" fillId="0" borderId="0" xfId="632" applyNumberFormat="1" applyFont="1" applyFill="1" applyBorder="1" applyAlignment="1">
      <alignment horizontal="left"/>
    </xf>
    <xf numFmtId="0" fontId="1" fillId="0" borderId="0" xfId="0" applyFont="1" applyFill="1" applyBorder="1"/>
    <xf numFmtId="0" fontId="59" fillId="0" borderId="0" xfId="0" applyFont="1" applyBorder="1"/>
    <xf numFmtId="4" fontId="140" fillId="94" borderId="0" xfId="632" applyNumberFormat="1" applyFont="1" applyFill="1" applyBorder="1" applyAlignment="1">
      <alignment horizontal="right"/>
    </xf>
    <xf numFmtId="10" fontId="140" fillId="94" borderId="0" xfId="632" applyNumberFormat="1" applyFont="1" applyFill="1" applyBorder="1" applyAlignment="1">
      <alignment horizontal="right"/>
    </xf>
    <xf numFmtId="166" fontId="159" fillId="0" borderId="0" xfId="392" applyFont="1" applyAlignment="1">
      <alignment horizontal="left"/>
    </xf>
    <xf numFmtId="166" fontId="159" fillId="0" borderId="0" xfId="392" applyFont="1" applyBorder="1" applyAlignment="1">
      <alignment horizontal="left"/>
    </xf>
    <xf numFmtId="166" fontId="159" fillId="0" borderId="29" xfId="392" applyFont="1" applyFill="1" applyBorder="1" applyAlignment="1">
      <alignment horizontal="left"/>
    </xf>
    <xf numFmtId="166" fontId="159" fillId="7" borderId="43" xfId="392" applyFont="1" applyFill="1" applyBorder="1" applyAlignment="1">
      <alignment horizontal="center"/>
    </xf>
    <xf numFmtId="166" fontId="159" fillId="7" borderId="44" xfId="392" applyFont="1" applyFill="1" applyBorder="1" applyAlignment="1">
      <alignment horizontal="center"/>
    </xf>
    <xf numFmtId="166" fontId="101" fillId="7" borderId="52" xfId="392" applyFont="1" applyFill="1" applyBorder="1" applyAlignment="1">
      <alignment horizontal="center" wrapText="1"/>
    </xf>
    <xf numFmtId="166" fontId="101" fillId="7" borderId="48" xfId="392" applyFont="1" applyFill="1" applyBorder="1" applyAlignment="1">
      <alignment horizontal="center"/>
    </xf>
    <xf numFmtId="166" fontId="101" fillId="7" borderId="29" xfId="392" applyFont="1" applyFill="1" applyBorder="1" applyAlignment="1">
      <alignment horizontal="center"/>
    </xf>
    <xf numFmtId="166" fontId="101" fillId="0" borderId="46" xfId="392" applyFont="1" applyFill="1" applyBorder="1" applyAlignment="1">
      <alignment horizontal="center"/>
    </xf>
    <xf numFmtId="166" fontId="101" fillId="0" borderId="0" xfId="392" applyFont="1" applyFill="1" applyBorder="1" applyAlignment="1">
      <alignment horizontal="center"/>
    </xf>
    <xf numFmtId="165" fontId="159" fillId="7" borderId="46" xfId="134" applyNumberFormat="1" applyFont="1" applyFill="1" applyBorder="1"/>
    <xf numFmtId="165" fontId="159" fillId="7" borderId="0" xfId="134" applyNumberFormat="1" applyFont="1" applyFill="1" applyBorder="1"/>
    <xf numFmtId="165" fontId="159" fillId="0" borderId="46" xfId="134" applyNumberFormat="1" applyFont="1" applyFill="1" applyBorder="1"/>
    <xf numFmtId="165" fontId="159" fillId="0" borderId="0" xfId="134" applyNumberFormat="1" applyFont="1" applyFill="1" applyBorder="1"/>
    <xf numFmtId="165" fontId="159" fillId="0" borderId="47" xfId="134" applyNumberFormat="1" applyFont="1" applyFill="1" applyBorder="1"/>
    <xf numFmtId="165" fontId="199" fillId="7" borderId="60" xfId="134" applyNumberFormat="1" applyFont="1" applyFill="1" applyBorder="1"/>
    <xf numFmtId="165" fontId="199" fillId="7" borderId="7" xfId="134" applyNumberFormat="1" applyFont="1" applyFill="1" applyBorder="1"/>
    <xf numFmtId="165" fontId="199" fillId="7" borderId="61" xfId="134" applyNumberFormat="1" applyFont="1" applyFill="1" applyBorder="1"/>
    <xf numFmtId="165" fontId="199" fillId="7" borderId="60" xfId="134" applyNumberFormat="1" applyFont="1" applyFill="1" applyBorder="1" applyAlignment="1">
      <alignment horizontal="center"/>
    </xf>
    <xf numFmtId="165" fontId="199" fillId="7" borderId="7" xfId="134" applyNumberFormat="1" applyFont="1" applyFill="1" applyBorder="1" applyAlignment="1">
      <alignment horizontal="center"/>
    </xf>
    <xf numFmtId="165" fontId="199" fillId="0" borderId="60" xfId="134" applyNumberFormat="1" applyFont="1" applyFill="1" applyBorder="1" applyAlignment="1">
      <alignment horizontal="center"/>
    </xf>
    <xf numFmtId="165" fontId="199" fillId="0" borderId="7" xfId="134" applyNumberFormat="1" applyFont="1" applyFill="1" applyBorder="1" applyAlignment="1">
      <alignment horizontal="center"/>
    </xf>
    <xf numFmtId="43" fontId="101" fillId="0" borderId="48" xfId="134" applyFont="1" applyFill="1" applyBorder="1" applyAlignment="1">
      <alignment horizontal="center"/>
    </xf>
    <xf numFmtId="43" fontId="101" fillId="0" borderId="29" xfId="134" applyFont="1" applyFill="1" applyBorder="1" applyAlignment="1">
      <alignment horizontal="center"/>
    </xf>
    <xf numFmtId="165" fontId="159" fillId="0" borderId="0" xfId="392" applyNumberFormat="1" applyFont="1" applyBorder="1" applyAlignment="1">
      <alignment horizontal="left"/>
    </xf>
    <xf numFmtId="165" fontId="159" fillId="0" borderId="0" xfId="392" applyNumberFormat="1" applyFont="1" applyAlignment="1">
      <alignment horizontal="left"/>
    </xf>
    <xf numFmtId="166" fontId="159" fillId="10" borderId="0" xfId="392" applyFont="1" applyFill="1" applyAlignment="1">
      <alignment horizontal="left"/>
    </xf>
    <xf numFmtId="166" fontId="159" fillId="10" borderId="0" xfId="392" applyFont="1" applyFill="1" applyBorder="1" applyAlignment="1">
      <alignment horizontal="left"/>
    </xf>
    <xf numFmtId="166" fontId="159" fillId="0" borderId="12" xfId="392" applyFont="1" applyBorder="1" applyAlignment="1">
      <alignment horizontal="left"/>
    </xf>
    <xf numFmtId="166" fontId="101" fillId="5" borderId="7" xfId="392" applyFont="1" applyFill="1" applyBorder="1" applyAlignment="1">
      <alignment horizontal="left"/>
    </xf>
    <xf numFmtId="0" fontId="159" fillId="0" borderId="0" xfId="315" applyFont="1" applyAlignment="1">
      <alignment vertical="top" wrapText="1"/>
    </xf>
    <xf numFmtId="0" fontId="159" fillId="0" borderId="0" xfId="1161" quotePrefix="1" applyFont="1" applyBorder="1" applyAlignment="1">
      <alignment horizontal="left"/>
    </xf>
    <xf numFmtId="0" fontId="159" fillId="0" borderId="0" xfId="1161" applyFont="1" applyBorder="1" applyAlignment="1">
      <alignment horizontal="left"/>
    </xf>
    <xf numFmtId="166" fontId="101" fillId="77" borderId="7" xfId="392" applyFont="1" applyFill="1" applyBorder="1" applyAlignment="1">
      <alignment horizontal="left"/>
    </xf>
    <xf numFmtId="0" fontId="159" fillId="0" borderId="0" xfId="1161" quotePrefix="1" applyFont="1" applyAlignment="1">
      <alignment horizontal="left"/>
    </xf>
    <xf numFmtId="0" fontId="159" fillId="0" borderId="0" xfId="1161" applyFont="1" applyAlignment="1">
      <alignment horizontal="left"/>
    </xf>
    <xf numFmtId="166" fontId="159" fillId="5" borderId="7" xfId="392" applyFont="1" applyFill="1" applyBorder="1" applyAlignment="1">
      <alignment horizontal="left"/>
    </xf>
    <xf numFmtId="166" fontId="159" fillId="0" borderId="0" xfId="392" applyFont="1" applyFill="1" applyAlignment="1">
      <alignment horizontal="left"/>
    </xf>
    <xf numFmtId="0" fontId="199" fillId="0" borderId="0" xfId="1161" applyFont="1" applyFill="1" applyBorder="1" applyAlignment="1">
      <alignment horizontal="right"/>
    </xf>
    <xf numFmtId="166" fontId="159" fillId="0" borderId="0" xfId="392" applyFont="1"/>
    <xf numFmtId="166" fontId="101" fillId="0" borderId="0" xfId="392" applyFont="1" applyAlignment="1">
      <alignment horizontal="right"/>
    </xf>
    <xf numFmtId="166" fontId="159" fillId="0" borderId="0" xfId="392" applyFont="1" applyFill="1"/>
    <xf numFmtId="165" fontId="159" fillId="0" borderId="0" xfId="134" applyNumberFormat="1" applyFont="1"/>
    <xf numFmtId="3" fontId="159" fillId="0" borderId="0" xfId="392" applyNumberFormat="1" applyFont="1"/>
    <xf numFmtId="183" fontId="159" fillId="0" borderId="0" xfId="392" applyNumberFormat="1" applyFont="1"/>
    <xf numFmtId="168" fontId="159" fillId="0" borderId="0" xfId="392" applyNumberFormat="1" applyFont="1"/>
    <xf numFmtId="3" fontId="159" fillId="0" borderId="0" xfId="392" applyNumberFormat="1" applyFont="1" applyAlignment="1">
      <alignment horizontal="right"/>
    </xf>
    <xf numFmtId="10" fontId="159" fillId="0" borderId="0" xfId="392" applyNumberFormat="1" applyFont="1"/>
    <xf numFmtId="9" fontId="159" fillId="0" borderId="0" xfId="1019" applyFont="1"/>
    <xf numFmtId="166" fontId="201" fillId="0" borderId="0" xfId="392" applyFont="1"/>
    <xf numFmtId="166" fontId="159" fillId="0" borderId="0" xfId="392" applyFont="1" applyFill="1" applyBorder="1" applyAlignment="1">
      <alignment horizontal="left"/>
    </xf>
    <xf numFmtId="165" fontId="159" fillId="0" borderId="0" xfId="134" applyNumberFormat="1" applyFont="1" applyFill="1"/>
    <xf numFmtId="3" fontId="159" fillId="0" borderId="0" xfId="392" applyNumberFormat="1" applyFont="1" applyFill="1"/>
    <xf numFmtId="183" fontId="159" fillId="0" borderId="0" xfId="392" applyNumberFormat="1" applyFont="1" applyFill="1"/>
    <xf numFmtId="168" fontId="159" fillId="0" borderId="0" xfId="392" applyNumberFormat="1" applyFont="1" applyFill="1"/>
    <xf numFmtId="3" fontId="159" fillId="0" borderId="0" xfId="392" applyNumberFormat="1" applyFont="1" applyFill="1" applyAlignment="1">
      <alignment horizontal="right"/>
    </xf>
    <xf numFmtId="10" fontId="159" fillId="0" borderId="0" xfId="392" applyNumberFormat="1" applyFont="1" applyFill="1"/>
    <xf numFmtId="166" fontId="159" fillId="0" borderId="0" xfId="392" applyFont="1" applyFill="1" applyAlignment="1">
      <alignment horizontal="right"/>
    </xf>
    <xf numFmtId="14" fontId="159" fillId="0" borderId="0" xfId="392" applyNumberFormat="1" applyFont="1" applyFill="1" applyAlignment="1">
      <alignment horizontal="center"/>
    </xf>
    <xf numFmtId="166" fontId="159" fillId="0" borderId="45" xfId="392" applyFont="1" applyFill="1" applyBorder="1" applyAlignment="1">
      <alignment horizontal="left"/>
    </xf>
    <xf numFmtId="165" fontId="159" fillId="0" borderId="0" xfId="134" applyNumberFormat="1" applyFont="1" applyAlignment="1">
      <alignment wrapText="1"/>
    </xf>
    <xf numFmtId="3" fontId="159" fillId="0" borderId="0" xfId="392" applyNumberFormat="1" applyFont="1" applyAlignment="1">
      <alignment wrapText="1"/>
    </xf>
    <xf numFmtId="166" fontId="159" fillId="0" borderId="0" xfId="392" applyFont="1" applyAlignment="1">
      <alignment wrapText="1"/>
    </xf>
    <xf numFmtId="166" fontId="101" fillId="0" borderId="0" xfId="392" applyFont="1" applyAlignment="1">
      <alignment horizontal="center" wrapText="1"/>
    </xf>
    <xf numFmtId="166" fontId="101" fillId="0" borderId="0" xfId="392" quotePrefix="1" applyFont="1" applyAlignment="1">
      <alignment horizontal="center" wrapText="1"/>
    </xf>
    <xf numFmtId="166" fontId="159" fillId="0" borderId="0" xfId="392" applyFont="1" applyFill="1" applyAlignment="1">
      <alignment horizontal="right" wrapText="1"/>
    </xf>
    <xf numFmtId="166" fontId="159" fillId="0" borderId="0" xfId="392" applyFont="1" applyFill="1" applyAlignment="1">
      <alignment horizontal="center" wrapText="1"/>
    </xf>
    <xf numFmtId="165" fontId="101" fillId="0" borderId="0" xfId="134" applyNumberFormat="1" applyFont="1" applyAlignment="1">
      <alignment horizontal="center" wrapText="1"/>
    </xf>
    <xf numFmtId="3" fontId="101" fillId="0" borderId="0" xfId="392" applyNumberFormat="1" applyFont="1" applyAlignment="1">
      <alignment horizontal="center" wrapText="1"/>
    </xf>
    <xf numFmtId="183" fontId="101" fillId="0" borderId="0" xfId="392" applyNumberFormat="1" applyFont="1" applyAlignment="1">
      <alignment horizontal="center" wrapText="1"/>
    </xf>
    <xf numFmtId="168" fontId="101" fillId="0" borderId="0" xfId="392" applyNumberFormat="1" applyFont="1" applyAlignment="1">
      <alignment horizontal="center" wrapText="1"/>
    </xf>
    <xf numFmtId="10" fontId="101" fillId="0" borderId="0" xfId="392" applyNumberFormat="1" applyFont="1" applyAlignment="1">
      <alignment horizontal="center" wrapText="1"/>
    </xf>
    <xf numFmtId="166" fontId="101" fillId="0" borderId="47" xfId="392" applyFont="1" applyFill="1" applyBorder="1" applyAlignment="1">
      <alignment horizontal="center" wrapText="1"/>
    </xf>
    <xf numFmtId="166" fontId="101" fillId="0" borderId="0" xfId="392" applyFont="1" applyAlignment="1">
      <alignment horizontal="center"/>
    </xf>
    <xf numFmtId="183" fontId="101" fillId="0" borderId="0" xfId="392" applyNumberFormat="1" applyFont="1" applyAlignment="1">
      <alignment horizontal="center"/>
    </xf>
    <xf numFmtId="168" fontId="101" fillId="0" borderId="0" xfId="392" applyNumberFormat="1" applyFont="1" applyAlignment="1">
      <alignment horizontal="center"/>
    </xf>
    <xf numFmtId="3" fontId="101" fillId="0" borderId="0" xfId="392" applyNumberFormat="1" applyFont="1" applyAlignment="1">
      <alignment horizontal="center"/>
    </xf>
    <xf numFmtId="10" fontId="101" fillId="0" borderId="0" xfId="392" applyNumberFormat="1" applyFont="1" applyAlignment="1">
      <alignment horizontal="center"/>
    </xf>
    <xf numFmtId="3" fontId="101" fillId="0" borderId="0" xfId="392" applyNumberFormat="1" applyFont="1" applyFill="1" applyAlignment="1">
      <alignment horizontal="center"/>
    </xf>
    <xf numFmtId="165" fontId="159" fillId="0" borderId="0" xfId="134" applyNumberFormat="1" applyFont="1" applyBorder="1" applyAlignment="1">
      <alignment horizontal="center"/>
    </xf>
    <xf numFmtId="3" fontId="159" fillId="0" borderId="0" xfId="134" applyNumberFormat="1" applyFont="1"/>
    <xf numFmtId="43" fontId="159" fillId="0" borderId="0" xfId="134" applyFont="1"/>
    <xf numFmtId="165" fontId="159" fillId="0" borderId="0" xfId="134" applyNumberFormat="1" applyFont="1" applyFill="1" applyAlignment="1">
      <alignment horizontal="center"/>
    </xf>
    <xf numFmtId="14" fontId="159" fillId="0" borderId="0" xfId="392" applyNumberFormat="1" applyFont="1" applyFill="1" applyBorder="1" applyAlignment="1">
      <alignment horizontal="center"/>
    </xf>
    <xf numFmtId="168" fontId="159" fillId="0" borderId="0" xfId="1019" applyNumberFormat="1" applyFont="1" applyFill="1" applyBorder="1" applyAlignment="1">
      <alignment horizontal="center"/>
    </xf>
    <xf numFmtId="43" fontId="202" fillId="0" borderId="0" xfId="134" applyFont="1" applyFill="1" applyBorder="1"/>
    <xf numFmtId="14" fontId="128" fillId="0" borderId="0" xfId="1196" applyNumberFormat="1" applyFont="1" applyFill="1"/>
    <xf numFmtId="165" fontId="159" fillId="0" borderId="0" xfId="134" applyNumberFormat="1" applyFont="1" applyAlignment="1">
      <alignment horizontal="center"/>
    </xf>
    <xf numFmtId="168" fontId="159" fillId="0" borderId="0" xfId="1019" applyNumberFormat="1" applyFont="1"/>
    <xf numFmtId="14" fontId="159" fillId="0" borderId="0" xfId="315" applyNumberFormat="1" applyFont="1"/>
    <xf numFmtId="10" fontId="159" fillId="0" borderId="0" xfId="1019" applyNumberFormat="1" applyFont="1"/>
    <xf numFmtId="165" fontId="199" fillId="0" borderId="61" xfId="134" applyNumberFormat="1" applyFont="1" applyFill="1" applyBorder="1"/>
    <xf numFmtId="165" fontId="199" fillId="0" borderId="7" xfId="134" applyNumberFormat="1" applyFont="1" applyFill="1" applyBorder="1"/>
    <xf numFmtId="166" fontId="201" fillId="0" borderId="0" xfId="392" applyFont="1" applyFill="1"/>
    <xf numFmtId="14" fontId="203" fillId="0" borderId="0" xfId="1196" applyNumberFormat="1" applyFont="1" applyFill="1"/>
    <xf numFmtId="165" fontId="159" fillId="0" borderId="0" xfId="134" applyNumberFormat="1" applyFont="1" applyFill="1" applyBorder="1" applyAlignment="1">
      <alignment horizontal="center"/>
    </xf>
    <xf numFmtId="3" fontId="159" fillId="0" borderId="0" xfId="134" applyNumberFormat="1" applyFont="1" applyFill="1"/>
    <xf numFmtId="43" fontId="159" fillId="0" borderId="0" xfId="134" applyFont="1" applyFill="1"/>
    <xf numFmtId="14" fontId="159" fillId="0" borderId="0" xfId="315" applyNumberFormat="1" applyFont="1" applyFill="1"/>
    <xf numFmtId="168" fontId="159" fillId="0" borderId="0" xfId="1019" applyNumberFormat="1" applyFont="1" applyFill="1"/>
    <xf numFmtId="10" fontId="159" fillId="0" borderId="0" xfId="1019" applyNumberFormat="1" applyFont="1" applyFill="1"/>
    <xf numFmtId="14" fontId="128" fillId="0" borderId="0" xfId="1196" applyNumberFormat="1" applyFont="1"/>
    <xf numFmtId="14" fontId="128" fillId="0" borderId="0" xfId="1196" applyNumberFormat="1" applyFont="1" applyFill="1" applyAlignment="1">
      <alignment horizontal="center"/>
    </xf>
    <xf numFmtId="43" fontId="202" fillId="0" borderId="0" xfId="134" applyFont="1" applyBorder="1"/>
    <xf numFmtId="43" fontId="199" fillId="0" borderId="0" xfId="134" applyFont="1" applyBorder="1"/>
    <xf numFmtId="165" fontId="199" fillId="0" borderId="61" xfId="134" applyNumberFormat="1" applyFont="1" applyFill="1" applyBorder="1" applyAlignment="1">
      <alignment horizontal="center" wrapText="1"/>
    </xf>
    <xf numFmtId="165" fontId="199" fillId="0" borderId="7" xfId="134" applyNumberFormat="1" applyFont="1" applyBorder="1" applyAlignment="1">
      <alignment horizontal="center" wrapText="1"/>
    </xf>
    <xf numFmtId="166" fontId="101" fillId="0" borderId="49" xfId="392" applyFont="1" applyFill="1" applyBorder="1" applyAlignment="1">
      <alignment horizontal="center" wrapText="1"/>
    </xf>
    <xf numFmtId="166" fontId="159" fillId="0" borderId="0" xfId="392" applyFont="1" applyBorder="1" applyAlignment="1">
      <alignment horizontal="center"/>
    </xf>
    <xf numFmtId="44" fontId="159" fillId="0" borderId="0" xfId="220" applyFont="1"/>
    <xf numFmtId="165" fontId="101" fillId="0" borderId="0" xfId="134" applyNumberFormat="1" applyFont="1"/>
    <xf numFmtId="165" fontId="204" fillId="0" borderId="0" xfId="134" applyNumberFormat="1" applyFont="1"/>
    <xf numFmtId="164" fontId="101" fillId="5" borderId="7" xfId="220" applyNumberFormat="1" applyFont="1" applyFill="1" applyBorder="1" applyAlignment="1">
      <alignment horizontal="left"/>
    </xf>
    <xf numFmtId="165" fontId="101" fillId="0" borderId="0" xfId="134" applyNumberFormat="1" applyFont="1" applyFill="1" applyBorder="1"/>
    <xf numFmtId="43" fontId="159" fillId="0" borderId="0" xfId="134" applyNumberFormat="1" applyFont="1"/>
    <xf numFmtId="3" fontId="159" fillId="0" borderId="0" xfId="392" applyNumberFormat="1" applyFont="1" applyFill="1" applyBorder="1"/>
    <xf numFmtId="166" fontId="159" fillId="0" borderId="0" xfId="392" applyFont="1" applyFill="1" applyBorder="1"/>
    <xf numFmtId="183" fontId="159" fillId="0" borderId="0" xfId="392" applyNumberFormat="1" applyFont="1" applyFill="1" applyBorder="1"/>
    <xf numFmtId="168" fontId="159" fillId="0" borderId="0" xfId="392" applyNumberFormat="1" applyFont="1" applyFill="1" applyBorder="1"/>
    <xf numFmtId="3" fontId="159" fillId="0" borderId="0" xfId="392" applyNumberFormat="1" applyFont="1" applyFill="1" applyBorder="1" applyAlignment="1">
      <alignment horizontal="right"/>
    </xf>
    <xf numFmtId="10" fontId="159" fillId="0" borderId="0" xfId="392" applyNumberFormat="1" applyFont="1" applyFill="1" applyBorder="1"/>
    <xf numFmtId="3" fontId="159" fillId="0" borderId="0" xfId="392" applyNumberFormat="1" applyFont="1" applyBorder="1"/>
    <xf numFmtId="10" fontId="101" fillId="0" borderId="0" xfId="392" applyNumberFormat="1" applyFont="1" applyFill="1" applyBorder="1" applyAlignment="1">
      <alignment horizontal="center"/>
    </xf>
    <xf numFmtId="164" fontId="159" fillId="85" borderId="0" xfId="220" applyNumberFormat="1" applyFont="1" applyFill="1" applyAlignment="1">
      <alignment horizontal="left"/>
    </xf>
    <xf numFmtId="4" fontId="101" fillId="0" borderId="0" xfId="392" applyNumberFormat="1" applyFont="1" applyFill="1" applyBorder="1" applyAlignment="1">
      <alignment horizontal="center"/>
    </xf>
    <xf numFmtId="168" fontId="101" fillId="0" borderId="0" xfId="392" applyNumberFormat="1" applyFont="1" applyFill="1" applyBorder="1" applyAlignment="1">
      <alignment horizontal="center"/>
    </xf>
    <xf numFmtId="165" fontId="159" fillId="0" borderId="0" xfId="134" applyNumberFormat="1" applyFont="1" applyFill="1" applyBorder="1" applyAlignment="1">
      <alignment horizontal="right"/>
    </xf>
    <xf numFmtId="168" fontId="159" fillId="0" borderId="0" xfId="134" applyNumberFormat="1" applyFont="1" applyFill="1" applyBorder="1"/>
    <xf numFmtId="10" fontId="159" fillId="0" borderId="0" xfId="1019" applyNumberFormat="1" applyFont="1" applyFill="1" applyBorder="1"/>
    <xf numFmtId="164" fontId="159" fillId="0" borderId="0" xfId="220" applyNumberFormat="1" applyFont="1" applyFill="1" applyAlignment="1">
      <alignment horizontal="left"/>
    </xf>
    <xf numFmtId="43" fontId="159" fillId="0" borderId="0" xfId="134" applyNumberFormat="1" applyFont="1" applyFill="1" applyBorder="1" applyAlignment="1">
      <alignment horizontal="right"/>
    </xf>
    <xf numFmtId="165" fontId="101" fillId="0" borderId="12" xfId="134" applyNumberFormat="1" applyFont="1" applyFill="1" applyBorder="1" applyAlignment="1">
      <alignment horizontal="center"/>
    </xf>
    <xf numFmtId="166" fontId="159" fillId="0" borderId="0" xfId="392" applyFont="1" applyFill="1" applyBorder="1" applyAlignment="1">
      <alignment horizontal="right"/>
    </xf>
    <xf numFmtId="166" fontId="159" fillId="0" borderId="0" xfId="392" applyFont="1" applyBorder="1"/>
    <xf numFmtId="165" fontId="159" fillId="9" borderId="51" xfId="134" applyNumberFormat="1" applyFont="1" applyFill="1" applyBorder="1"/>
    <xf numFmtId="9" fontId="159" fillId="0" borderId="0" xfId="1019" applyFont="1" applyFill="1" applyBorder="1"/>
    <xf numFmtId="165" fontId="159" fillId="9" borderId="0" xfId="134" applyNumberFormat="1" applyFont="1" applyFill="1" applyBorder="1"/>
    <xf numFmtId="168" fontId="101" fillId="0" borderId="0" xfId="134" applyNumberFormat="1" applyFont="1" applyFill="1" applyBorder="1"/>
    <xf numFmtId="165" fontId="159" fillId="9" borderId="12" xfId="134" applyNumberFormat="1" applyFont="1" applyFill="1" applyBorder="1"/>
    <xf numFmtId="165" fontId="159" fillId="0" borderId="0" xfId="392" applyNumberFormat="1" applyFont="1" applyFill="1" applyBorder="1"/>
    <xf numFmtId="43" fontId="159" fillId="0" borderId="0" xfId="134" applyFont="1" applyFill="1" applyBorder="1"/>
    <xf numFmtId="165" fontId="159" fillId="0" borderId="0" xfId="134" quotePrefix="1" applyNumberFormat="1" applyFont="1" applyFill="1" applyBorder="1" applyAlignment="1">
      <alignment horizontal="left"/>
    </xf>
    <xf numFmtId="165" fontId="101" fillId="0" borderId="0" xfId="392" applyNumberFormat="1" applyFont="1" applyFill="1" applyBorder="1" applyAlignment="1">
      <alignment horizontal="center"/>
    </xf>
    <xf numFmtId="164" fontId="159" fillId="0" borderId="0" xfId="220" applyNumberFormat="1" applyFont="1" applyFill="1" applyBorder="1"/>
    <xf numFmtId="168" fontId="159" fillId="0" borderId="0" xfId="1019" applyNumberFormat="1" applyFont="1" applyFill="1" applyBorder="1"/>
    <xf numFmtId="166" fontId="101" fillId="0" borderId="0" xfId="392" applyFont="1"/>
    <xf numFmtId="165" fontId="205" fillId="0" borderId="0" xfId="134" applyNumberFormat="1" applyFont="1" applyFill="1" applyBorder="1" applyAlignment="1">
      <alignment horizontal="right"/>
    </xf>
    <xf numFmtId="165" fontId="101" fillId="5" borderId="7" xfId="134" applyNumberFormat="1" applyFont="1" applyFill="1" applyBorder="1" applyAlignment="1">
      <alignment horizontal="right"/>
    </xf>
    <xf numFmtId="165" fontId="101" fillId="0" borderId="0" xfId="134" applyNumberFormat="1" applyFont="1" applyFill="1" applyBorder="1" applyAlignment="1">
      <alignment horizontal="right"/>
    </xf>
    <xf numFmtId="43" fontId="159" fillId="0" borderId="0" xfId="134" applyFont="1" applyFill="1" applyBorder="1" applyAlignment="1">
      <alignment horizontal="right"/>
    </xf>
    <xf numFmtId="183" fontId="159" fillId="0" borderId="0" xfId="392" applyNumberFormat="1" applyFont="1" applyFill="1" applyBorder="1" applyAlignment="1">
      <alignment horizontal="right"/>
    </xf>
    <xf numFmtId="10" fontId="101" fillId="0" borderId="0" xfId="1019" applyNumberFormat="1" applyFont="1" applyFill="1" applyBorder="1"/>
    <xf numFmtId="166" fontId="101" fillId="0" borderId="7" xfId="392" applyFont="1" applyFill="1" applyBorder="1" applyAlignment="1">
      <alignment horizontal="left"/>
    </xf>
    <xf numFmtId="3" fontId="101" fillId="0" borderId="0" xfId="392" applyNumberFormat="1" applyFont="1" applyFill="1" applyBorder="1" applyAlignment="1">
      <alignment horizontal="right"/>
    </xf>
    <xf numFmtId="166" fontId="101" fillId="0" borderId="0" xfId="392" applyFont="1" applyFill="1" applyBorder="1"/>
    <xf numFmtId="168" fontId="159" fillId="0" borderId="0" xfId="392" applyNumberFormat="1" applyFont="1" applyBorder="1"/>
    <xf numFmtId="183" fontId="159" fillId="0" borderId="0" xfId="392" applyNumberFormat="1" applyFont="1" applyBorder="1" applyAlignment="1">
      <alignment horizontal="right"/>
    </xf>
    <xf numFmtId="183" fontId="159" fillId="0" borderId="0" xfId="392" applyNumberFormat="1" applyFont="1" applyBorder="1"/>
    <xf numFmtId="183" fontId="159" fillId="0" borderId="0" xfId="392" applyNumberFormat="1" applyFont="1" applyAlignment="1">
      <alignment horizontal="right"/>
    </xf>
    <xf numFmtId="0" fontId="159" fillId="0" borderId="0" xfId="1161" quotePrefix="1" applyFont="1" applyFill="1" applyAlignment="1">
      <alignment horizontal="left"/>
    </xf>
    <xf numFmtId="0" fontId="159" fillId="0" borderId="0" xfId="1161" applyFont="1" applyFill="1" applyAlignment="1">
      <alignment horizontal="left"/>
    </xf>
    <xf numFmtId="3" fontId="101" fillId="0" borderId="0" xfId="392" applyNumberFormat="1" applyFont="1" applyFill="1" applyBorder="1"/>
    <xf numFmtId="3" fontId="159" fillId="0" borderId="0" xfId="392" applyNumberFormat="1" applyFont="1" applyFill="1" applyBorder="1" applyAlignment="1">
      <alignment horizontal="center"/>
    </xf>
    <xf numFmtId="166" fontId="159" fillId="0" borderId="0" xfId="392" applyFont="1" applyFill="1" applyBorder="1" applyAlignment="1">
      <alignment horizontal="center"/>
    </xf>
    <xf numFmtId="183" fontId="159" fillId="0" borderId="0" xfId="392" applyNumberFormat="1" applyFont="1" applyFill="1" applyAlignment="1">
      <alignment horizontal="center"/>
    </xf>
    <xf numFmtId="168" fontId="159" fillId="0" borderId="0" xfId="392" applyNumberFormat="1" applyFont="1" applyFill="1" applyAlignment="1">
      <alignment horizontal="center"/>
    </xf>
    <xf numFmtId="3" fontId="159" fillId="0" borderId="0" xfId="392" applyNumberFormat="1" applyFont="1" applyFill="1" applyAlignment="1">
      <alignment horizontal="center"/>
    </xf>
    <xf numFmtId="166" fontId="159" fillId="0" borderId="0" xfId="392" applyFont="1" applyFill="1" applyAlignment="1">
      <alignment horizontal="center"/>
    </xf>
    <xf numFmtId="10" fontId="159" fillId="0" borderId="0" xfId="392" applyNumberFormat="1" applyFont="1" applyFill="1" applyAlignment="1">
      <alignment horizontal="center"/>
    </xf>
    <xf numFmtId="9" fontId="101" fillId="0" borderId="0" xfId="1019" applyFont="1" applyFill="1" applyBorder="1"/>
    <xf numFmtId="166" fontId="159" fillId="0" borderId="0" xfId="392" applyFont="1" applyAlignment="1">
      <alignment horizontal="center"/>
    </xf>
    <xf numFmtId="43" fontId="159" fillId="0" borderId="0" xfId="134" applyNumberFormat="1" applyFont="1" applyFill="1" applyBorder="1"/>
    <xf numFmtId="43" fontId="101" fillId="0" borderId="0" xfId="134" applyFont="1" applyFill="1"/>
    <xf numFmtId="10" fontId="101" fillId="0" borderId="0" xfId="1019" applyNumberFormat="1" applyFont="1" applyFill="1"/>
    <xf numFmtId="0" fontId="101" fillId="0" borderId="0" xfId="392" applyNumberFormat="1" applyFont="1" applyAlignment="1">
      <alignment horizontal="left"/>
    </xf>
    <xf numFmtId="0" fontId="206" fillId="0" borderId="0" xfId="356" applyFont="1"/>
    <xf numFmtId="166" fontId="204" fillId="0" borderId="29" xfId="392" applyFont="1" applyFill="1" applyBorder="1"/>
    <xf numFmtId="166" fontId="159" fillId="0" borderId="29" xfId="392" applyFont="1" applyFill="1" applyBorder="1"/>
    <xf numFmtId="4" fontId="159" fillId="0" borderId="0" xfId="392" applyNumberFormat="1" applyFont="1"/>
    <xf numFmtId="166" fontId="159" fillId="0" borderId="0" xfId="392" applyFont="1" applyAlignment="1">
      <alignment horizontal="left" wrapText="1"/>
    </xf>
    <xf numFmtId="166" fontId="101" fillId="0" borderId="58" xfId="392" applyFont="1" applyBorder="1" applyAlignment="1">
      <alignment horizontal="center"/>
    </xf>
    <xf numFmtId="166" fontId="101" fillId="0" borderId="0" xfId="392" applyFont="1" applyBorder="1" applyAlignment="1">
      <alignment horizontal="center"/>
    </xf>
    <xf numFmtId="166" fontId="101" fillId="91" borderId="62" xfId="392" applyFont="1" applyFill="1" applyBorder="1" applyAlignment="1">
      <alignment horizontal="centerContinuous"/>
    </xf>
    <xf numFmtId="166" fontId="101" fillId="91" borderId="62" xfId="392" applyFont="1" applyFill="1" applyBorder="1" applyAlignment="1">
      <alignment horizontal="center"/>
    </xf>
    <xf numFmtId="166" fontId="159" fillId="91" borderId="62" xfId="392" applyFont="1" applyFill="1" applyBorder="1" applyAlignment="1">
      <alignment horizontal="centerContinuous"/>
    </xf>
    <xf numFmtId="166" fontId="159" fillId="91" borderId="62" xfId="392" applyFont="1" applyFill="1" applyBorder="1" applyAlignment="1">
      <alignment horizontal="left"/>
    </xf>
    <xf numFmtId="49" fontId="159" fillId="0" borderId="0" xfId="392" applyNumberFormat="1" applyFont="1" applyFill="1" applyBorder="1" applyAlignment="1">
      <alignment horizontal="right"/>
    </xf>
    <xf numFmtId="1" fontId="159" fillId="0" borderId="0" xfId="392" applyNumberFormat="1" applyFont="1" applyFill="1" applyBorder="1" applyAlignment="1">
      <alignment horizontal="right"/>
    </xf>
    <xf numFmtId="166" fontId="199" fillId="0" borderId="0" xfId="392" applyFont="1" applyFill="1" applyBorder="1" applyAlignment="1">
      <alignment horizontal="center"/>
    </xf>
    <xf numFmtId="1" fontId="201" fillId="0" borderId="0" xfId="392" applyNumberFormat="1" applyFont="1" applyFill="1" applyBorder="1" applyAlignment="1">
      <alignment horizontal="right"/>
    </xf>
    <xf numFmtId="166" fontId="199" fillId="0" borderId="0" xfId="392" applyFont="1" applyAlignment="1">
      <alignment horizontal="left"/>
    </xf>
    <xf numFmtId="166" fontId="101" fillId="91" borderId="62" xfId="392" applyFont="1" applyFill="1" applyBorder="1" applyAlignment="1">
      <alignment horizontal="left"/>
    </xf>
    <xf numFmtId="166" fontId="159" fillId="91" borderId="59" xfId="392" applyFont="1" applyFill="1" applyBorder="1" applyAlignment="1">
      <alignment horizontal="centerContinuous"/>
    </xf>
    <xf numFmtId="166" fontId="159" fillId="91" borderId="59" xfId="392" applyFont="1" applyFill="1" applyBorder="1" applyAlignment="1">
      <alignment horizontal="center"/>
    </xf>
    <xf numFmtId="166" fontId="101" fillId="91" borderId="59" xfId="392" applyFont="1" applyFill="1" applyBorder="1" applyAlignment="1">
      <alignment horizontal="centerContinuous"/>
    </xf>
    <xf numFmtId="166" fontId="159" fillId="91" borderId="59" xfId="392" applyFont="1" applyFill="1" applyBorder="1" applyAlignment="1">
      <alignment horizontal="left"/>
    </xf>
    <xf numFmtId="166" fontId="199" fillId="0" borderId="0" xfId="392" applyFont="1" applyBorder="1" applyAlignment="1">
      <alignment horizontal="center"/>
    </xf>
    <xf numFmtId="166" fontId="204" fillId="0" borderId="0" xfId="392" applyFont="1" applyBorder="1" applyAlignment="1">
      <alignment horizontal="right"/>
    </xf>
    <xf numFmtId="166" fontId="101" fillId="5" borderId="7" xfId="392" applyFont="1" applyFill="1" applyBorder="1"/>
    <xf numFmtId="166" fontId="101" fillId="5" borderId="7" xfId="392" applyFont="1" applyFill="1" applyBorder="1" applyAlignment="1">
      <alignment horizontal="right"/>
    </xf>
    <xf numFmtId="166" fontId="159" fillId="0" borderId="0" xfId="392" applyFont="1" applyAlignment="1">
      <alignment horizontal="right"/>
    </xf>
    <xf numFmtId="166" fontId="204" fillId="0" borderId="0" xfId="392" applyFont="1" applyAlignment="1">
      <alignment horizontal="right"/>
    </xf>
    <xf numFmtId="0" fontId="159" fillId="0" borderId="0" xfId="1161" quotePrefix="1" applyFont="1" applyAlignment="1">
      <alignment horizontal="right"/>
    </xf>
    <xf numFmtId="0" fontId="159" fillId="0" borderId="0" xfId="1161" applyFont="1" applyAlignment="1">
      <alignment horizontal="right"/>
    </xf>
    <xf numFmtId="166" fontId="101" fillId="77" borderId="7" xfId="392" applyFont="1" applyFill="1" applyBorder="1"/>
    <xf numFmtId="166" fontId="101" fillId="77" borderId="7" xfId="392" applyFont="1" applyFill="1" applyBorder="1" applyAlignment="1">
      <alignment horizontal="right"/>
    </xf>
    <xf numFmtId="166" fontId="159" fillId="5" borderId="7" xfId="392" applyFont="1" applyFill="1" applyBorder="1"/>
    <xf numFmtId="166" fontId="101" fillId="5" borderId="7" xfId="392" applyFont="1" applyFill="1" applyBorder="1" applyAlignment="1">
      <alignment horizontal="center"/>
    </xf>
    <xf numFmtId="166" fontId="101" fillId="0" borderId="0" xfId="392" applyFont="1" applyFill="1"/>
    <xf numFmtId="166" fontId="199" fillId="0" borderId="0" xfId="392" applyFont="1" applyFill="1" applyAlignment="1">
      <alignment horizontal="right"/>
    </xf>
    <xf numFmtId="165" fontId="100" fillId="0" borderId="0" xfId="173" applyNumberFormat="1" applyFont="1" applyFill="1" applyAlignment="1">
      <alignment horizontal="left"/>
    </xf>
    <xf numFmtId="165" fontId="100" fillId="0" borderId="0" xfId="173" applyNumberFormat="1" applyFont="1" applyFill="1" applyAlignment="1">
      <alignment horizontal="center"/>
    </xf>
    <xf numFmtId="37" fontId="140" fillId="0" borderId="0" xfId="627" applyFont="1" applyFill="1" applyBorder="1"/>
    <xf numFmtId="0" fontId="0" fillId="0" borderId="0" xfId="0" applyFont="1" applyFill="1" applyBorder="1"/>
    <xf numFmtId="37" fontId="142" fillId="0" borderId="0" xfId="627" applyFont="1" applyFill="1" applyBorder="1"/>
    <xf numFmtId="37" fontId="143" fillId="0" borderId="0" xfId="627" applyFont="1" applyFill="1" applyBorder="1"/>
    <xf numFmtId="37" fontId="144" fillId="0" borderId="0" xfId="627" applyFont="1" applyFill="1" applyBorder="1"/>
    <xf numFmtId="0" fontId="139" fillId="0" borderId="0" xfId="1035" applyFont="1" applyFill="1" applyBorder="1"/>
    <xf numFmtId="0" fontId="139" fillId="0" borderId="0" xfId="1011" applyFont="1" applyFill="1" applyBorder="1"/>
    <xf numFmtId="164" fontId="139" fillId="0" borderId="0" xfId="2" applyNumberFormat="1" applyFont="1" applyFill="1" applyBorder="1"/>
    <xf numFmtId="164" fontId="142" fillId="0" borderId="0" xfId="2" applyNumberFormat="1" applyFont="1" applyFill="1" applyBorder="1"/>
    <xf numFmtId="37" fontId="1" fillId="0" borderId="0" xfId="0" applyNumberFormat="1" applyFont="1" applyBorder="1"/>
    <xf numFmtId="0" fontId="208" fillId="0" borderId="0" xfId="7" applyNumberFormat="1" applyFont="1"/>
    <xf numFmtId="0" fontId="27" fillId="0" borderId="0" xfId="7" applyNumberFormat="1" applyFont="1"/>
    <xf numFmtId="0" fontId="208" fillId="0" borderId="0" xfId="7" applyNumberFormat="1" applyFont="1" applyAlignment="1">
      <alignment horizontal="right"/>
    </xf>
    <xf numFmtId="49" fontId="209" fillId="0" borderId="0" xfId="7" applyNumberFormat="1" applyFont="1" applyAlignment="1">
      <alignment horizontal="right"/>
    </xf>
    <xf numFmtId="0" fontId="209" fillId="0" borderId="0" xfId="7" applyNumberFormat="1" applyFont="1" applyAlignment="1">
      <alignment horizontal="left"/>
    </xf>
    <xf numFmtId="0" fontId="210" fillId="0" borderId="0" xfId="7" applyNumberFormat="1" applyFont="1"/>
    <xf numFmtId="49" fontId="209" fillId="0" borderId="0" xfId="7" applyNumberFormat="1" applyFont="1" applyAlignment="1">
      <alignment horizontal="left"/>
    </xf>
    <xf numFmtId="49" fontId="211" fillId="0" borderId="0" xfId="7" applyNumberFormat="1" applyFont="1"/>
    <xf numFmtId="0" fontId="211" fillId="0" borderId="0" xfId="7" applyNumberFormat="1" applyFont="1"/>
    <xf numFmtId="172" fontId="212" fillId="0" borderId="0" xfId="7" quotePrefix="1" applyNumberFormat="1" applyFont="1" applyAlignment="1">
      <alignment horizontal="left"/>
    </xf>
    <xf numFmtId="165" fontId="174" fillId="0" borderId="12" xfId="173" applyNumberFormat="1" applyFont="1" applyFill="1" applyBorder="1" applyAlignment="1">
      <alignment horizontal="centerContinuous"/>
    </xf>
    <xf numFmtId="0" fontId="174" fillId="0" borderId="12" xfId="7" applyFont="1" applyFill="1" applyBorder="1" applyAlignment="1">
      <alignment horizontal="centerContinuous"/>
    </xf>
    <xf numFmtId="165" fontId="174" fillId="0" borderId="12" xfId="173" quotePrefix="1" applyNumberFormat="1" applyFont="1" applyFill="1" applyBorder="1" applyAlignment="1">
      <alignment horizontal="centerContinuous"/>
    </xf>
    <xf numFmtId="17" fontId="174" fillId="0" borderId="29" xfId="173" applyNumberFormat="1" applyFont="1" applyFill="1" applyBorder="1" applyAlignment="1">
      <alignment horizontal="centerContinuous"/>
    </xf>
    <xf numFmtId="0" fontId="174" fillId="0" borderId="0" xfId="7" applyFont="1" applyBorder="1"/>
    <xf numFmtId="0" fontId="174" fillId="0" borderId="0" xfId="7" applyFont="1"/>
    <xf numFmtId="17" fontId="174" fillId="0" borderId="29" xfId="173" applyNumberFormat="1" applyFont="1" applyBorder="1" applyAlignment="1">
      <alignment horizontal="centerContinuous"/>
    </xf>
    <xf numFmtId="0" fontId="27" fillId="0" borderId="0" xfId="7" applyFont="1" applyAlignment="1">
      <alignment horizontal="left"/>
    </xf>
    <xf numFmtId="0" fontId="27" fillId="0" borderId="0" xfId="7" quotePrefix="1" applyFont="1" applyAlignment="1">
      <alignment horizontal="left"/>
    </xf>
    <xf numFmtId="14" fontId="213" fillId="0" borderId="0" xfId="627" applyNumberFormat="1" applyFont="1" applyFill="1"/>
    <xf numFmtId="0" fontId="27" fillId="0" borderId="0" xfId="7" applyFont="1"/>
    <xf numFmtId="165" fontId="27" fillId="0" borderId="0" xfId="173" applyNumberFormat="1" applyFont="1"/>
    <xf numFmtId="165" fontId="213" fillId="77" borderId="0" xfId="173" applyNumberFormat="1" applyFont="1" applyFill="1" applyBorder="1"/>
    <xf numFmtId="171" fontId="213" fillId="0" borderId="0" xfId="567" applyNumberFormat="1" applyFont="1" applyFill="1" applyBorder="1"/>
    <xf numFmtId="165" fontId="213" fillId="0" borderId="0" xfId="173" applyNumberFormat="1" applyFont="1" applyBorder="1"/>
    <xf numFmtId="165" fontId="27" fillId="0" borderId="12" xfId="173" applyNumberFormat="1" applyFont="1" applyBorder="1"/>
    <xf numFmtId="165" fontId="27" fillId="46" borderId="0" xfId="6" applyNumberFormat="1" applyFont="1" applyFill="1" applyBorder="1"/>
    <xf numFmtId="165" fontId="27" fillId="0" borderId="0" xfId="6" applyNumberFormat="1" applyFont="1"/>
    <xf numFmtId="165" fontId="27" fillId="0" borderId="12" xfId="6" applyNumberFormat="1" applyFont="1" applyBorder="1"/>
    <xf numFmtId="0" fontId="27" fillId="0" borderId="0" xfId="7" quotePrefix="1" applyFont="1"/>
    <xf numFmtId="0" fontId="208" fillId="0" borderId="0" xfId="7" applyFont="1" applyAlignment="1">
      <alignment horizontal="left"/>
    </xf>
    <xf numFmtId="165" fontId="27" fillId="46" borderId="7" xfId="6" applyNumberFormat="1" applyFont="1" applyFill="1" applyBorder="1"/>
    <xf numFmtId="0" fontId="208" fillId="0" borderId="0" xfId="7" applyFont="1"/>
    <xf numFmtId="0" fontId="208" fillId="0" borderId="0" xfId="7" quotePrefix="1" applyFont="1" applyAlignment="1">
      <alignment horizontal="left"/>
    </xf>
    <xf numFmtId="0" fontId="213" fillId="0" borderId="0" xfId="4" applyFont="1"/>
    <xf numFmtId="165" fontId="213" fillId="0" borderId="0" xfId="6" applyNumberFormat="1" applyFont="1"/>
    <xf numFmtId="0" fontId="208" fillId="78" borderId="0" xfId="7" quotePrefix="1" applyFont="1" applyFill="1" applyAlignment="1">
      <alignment horizontal="left"/>
    </xf>
    <xf numFmtId="0" fontId="27" fillId="78" borderId="0" xfId="7" applyFont="1" applyFill="1"/>
    <xf numFmtId="165" fontId="27" fillId="78" borderId="7" xfId="6" applyNumberFormat="1" applyFont="1" applyFill="1" applyBorder="1"/>
    <xf numFmtId="165" fontId="27" fillId="0" borderId="0" xfId="6" applyNumberFormat="1" applyFont="1" applyFill="1"/>
    <xf numFmtId="165" fontId="27" fillId="0" borderId="0" xfId="6" applyNumberFormat="1" applyFont="1" applyFill="1" applyBorder="1"/>
    <xf numFmtId="0" fontId="27" fillId="0" borderId="0" xfId="7" applyNumberFormat="1" applyFont="1" applyFill="1"/>
    <xf numFmtId="0" fontId="213" fillId="0" borderId="0" xfId="386" applyFont="1"/>
    <xf numFmtId="173" fontId="213" fillId="0" borderId="0" xfId="386" applyNumberFormat="1" applyFont="1"/>
    <xf numFmtId="0" fontId="208" fillId="7" borderId="0" xfId="7" applyFont="1" applyFill="1" applyAlignment="1">
      <alignment horizontal="left"/>
    </xf>
    <xf numFmtId="0" fontId="27" fillId="7" borderId="0" xfId="7" applyFont="1" applyFill="1"/>
    <xf numFmtId="173" fontId="27" fillId="7" borderId="7" xfId="6" quotePrefix="1" applyNumberFormat="1" applyFont="1" applyFill="1" applyBorder="1"/>
    <xf numFmtId="165" fontId="213" fillId="0" borderId="0" xfId="6" applyNumberFormat="1" applyFont="1" applyFill="1" applyBorder="1"/>
    <xf numFmtId="37" fontId="213" fillId="0" borderId="0" xfId="627" applyFont="1" applyFill="1"/>
    <xf numFmtId="165" fontId="213" fillId="0" borderId="0" xfId="6" applyNumberFormat="1" applyFont="1" applyFill="1"/>
    <xf numFmtId="165" fontId="27" fillId="46" borderId="8" xfId="6" applyNumberFormat="1" applyFont="1" applyFill="1" applyBorder="1"/>
    <xf numFmtId="165" fontId="213" fillId="0" borderId="0" xfId="173" applyNumberFormat="1" applyFont="1" applyFill="1"/>
    <xf numFmtId="165" fontId="27" fillId="3" borderId="0" xfId="6" applyNumberFormat="1" applyFont="1" applyFill="1" applyBorder="1"/>
    <xf numFmtId="165" fontId="27" fillId="3" borderId="0" xfId="6" applyNumberFormat="1" applyFont="1" applyFill="1"/>
    <xf numFmtId="165" fontId="213" fillId="3" borderId="0" xfId="6" applyNumberFormat="1" applyFont="1" applyFill="1" applyBorder="1"/>
    <xf numFmtId="37" fontId="213" fillId="0" borderId="0" xfId="627" applyFont="1" applyFill="1" applyBorder="1"/>
    <xf numFmtId="165" fontId="214" fillId="0" borderId="0" xfId="173" applyNumberFormat="1" applyFont="1" applyFill="1" applyAlignment="1">
      <alignment horizontal="right"/>
    </xf>
    <xf numFmtId="0" fontId="215" fillId="0" borderId="0" xfId="7" applyNumberFormat="1" applyFont="1"/>
    <xf numFmtId="165" fontId="215" fillId="0" borderId="0" xfId="173" applyNumberFormat="1" applyFont="1" applyFill="1"/>
    <xf numFmtId="168" fontId="174" fillId="0" borderId="0" xfId="3" applyNumberFormat="1" applyFont="1" applyFill="1"/>
    <xf numFmtId="0" fontId="213" fillId="0" borderId="0" xfId="379" applyFont="1"/>
    <xf numFmtId="4" fontId="106" fillId="7" borderId="0" xfId="633" applyNumberFormat="1" applyFont="1" applyFill="1" applyBorder="1" applyAlignment="1">
      <alignment horizontal="right"/>
    </xf>
    <xf numFmtId="0" fontId="114" fillId="7" borderId="0" xfId="0" applyFont="1" applyFill="1" applyBorder="1"/>
    <xf numFmtId="0" fontId="106" fillId="7" borderId="0" xfId="633" applyFont="1" applyFill="1" applyBorder="1"/>
    <xf numFmtId="0" fontId="0" fillId="85" borderId="0" xfId="0" applyFont="1" applyFill="1" applyAlignment="1">
      <alignment horizontal="center"/>
    </xf>
    <xf numFmtId="0" fontId="0" fillId="0" borderId="0" xfId="0" applyFont="1" applyFill="1" applyAlignment="1">
      <alignment horizontal="left"/>
    </xf>
    <xf numFmtId="0" fontId="116" fillId="26" borderId="0" xfId="103" applyFont="1" applyAlignment="1">
      <alignment horizontal="center"/>
    </xf>
    <xf numFmtId="0" fontId="105" fillId="0" borderId="0" xfId="0" applyFont="1" applyFill="1" applyBorder="1" applyAlignment="1">
      <alignment horizontal="center"/>
    </xf>
    <xf numFmtId="0" fontId="182" fillId="0" borderId="0" xfId="0" applyFont="1" applyAlignment="1">
      <alignment horizontal="left" wrapText="1"/>
    </xf>
    <xf numFmtId="165" fontId="183" fillId="87" borderId="0" xfId="1" applyNumberFormat="1" applyFont="1" applyFill="1" applyAlignment="1">
      <alignment horizontal="center" wrapText="1"/>
    </xf>
    <xf numFmtId="0" fontId="189" fillId="87" borderId="0" xfId="0" applyFont="1" applyFill="1" applyBorder="1" applyAlignment="1">
      <alignment horizontal="center"/>
    </xf>
    <xf numFmtId="165" fontId="105" fillId="87" borderId="0" xfId="1" applyNumberFormat="1" applyFont="1" applyFill="1" applyAlignment="1">
      <alignment horizontal="center" wrapText="1"/>
    </xf>
    <xf numFmtId="165" fontId="121" fillId="87" borderId="0" xfId="1" applyNumberFormat="1" applyFont="1" applyFill="1" applyBorder="1" applyAlignment="1">
      <alignment horizontal="center"/>
    </xf>
    <xf numFmtId="166" fontId="200" fillId="86" borderId="12" xfId="392" applyFont="1" applyFill="1" applyBorder="1" applyAlignment="1">
      <alignment horizontal="center"/>
    </xf>
    <xf numFmtId="166" fontId="159" fillId="0" borderId="0" xfId="392" applyFont="1" applyAlignment="1">
      <alignment horizontal="left" wrapText="1"/>
    </xf>
    <xf numFmtId="166" fontId="159" fillId="0" borderId="0" xfId="392" applyFont="1" applyAlignment="1">
      <alignment horizontal="center" wrapText="1"/>
    </xf>
    <xf numFmtId="166" fontId="207" fillId="10" borderId="0" xfId="392" applyFont="1" applyFill="1" applyAlignment="1">
      <alignment horizontal="center"/>
    </xf>
    <xf numFmtId="10" fontId="101" fillId="0" borderId="0" xfId="392" applyNumberFormat="1" applyFont="1" applyFill="1" applyBorder="1" applyAlignment="1">
      <alignment horizontal="center"/>
    </xf>
    <xf numFmtId="166" fontId="101" fillId="0" borderId="47" xfId="392" applyFont="1" applyFill="1" applyBorder="1" applyAlignment="1">
      <alignment horizontal="center" wrapText="1"/>
    </xf>
    <xf numFmtId="166" fontId="101" fillId="0" borderId="49" xfId="392" applyFont="1" applyFill="1" applyBorder="1" applyAlignment="1">
      <alignment horizontal="center" wrapText="1"/>
    </xf>
    <xf numFmtId="0" fontId="0" fillId="0" borderId="0" xfId="0" applyAlignment="1">
      <alignment horizontal="left" vertical="top" wrapText="1"/>
    </xf>
  </cellXfs>
  <cellStyles count="1311">
    <cellStyle name="20% - Accent1 2" xfId="9"/>
    <cellStyle name="20% - Accent1 2 2" xfId="10"/>
    <cellStyle name="20% - Accent1 2 3" xfId="11"/>
    <cellStyle name="20% - Accent1 2 4" xfId="635"/>
    <cellStyle name="20% - Accent1 3" xfId="12"/>
    <cellStyle name="20% - Accent1 3 2" xfId="13"/>
    <cellStyle name="20% - Accent1 3 3" xfId="14"/>
    <cellStyle name="20% - Accent1 4" xfId="15"/>
    <cellStyle name="20% - Accent1 4 2" xfId="636"/>
    <cellStyle name="20% - Accent1 5" xfId="637"/>
    <cellStyle name="20% - Accent2 2" xfId="16"/>
    <cellStyle name="20% - Accent2 3" xfId="17"/>
    <cellStyle name="20% - Accent2 3 2" xfId="18"/>
    <cellStyle name="20% - Accent2 4" xfId="638"/>
    <cellStyle name="20% - Accent2 5" xfId="639"/>
    <cellStyle name="20% - Accent3 2" xfId="19"/>
    <cellStyle name="20% - Accent3 3" xfId="20"/>
    <cellStyle name="20% - Accent3 3 2" xfId="21"/>
    <cellStyle name="20% - Accent3 4" xfId="640"/>
    <cellStyle name="20% - Accent3 5" xfId="641"/>
    <cellStyle name="20% - Accent4 2" xfId="22"/>
    <cellStyle name="20% - Accent4 2 2" xfId="23"/>
    <cellStyle name="20% - Accent4 2 3" xfId="24"/>
    <cellStyle name="20% - Accent4 3" xfId="25"/>
    <cellStyle name="20% - Accent4 3 2" xfId="26"/>
    <cellStyle name="20% - Accent4 3 3" xfId="27"/>
    <cellStyle name="20% - Accent4 4" xfId="28"/>
    <cellStyle name="20% - Accent4 4 2" xfId="642"/>
    <cellStyle name="20% - Accent4 5" xfId="643"/>
    <cellStyle name="20% - Accent5 2" xfId="29"/>
    <cellStyle name="20% - Accent5 3" xfId="30"/>
    <cellStyle name="20% - Accent5 4" xfId="644"/>
    <cellStyle name="20% - Accent5 5" xfId="645"/>
    <cellStyle name="20% - Accent6 2" xfId="31"/>
    <cellStyle name="20% - Accent6 3" xfId="32"/>
    <cellStyle name="20% - Accent6 3 2" xfId="33"/>
    <cellStyle name="20% - Accent6 4" xfId="646"/>
    <cellStyle name="20% - Accent6 5" xfId="647"/>
    <cellStyle name="40% - Accent1 2" xfId="34"/>
    <cellStyle name="40% - Accent1 2 2" xfId="648"/>
    <cellStyle name="40% - Accent1 2 3" xfId="649"/>
    <cellStyle name="40% - Accent1 3" xfId="35"/>
    <cellStyle name="40% - Accent1 3 2" xfId="36"/>
    <cellStyle name="40% - Accent1 3 3" xfId="37"/>
    <cellStyle name="40% - Accent1 4" xfId="38"/>
    <cellStyle name="40% - Accent1 4 2" xfId="650"/>
    <cellStyle name="40% - Accent1 5" xfId="651"/>
    <cellStyle name="40% - Accent2 2" xfId="39"/>
    <cellStyle name="40% - Accent2 3" xfId="40"/>
    <cellStyle name="40% - Accent2 4" xfId="652"/>
    <cellStyle name="40% - Accent2 5" xfId="653"/>
    <cellStyle name="40% - Accent3 2" xfId="41"/>
    <cellStyle name="40% - Accent3 3" xfId="42"/>
    <cellStyle name="40% - Accent3 3 2" xfId="43"/>
    <cellStyle name="40% - Accent3 4" xfId="654"/>
    <cellStyle name="40% - Accent3 5" xfId="655"/>
    <cellStyle name="40% - Accent4 2" xfId="44"/>
    <cellStyle name="40% - Accent4 2 2" xfId="656"/>
    <cellStyle name="40% - Accent4 2 3" xfId="657"/>
    <cellStyle name="40% - Accent4 3" xfId="45"/>
    <cellStyle name="40% - Accent4 3 2" xfId="46"/>
    <cellStyle name="40% - Accent4 3 3" xfId="47"/>
    <cellStyle name="40% - Accent4 4" xfId="48"/>
    <cellStyle name="40% - Accent4 4 2" xfId="658"/>
    <cellStyle name="40% - Accent4 5" xfId="659"/>
    <cellStyle name="40% - Accent5 2" xfId="49"/>
    <cellStyle name="40% - Accent5 2 2" xfId="660"/>
    <cellStyle name="40% - Accent5 2 3" xfId="661"/>
    <cellStyle name="40% - Accent5 3" xfId="50"/>
    <cellStyle name="40% - Accent5 3 2" xfId="51"/>
    <cellStyle name="40% - Accent5 4" xfId="662"/>
    <cellStyle name="40% - Accent5 5" xfId="663"/>
    <cellStyle name="40% - Accent6 2" xfId="52"/>
    <cellStyle name="40% - Accent6 2 2" xfId="664"/>
    <cellStyle name="40% - Accent6 2 3" xfId="665"/>
    <cellStyle name="40% - Accent6 3" xfId="53"/>
    <cellStyle name="40% - Accent6 3 2" xfId="54"/>
    <cellStyle name="40% - Accent6 3 3" xfId="55"/>
    <cellStyle name="40% - Accent6 4" xfId="56"/>
    <cellStyle name="40% - Accent6 4 2" xfId="666"/>
    <cellStyle name="40% - Accent6 5" xfId="667"/>
    <cellStyle name="60% - Accent1 2" xfId="57"/>
    <cellStyle name="60% - Accent1 2 2" xfId="58"/>
    <cellStyle name="60% - Accent1 2 3" xfId="59"/>
    <cellStyle name="60% - Accent1 2 4" xfId="668"/>
    <cellStyle name="60% - Accent1 3" xfId="60"/>
    <cellStyle name="60% - Accent1 3 2" xfId="61"/>
    <cellStyle name="60% - Accent1 3 3" xfId="62"/>
    <cellStyle name="60% - Accent1 4" xfId="63"/>
    <cellStyle name="60% - Accent1 4 2" xfId="669"/>
    <cellStyle name="60% - Accent2 2" xfId="64"/>
    <cellStyle name="60% - Accent2 2 2" xfId="670"/>
    <cellStyle name="60% - Accent2 2 3" xfId="671"/>
    <cellStyle name="60% - Accent2 3" xfId="65"/>
    <cellStyle name="60% - Accent2 3 2" xfId="66"/>
    <cellStyle name="60% - Accent2 4" xfId="672"/>
    <cellStyle name="60% - Accent3 2" xfId="67"/>
    <cellStyle name="60% - Accent3 2 2" xfId="673"/>
    <cellStyle name="60% - Accent3 2 3" xfId="674"/>
    <cellStyle name="60% - Accent3 3" xfId="68"/>
    <cellStyle name="60% - Accent3 3 2" xfId="69"/>
    <cellStyle name="60% - Accent3 3 3" xfId="70"/>
    <cellStyle name="60% - Accent3 4" xfId="71"/>
    <cellStyle name="60% - Accent3 4 2" xfId="675"/>
    <cellStyle name="60% - Accent4 2" xfId="72"/>
    <cellStyle name="60% - Accent4 2 2" xfId="676"/>
    <cellStyle name="60% - Accent4 2 3" xfId="677"/>
    <cellStyle name="60% - Accent4 3" xfId="73"/>
    <cellStyle name="60% - Accent4 3 2" xfId="74"/>
    <cellStyle name="60% - Accent4 3 3" xfId="75"/>
    <cellStyle name="60% - Accent4 4" xfId="76"/>
    <cellStyle name="60% - Accent4 4 2" xfId="678"/>
    <cellStyle name="60% - Accent5 2" xfId="77"/>
    <cellStyle name="60% - Accent5 2 2" xfId="78"/>
    <cellStyle name="60% - Accent5 2 3" xfId="79"/>
    <cellStyle name="60% - Accent5 2 4" xfId="679"/>
    <cellStyle name="60% - Accent5 3" xfId="80"/>
    <cellStyle name="60% - Accent5 3 2" xfId="81"/>
    <cellStyle name="60% - Accent5 4" xfId="680"/>
    <cellStyle name="60% - Accent6 2" xfId="82"/>
    <cellStyle name="60% - Accent6 3" xfId="83"/>
    <cellStyle name="60% - Accent6 3 2" xfId="84"/>
    <cellStyle name="60% - Accent6 4" xfId="681"/>
    <cellStyle name="Accent1 2" xfId="85"/>
    <cellStyle name="Accent1 2 2" xfId="86"/>
    <cellStyle name="Accent1 2 3" xfId="87"/>
    <cellStyle name="Accent1 2 4" xfId="682"/>
    <cellStyle name="Accent1 3" xfId="88"/>
    <cellStyle name="Accent1 3 2" xfId="89"/>
    <cellStyle name="Accent1 3 3" xfId="90"/>
    <cellStyle name="Accent1 4" xfId="91"/>
    <cellStyle name="Accent1 4 2" xfId="683"/>
    <cellStyle name="Accent2 2" xfId="92"/>
    <cellStyle name="Accent2 2 2" xfId="684"/>
    <cellStyle name="Accent2 2 3" xfId="685"/>
    <cellStyle name="Accent2 3" xfId="93"/>
    <cellStyle name="Accent2 3 2" xfId="94"/>
    <cellStyle name="Accent2 4" xfId="686"/>
    <cellStyle name="Accent3 2" xfId="95"/>
    <cellStyle name="Accent3 2 2" xfId="96"/>
    <cellStyle name="Accent3 2 3" xfId="97"/>
    <cellStyle name="Accent3 2 4" xfId="687"/>
    <cellStyle name="Accent3 3" xfId="98"/>
    <cellStyle name="Accent3 3 2" xfId="99"/>
    <cellStyle name="Accent3 4" xfId="688"/>
    <cellStyle name="Accent4 2" xfId="100"/>
    <cellStyle name="Accent4 2 2" xfId="689"/>
    <cellStyle name="Accent4 2 2 2" xfId="1036"/>
    <cellStyle name="Accent4 2 3" xfId="690"/>
    <cellStyle name="Accent4 3" xfId="101"/>
    <cellStyle name="Accent4 3 2" xfId="102"/>
    <cellStyle name="Accent4 4" xfId="691"/>
    <cellStyle name="Accent5 2" xfId="103"/>
    <cellStyle name="Accent5 2 2" xfId="692"/>
    <cellStyle name="Accent5 2 3" xfId="693"/>
    <cellStyle name="Accent5 3" xfId="104"/>
    <cellStyle name="Accent5 4" xfId="694"/>
    <cellStyle name="Accent6 2" xfId="105"/>
    <cellStyle name="Accent6 2 2" xfId="106"/>
    <cellStyle name="Accent6 2 3" xfId="107"/>
    <cellStyle name="Accent6 2 4" xfId="695"/>
    <cellStyle name="Accent6 3" xfId="108"/>
    <cellStyle name="Accent6 3 2" xfId="109"/>
    <cellStyle name="Accent6 4" xfId="696"/>
    <cellStyle name="Accounting" xfId="110"/>
    <cellStyle name="Accounting 2" xfId="111"/>
    <cellStyle name="Accounting 3" xfId="112"/>
    <cellStyle name="Accounting_2011-11" xfId="113"/>
    <cellStyle name="APS" xfId="114"/>
    <cellStyle name="APSLabels" xfId="115"/>
    <cellStyle name="Bad 2" xfId="116"/>
    <cellStyle name="Bad 2 2" xfId="697"/>
    <cellStyle name="Bad 2 3" xfId="698"/>
    <cellStyle name="Bad 3" xfId="117"/>
    <cellStyle name="Bad 3 2" xfId="118"/>
    <cellStyle name="Bad 4" xfId="699"/>
    <cellStyle name="Budget" xfId="119"/>
    <cellStyle name="Budget 2" xfId="120"/>
    <cellStyle name="Budget 3" xfId="121"/>
    <cellStyle name="Budget_2011-11" xfId="122"/>
    <cellStyle name="Calculation 2" xfId="123"/>
    <cellStyle name="Calculation 2 2" xfId="124"/>
    <cellStyle name="Calculation 2 3" xfId="125"/>
    <cellStyle name="Calculation 2 4" xfId="700"/>
    <cellStyle name="Calculation 3" xfId="126"/>
    <cellStyle name="Calculation 3 2" xfId="127"/>
    <cellStyle name="Calculation 3 3" xfId="128"/>
    <cellStyle name="Calculation 4" xfId="129"/>
    <cellStyle name="Calculation 4 2" xfId="701"/>
    <cellStyle name="Check Cell 2" xfId="130"/>
    <cellStyle name="Check Cell 2 2" xfId="702"/>
    <cellStyle name="Check Cell 2 3" xfId="703"/>
    <cellStyle name="Check Cell 3" xfId="131"/>
    <cellStyle name="Check Cell 4" xfId="704"/>
    <cellStyle name="Color" xfId="132"/>
    <cellStyle name="combo" xfId="133"/>
    <cellStyle name="Comma" xfId="1" builtinId="3"/>
    <cellStyle name="Comma 10" xfId="134"/>
    <cellStyle name="Comma 10 2" xfId="135"/>
    <cellStyle name="Comma 11" xfId="136"/>
    <cellStyle name="Comma 11 2" xfId="137"/>
    <cellStyle name="Comma 11 2 2" xfId="705"/>
    <cellStyle name="Comma 11 2 2 2" xfId="1198"/>
    <cellStyle name="Comma 11 2 3" xfId="1199"/>
    <cellStyle name="Comma 11 3" xfId="706"/>
    <cellStyle name="Comma 11 3 2" xfId="1200"/>
    <cellStyle name="Comma 11 4" xfId="1201"/>
    <cellStyle name="Comma 12" xfId="138"/>
    <cellStyle name="Comma 12 2" xfId="139"/>
    <cellStyle name="Comma 12 2 2" xfId="140"/>
    <cellStyle name="Comma 12 3" xfId="141"/>
    <cellStyle name="Comma 12 4" xfId="142"/>
    <cellStyle name="Comma 12 5" xfId="143"/>
    <cellStyle name="Comma 13" xfId="144"/>
    <cellStyle name="Comma 13 2" xfId="145"/>
    <cellStyle name="Comma 13 3" xfId="146"/>
    <cellStyle name="Comma 14" xfId="147"/>
    <cellStyle name="Comma 15" xfId="148"/>
    <cellStyle name="Comma 15 2" xfId="149"/>
    <cellStyle name="Comma 15 3" xfId="150"/>
    <cellStyle name="Comma 16" xfId="151"/>
    <cellStyle name="Comma 16 2" xfId="707"/>
    <cellStyle name="Comma 16 3" xfId="708"/>
    <cellStyle name="Comma 17" xfId="152"/>
    <cellStyle name="Comma 17 2" xfId="153"/>
    <cellStyle name="Comma 17 2 2" xfId="1309"/>
    <cellStyle name="Comma 17 3" xfId="154"/>
    <cellStyle name="Comma 17 4" xfId="709"/>
    <cellStyle name="Comma 18" xfId="155"/>
    <cellStyle name="Comma 18 2" xfId="156"/>
    <cellStyle name="Comma 18 3" xfId="157"/>
    <cellStyle name="Comma 18 4" xfId="710"/>
    <cellStyle name="Comma 19" xfId="158"/>
    <cellStyle name="Comma 2" xfId="6"/>
    <cellStyle name="Comma 2 2" xfId="159"/>
    <cellStyle name="Comma 2 2 2" xfId="160"/>
    <cellStyle name="Comma 2 2 2 2" xfId="161"/>
    <cellStyle name="Comma 2 2 2 2 2" xfId="1037"/>
    <cellStyle name="Comma 2 2 3" xfId="162"/>
    <cellStyle name="Comma 2 3" xfId="163"/>
    <cellStyle name="Comma 2 3 2" xfId="1038"/>
    <cellStyle name="Comma 2 4" xfId="164"/>
    <cellStyle name="Comma 2 4 2" xfId="165"/>
    <cellStyle name="Comma 2 4 2 2" xfId="711"/>
    <cellStyle name="Comma 2 4 3" xfId="166"/>
    <cellStyle name="Comma 2 4 4" xfId="712"/>
    <cellStyle name="Comma 2 5" xfId="167"/>
    <cellStyle name="Comma 2 5 2" xfId="713"/>
    <cellStyle name="Comma 2 6" xfId="168"/>
    <cellStyle name="Comma 2 6 2" xfId="169"/>
    <cellStyle name="Comma 2 6 2 2" xfId="714"/>
    <cellStyle name="Comma 2 6 3" xfId="715"/>
    <cellStyle name="Comma 2 7" xfId="716"/>
    <cellStyle name="Comma 2 7 2" xfId="717"/>
    <cellStyle name="Comma 2 8" xfId="718"/>
    <cellStyle name="Comma 20" xfId="170"/>
    <cellStyle name="Comma 20 2" xfId="719"/>
    <cellStyle name="Comma 21" xfId="171"/>
    <cellStyle name="Comma 21 2" xfId="172"/>
    <cellStyle name="Comma 22" xfId="720"/>
    <cellStyle name="Comma 23" xfId="721"/>
    <cellStyle name="Comma 3" xfId="173"/>
    <cellStyle name="Comma 3 2" xfId="174"/>
    <cellStyle name="Comma 3 2 2" xfId="175"/>
    <cellStyle name="Comma 3 3" xfId="176"/>
    <cellStyle name="Comma 3 4" xfId="177"/>
    <cellStyle name="Comma 4" xfId="178"/>
    <cellStyle name="Comma 4 2" xfId="179"/>
    <cellStyle name="Comma 4 2 2" xfId="180"/>
    <cellStyle name="Comma 4 2 2 2" xfId="722"/>
    <cellStyle name="Comma 4 2 2 2 2" xfId="1039"/>
    <cellStyle name="Comma 4 2 2 2 3" xfId="1176"/>
    <cellStyle name="Comma 4 2 2 3" xfId="1040"/>
    <cellStyle name="Comma 4 2 2 3 2" xfId="1202"/>
    <cellStyle name="Comma 4 2 2 4" xfId="1203"/>
    <cellStyle name="Comma 4 2 3" xfId="181"/>
    <cellStyle name="Comma 4 2 3 2" xfId="1041"/>
    <cellStyle name="Comma 4 2 4" xfId="182"/>
    <cellStyle name="Comma 4 2 4 2" xfId="1042"/>
    <cellStyle name="Comma 4 2 4 3" xfId="1043"/>
    <cellStyle name="Comma 4 2 5" xfId="723"/>
    <cellStyle name="Comma 4 3" xfId="183"/>
    <cellStyle name="Comma 4 3 2" xfId="184"/>
    <cellStyle name="Comma 4 3 2 2" xfId="1044"/>
    <cellStyle name="Comma 4 3 3" xfId="185"/>
    <cellStyle name="Comma 4 3 3 2" xfId="1045"/>
    <cellStyle name="Comma 4 3 4" xfId="1046"/>
    <cellStyle name="Comma 4 3 4 2" xfId="1047"/>
    <cellStyle name="Comma 4 4" xfId="186"/>
    <cellStyle name="Comma 4 4 2" xfId="187"/>
    <cellStyle name="Comma 4 4 2 2" xfId="1048"/>
    <cellStyle name="Comma 4 4 3" xfId="188"/>
    <cellStyle name="Comma 4 4 3 2" xfId="1049"/>
    <cellStyle name="Comma 4 4 4" xfId="1050"/>
    <cellStyle name="Comma 4 4 4 2" xfId="1051"/>
    <cellStyle name="Comma 4 5" xfId="189"/>
    <cellStyle name="Comma 4 5 2" xfId="190"/>
    <cellStyle name="Comma 4 5 2 2" xfId="1052"/>
    <cellStyle name="Comma 4 6" xfId="191"/>
    <cellStyle name="Comma 4 6 2" xfId="724"/>
    <cellStyle name="Comma 4 7" xfId="1053"/>
    <cellStyle name="Comma 5" xfId="192"/>
    <cellStyle name="Comma 5 2" xfId="193"/>
    <cellStyle name="Comma 5 2 2" xfId="194"/>
    <cellStyle name="Comma 5 2 2 2" xfId="725"/>
    <cellStyle name="Comma 5 2 2 2 2" xfId="1204"/>
    <cellStyle name="Comma 5 2 2 3" xfId="1205"/>
    <cellStyle name="Comma 5 2 3" xfId="726"/>
    <cellStyle name="Comma 5 2 3 2" xfId="1054"/>
    <cellStyle name="Comma 5 2 3 3" xfId="1177"/>
    <cellStyle name="Comma 5 2 4" xfId="1206"/>
    <cellStyle name="Comma 5 3" xfId="195"/>
    <cellStyle name="Comma 5 3 2" xfId="727"/>
    <cellStyle name="Comma 5 3 2 2" xfId="1207"/>
    <cellStyle name="Comma 5 3 3" xfId="1208"/>
    <cellStyle name="Comma 5 4" xfId="196"/>
    <cellStyle name="Comma 5 4 2" xfId="728"/>
    <cellStyle name="Comma 5 5" xfId="197"/>
    <cellStyle name="Comma 5 5 2" xfId="1055"/>
    <cellStyle name="Comma 5 6" xfId="1209"/>
    <cellStyle name="Comma 6" xfId="198"/>
    <cellStyle name="Comma 6 2" xfId="199"/>
    <cellStyle name="Comma 6 2 2" xfId="200"/>
    <cellStyle name="Comma 6 2 2 2" xfId="729"/>
    <cellStyle name="Comma 6 2 2 2 2" xfId="1056"/>
    <cellStyle name="Comma 6 2 2 2 3" xfId="1178"/>
    <cellStyle name="Comma 6 2 2 3" xfId="1210"/>
    <cellStyle name="Comma 6 2 3" xfId="730"/>
    <cellStyle name="Comma 6 2 3 2" xfId="1057"/>
    <cellStyle name="Comma 6 2 3 3" xfId="1179"/>
    <cellStyle name="Comma 6 2 4" xfId="1058"/>
    <cellStyle name="Comma 6 3" xfId="201"/>
    <cellStyle name="Comma 6 3 2" xfId="731"/>
    <cellStyle name="Comma 6 3 2 2" xfId="1059"/>
    <cellStyle name="Comma 6 3 2 3" xfId="1164"/>
    <cellStyle name="Comma 6 3 3" xfId="1211"/>
    <cellStyle name="Comma 6 4" xfId="202"/>
    <cellStyle name="Comma 6 4 2" xfId="732"/>
    <cellStyle name="Comma 6 5" xfId="733"/>
    <cellStyle name="Comma 7" xfId="203"/>
    <cellStyle name="Comma 7 2" xfId="204"/>
    <cellStyle name="Comma 7 2 2" xfId="205"/>
    <cellStyle name="Comma 7 2 2 2" xfId="734"/>
    <cellStyle name="Comma 7 2 2 2 2" xfId="1212"/>
    <cellStyle name="Comma 7 2 2 3" xfId="1213"/>
    <cellStyle name="Comma 7 2 3" xfId="735"/>
    <cellStyle name="Comma 7 2 3 2" xfId="1060"/>
    <cellStyle name="Comma 7 2 3 3" xfId="1180"/>
    <cellStyle name="Comma 7 2 4" xfId="1214"/>
    <cellStyle name="Comma 7 3" xfId="206"/>
    <cellStyle name="Comma 7 3 2" xfId="736"/>
    <cellStyle name="Comma 7 3 2 2" xfId="1215"/>
    <cellStyle name="Comma 7 3 3" xfId="1216"/>
    <cellStyle name="Comma 7 4" xfId="737"/>
    <cellStyle name="Comma 7 4 2" xfId="738"/>
    <cellStyle name="Comma 7 5" xfId="739"/>
    <cellStyle name="Comma 8" xfId="207"/>
    <cellStyle name="Comma 8 2" xfId="208"/>
    <cellStyle name="Comma 8 2 2" xfId="209"/>
    <cellStyle name="Comma 8 2 2 2" xfId="740"/>
    <cellStyle name="Comma 8 2 2 3" xfId="741"/>
    <cellStyle name="Comma 8 2 3" xfId="742"/>
    <cellStyle name="Comma 8 3" xfId="210"/>
    <cellStyle name="Comma 8 3 2" xfId="743"/>
    <cellStyle name="Comma 8 4" xfId="211"/>
    <cellStyle name="Comma 9" xfId="212"/>
    <cellStyle name="Comma 9 2" xfId="213"/>
    <cellStyle name="Comma(2)" xfId="214"/>
    <cellStyle name="Comma0" xfId="215"/>
    <cellStyle name="Comma0 - Style2" xfId="216"/>
    <cellStyle name="Comma1 - Style1" xfId="217"/>
    <cellStyle name="Comments" xfId="218"/>
    <cellStyle name="Currency" xfId="2" builtinId="4"/>
    <cellStyle name="Currency 10" xfId="219"/>
    <cellStyle name="Currency 10 2" xfId="744"/>
    <cellStyle name="Currency 11" xfId="220"/>
    <cellStyle name="Currency 11 2" xfId="745"/>
    <cellStyle name="Currency 12" xfId="221"/>
    <cellStyle name="Currency 13" xfId="222"/>
    <cellStyle name="Currency 14" xfId="746"/>
    <cellStyle name="Currency 15" xfId="747"/>
    <cellStyle name="Currency 2" xfId="223"/>
    <cellStyle name="Currency 2 2" xfId="224"/>
    <cellStyle name="Currency 2 2 2" xfId="225"/>
    <cellStyle name="Currency 2 2 3" xfId="226"/>
    <cellStyle name="Currency 2 2 3 2" xfId="748"/>
    <cellStyle name="Currency 2 2 4" xfId="227"/>
    <cellStyle name="Currency 2 3" xfId="228"/>
    <cellStyle name="Currency 2 3 2" xfId="229"/>
    <cellStyle name="Currency 2 3 3" xfId="230"/>
    <cellStyle name="Currency 2 4" xfId="231"/>
    <cellStyle name="Currency 2 4 2" xfId="749"/>
    <cellStyle name="Currency 2 4 3" xfId="750"/>
    <cellStyle name="Currency 2 5" xfId="751"/>
    <cellStyle name="Currency 2 5 2" xfId="752"/>
    <cellStyle name="Currency 2 6" xfId="232"/>
    <cellStyle name="Currency 2 6 2" xfId="233"/>
    <cellStyle name="Currency 2 6 3" xfId="753"/>
    <cellStyle name="Currency 2 7" xfId="754"/>
    <cellStyle name="Currency 3" xfId="234"/>
    <cellStyle name="Currency 3 2" xfId="235"/>
    <cellStyle name="Currency 3 2 2" xfId="236"/>
    <cellStyle name="Currency 3 2 2 2" xfId="755"/>
    <cellStyle name="Currency 3 2 2 2 2" xfId="1217"/>
    <cellStyle name="Currency 3 2 2 3" xfId="1218"/>
    <cellStyle name="Currency 3 2 3" xfId="756"/>
    <cellStyle name="Currency 3 2 3 2" xfId="1219"/>
    <cellStyle name="Currency 3 2 4" xfId="1061"/>
    <cellStyle name="Currency 3 3" xfId="237"/>
    <cellStyle name="Currency 3 3 2" xfId="238"/>
    <cellStyle name="Currency 3 3 2 2" xfId="1062"/>
    <cellStyle name="Currency 3 3 3" xfId="1063"/>
    <cellStyle name="Currency 3 3 4" xfId="1064"/>
    <cellStyle name="Currency 3 4" xfId="239"/>
    <cellStyle name="Currency 3 4 2" xfId="757"/>
    <cellStyle name="Currency 3 5" xfId="240"/>
    <cellStyle name="Currency 4" xfId="241"/>
    <cellStyle name="Currency 4 2" xfId="242"/>
    <cellStyle name="Currency 4 2 2" xfId="243"/>
    <cellStyle name="Currency 4 2 2 2" xfId="758"/>
    <cellStyle name="Currency 4 2 2 2 2" xfId="1220"/>
    <cellStyle name="Currency 4 2 2 3" xfId="1221"/>
    <cellStyle name="Currency 4 2 3" xfId="759"/>
    <cellStyle name="Currency 4 2 3 2" xfId="1222"/>
    <cellStyle name="Currency 4 2 4" xfId="1223"/>
    <cellStyle name="Currency 4 3" xfId="244"/>
    <cellStyle name="Currency 4 3 2" xfId="760"/>
    <cellStyle name="Currency 4 3 2 2" xfId="1224"/>
    <cellStyle name="Currency 4 3 3" xfId="1225"/>
    <cellStyle name="Currency 4 4" xfId="245"/>
    <cellStyle name="Currency 4 4 2" xfId="761"/>
    <cellStyle name="Currency 4 5" xfId="762"/>
    <cellStyle name="Currency 5" xfId="246"/>
    <cellStyle name="Currency 5 2" xfId="247"/>
    <cellStyle name="Currency 5 2 2" xfId="763"/>
    <cellStyle name="Currency 5 2 2 2" xfId="1226"/>
    <cellStyle name="Currency 5 2 3" xfId="1227"/>
    <cellStyle name="Currency 5 3" xfId="248"/>
    <cellStyle name="Currency 5 3 2" xfId="764"/>
    <cellStyle name="Currency 5 4" xfId="765"/>
    <cellStyle name="Currency 6" xfId="249"/>
    <cellStyle name="Currency 7" xfId="250"/>
    <cellStyle name="Currency 8" xfId="251"/>
    <cellStyle name="Currency 8 2" xfId="252"/>
    <cellStyle name="Currency 8 2 2" xfId="766"/>
    <cellStyle name="Currency 8 2 2 2" xfId="1228"/>
    <cellStyle name="Currency 8 2 3" xfId="1229"/>
    <cellStyle name="Currency 8 3" xfId="767"/>
    <cellStyle name="Currency 8 3 2" xfId="1065"/>
    <cellStyle name="Currency 8 3 3" xfId="1066"/>
    <cellStyle name="Currency 8 3 4" xfId="1181"/>
    <cellStyle name="Currency 8 4" xfId="1067"/>
    <cellStyle name="Currency 9" xfId="253"/>
    <cellStyle name="Currency 9 2" xfId="768"/>
    <cellStyle name="Currency 9 2 2" xfId="1230"/>
    <cellStyle name="Currency 9 3" xfId="1068"/>
    <cellStyle name="Currency0" xfId="254"/>
    <cellStyle name="Data Enter" xfId="255"/>
    <cellStyle name="date" xfId="256"/>
    <cellStyle name="Explanatory Text 2" xfId="257"/>
    <cellStyle name="Explanatory Text 3" xfId="258"/>
    <cellStyle name="Explanatory Text 4" xfId="769"/>
    <cellStyle name="F9ReportControlStyle_ctpInquire" xfId="259"/>
    <cellStyle name="FactSheet" xfId="260"/>
    <cellStyle name="fish" xfId="261"/>
    <cellStyle name="Good 2" xfId="262"/>
    <cellStyle name="Good 2 2" xfId="770"/>
    <cellStyle name="Good 2 2 2" xfId="1069"/>
    <cellStyle name="Good 2 2 3" xfId="1162"/>
    <cellStyle name="Good 2 3" xfId="771"/>
    <cellStyle name="Good 3" xfId="263"/>
    <cellStyle name="Good 3 2" xfId="264"/>
    <cellStyle name="Good 3 3" xfId="1070"/>
    <cellStyle name="Good 4" xfId="265"/>
    <cellStyle name="Good 5" xfId="772"/>
    <cellStyle name="Heading 1 2" xfId="266"/>
    <cellStyle name="Heading 1 2 2" xfId="267"/>
    <cellStyle name="Heading 1 2 3" xfId="268"/>
    <cellStyle name="Heading 1 2 4" xfId="773"/>
    <cellStyle name="Heading 1 3" xfId="269"/>
    <cellStyle name="Heading 1 3 2" xfId="270"/>
    <cellStyle name="Heading 1 3 3" xfId="271"/>
    <cellStyle name="Heading 1 4" xfId="272"/>
    <cellStyle name="Heading 1 4 2" xfId="774"/>
    <cellStyle name="Heading 2 2" xfId="273"/>
    <cellStyle name="Heading 2 2 2" xfId="274"/>
    <cellStyle name="Heading 2 2 3" xfId="275"/>
    <cellStyle name="Heading 2 2 4" xfId="775"/>
    <cellStyle name="Heading 2 3" xfId="276"/>
    <cellStyle name="Heading 2 3 2" xfId="277"/>
    <cellStyle name="Heading 2 3 3" xfId="278"/>
    <cellStyle name="Heading 2 4" xfId="279"/>
    <cellStyle name="Heading 2 4 2" xfId="776"/>
    <cellStyle name="Heading 3 2" xfId="280"/>
    <cellStyle name="Heading 3 2 2" xfId="281"/>
    <cellStyle name="Heading 3 2 3" xfId="282"/>
    <cellStyle name="Heading 3 2 4" xfId="777"/>
    <cellStyle name="Heading 3 3" xfId="283"/>
    <cellStyle name="Heading 3 3 2" xfId="284"/>
    <cellStyle name="Heading 3 3 3" xfId="285"/>
    <cellStyle name="Heading 3 4" xfId="286"/>
    <cellStyle name="Heading 3 4 2" xfId="778"/>
    <cellStyle name="Heading 4 2" xfId="287"/>
    <cellStyle name="Heading 4 2 2" xfId="779"/>
    <cellStyle name="Heading 4 2 2 2" xfId="1071"/>
    <cellStyle name="Heading 4 2 3" xfId="780"/>
    <cellStyle name="Heading 4 3" xfId="288"/>
    <cellStyle name="Heading 4 3 2" xfId="289"/>
    <cellStyle name="Heading 4 4" xfId="781"/>
    <cellStyle name="Hyperlink 2" xfId="290"/>
    <cellStyle name="Hyperlink 2 2" xfId="631"/>
    <cellStyle name="Hyperlink 2 2 2" xfId="1072"/>
    <cellStyle name="Hyperlink 2 2 3" xfId="1073"/>
    <cellStyle name="Hyperlink 2 2 4" xfId="1074"/>
    <cellStyle name="Hyperlink 2 3" xfId="782"/>
    <cellStyle name="Hyperlink 3" xfId="291"/>
    <cellStyle name="Hyperlink 3 2" xfId="292"/>
    <cellStyle name="Hyperlink 3 2 2" xfId="783"/>
    <cellStyle name="Hyperlink 3 3" xfId="784"/>
    <cellStyle name="Input 2" xfId="293"/>
    <cellStyle name="Input 2 2" xfId="785"/>
    <cellStyle name="Input 2 2 2" xfId="1075"/>
    <cellStyle name="Input 2 3" xfId="786"/>
    <cellStyle name="Input 3" xfId="294"/>
    <cellStyle name="Input 3 2" xfId="295"/>
    <cellStyle name="Input 4" xfId="787"/>
    <cellStyle name="input(0)" xfId="296"/>
    <cellStyle name="Input(2)" xfId="297"/>
    <cellStyle name="Labels" xfId="298"/>
    <cellStyle name="Linked Cell 2" xfId="299"/>
    <cellStyle name="Linked Cell 2 2" xfId="300"/>
    <cellStyle name="Linked Cell 2 3" xfId="301"/>
    <cellStyle name="Linked Cell 2 4" xfId="788"/>
    <cellStyle name="Linked Cell 3" xfId="302"/>
    <cellStyle name="Linked Cell 3 2" xfId="303"/>
    <cellStyle name="Linked Cell 4" xfId="789"/>
    <cellStyle name="Neutral 2" xfId="304"/>
    <cellStyle name="Neutral 2 2" xfId="305"/>
    <cellStyle name="Neutral 2 3" xfId="306"/>
    <cellStyle name="Neutral 2 4" xfId="790"/>
    <cellStyle name="Neutral 3" xfId="307"/>
    <cellStyle name="Neutral 3 2" xfId="308"/>
    <cellStyle name="Neutral 4" xfId="791"/>
    <cellStyle name="New_normal" xfId="309"/>
    <cellStyle name="Normal" xfId="0" builtinId="0"/>
    <cellStyle name="Normal - Style1" xfId="310"/>
    <cellStyle name="Normal - Style2" xfId="311"/>
    <cellStyle name="Normal - Style3" xfId="312"/>
    <cellStyle name="Normal - Style4" xfId="313"/>
    <cellStyle name="Normal - Style5" xfId="314"/>
    <cellStyle name="Normal 10" xfId="315"/>
    <cellStyle name="Normal 10 2" xfId="316"/>
    <cellStyle name="Normal 10 2 2" xfId="317"/>
    <cellStyle name="Normal 10 2 2 2" xfId="792"/>
    <cellStyle name="Normal 10 2 2 2 2" xfId="1231"/>
    <cellStyle name="Normal 10 2 2 3" xfId="1232"/>
    <cellStyle name="Normal 10 2 3" xfId="318"/>
    <cellStyle name="Normal 10 2 3 2" xfId="1076"/>
    <cellStyle name="Normal 10 2 4" xfId="319"/>
    <cellStyle name="Normal 10 2 4 2" xfId="1077"/>
    <cellStyle name="Normal 10 2 5" xfId="320"/>
    <cellStyle name="Normal 10 3" xfId="321"/>
    <cellStyle name="Normal 10 3 2" xfId="793"/>
    <cellStyle name="Normal 10 3 2 2" xfId="1233"/>
    <cellStyle name="Normal 10 3 3" xfId="1234"/>
    <cellStyle name="Normal 10 4" xfId="794"/>
    <cellStyle name="Normal 10 4 2" xfId="795"/>
    <cellStyle name="Normal 10 5" xfId="796"/>
    <cellStyle name="Normal 10_2112 DF Schedule" xfId="322"/>
    <cellStyle name="Normal 100" xfId="323"/>
    <cellStyle name="Normal 100 2" xfId="797"/>
    <cellStyle name="Normal 101" xfId="324"/>
    <cellStyle name="Normal 101 2" xfId="798"/>
    <cellStyle name="Normal 102" xfId="325"/>
    <cellStyle name="Normal 102 2" xfId="799"/>
    <cellStyle name="Normal 103" xfId="326"/>
    <cellStyle name="Normal 103 2" xfId="800"/>
    <cellStyle name="Normal 104" xfId="327"/>
    <cellStyle name="Normal 104 2" xfId="801"/>
    <cellStyle name="Normal 105" xfId="328"/>
    <cellStyle name="Normal 105 2" xfId="802"/>
    <cellStyle name="Normal 106" xfId="329"/>
    <cellStyle name="Normal 107" xfId="330"/>
    <cellStyle name="Normal 107 2" xfId="803"/>
    <cellStyle name="Normal 108" xfId="331"/>
    <cellStyle name="Normal 108 2" xfId="804"/>
    <cellStyle name="Normal 109" xfId="332"/>
    <cellStyle name="Normal 109 2" xfId="333"/>
    <cellStyle name="Normal 109 3" xfId="805"/>
    <cellStyle name="Normal 11" xfId="334"/>
    <cellStyle name="Normal 11 2" xfId="335"/>
    <cellStyle name="Normal 11 2 2" xfId="336"/>
    <cellStyle name="Normal 11 2 2 2" xfId="806"/>
    <cellStyle name="Normal 11 2 2 2 2" xfId="1078"/>
    <cellStyle name="Normal 11 2 2 2 3" xfId="1165"/>
    <cellStyle name="Normal 11 2 2 3" xfId="1235"/>
    <cellStyle name="Normal 11 2 3" xfId="337"/>
    <cellStyle name="Normal 11 2 3 2" xfId="1079"/>
    <cellStyle name="Normal 11 2 4" xfId="1236"/>
    <cellStyle name="Normal 11 3" xfId="338"/>
    <cellStyle name="Normal 11 3 2" xfId="807"/>
    <cellStyle name="Normal 11 3 2 2" xfId="1237"/>
    <cellStyle name="Normal 11 3 3" xfId="1238"/>
    <cellStyle name="Normal 11 4" xfId="808"/>
    <cellStyle name="Normal 11 4 2" xfId="809"/>
    <cellStyle name="Normal 11 5" xfId="810"/>
    <cellStyle name="Normal 110" xfId="339"/>
    <cellStyle name="Normal 110 2" xfId="811"/>
    <cellStyle name="Normal 111" xfId="340"/>
    <cellStyle name="Normal 111 2" xfId="812"/>
    <cellStyle name="Normal 111 3" xfId="1080"/>
    <cellStyle name="Normal 112" xfId="341"/>
    <cellStyle name="Normal 112 2" xfId="813"/>
    <cellStyle name="Normal 112 3" xfId="1081"/>
    <cellStyle name="Normal 113" xfId="814"/>
    <cellStyle name="Normal 113 2" xfId="815"/>
    <cellStyle name="Normal 113 3" xfId="816"/>
    <cellStyle name="Normal 114" xfId="817"/>
    <cellStyle name="Normal 115" xfId="818"/>
    <cellStyle name="Normal 116" xfId="819"/>
    <cellStyle name="Normal 117" xfId="1082"/>
    <cellStyle name="Normal 117 2" xfId="1310"/>
    <cellStyle name="Normal 118" xfId="1305"/>
    <cellStyle name="Normal 12" xfId="342"/>
    <cellStyle name="Normal 12 2" xfId="343"/>
    <cellStyle name="Normal 12 2 2" xfId="344"/>
    <cellStyle name="Normal 12 2 2 2" xfId="820"/>
    <cellStyle name="Normal 12 2 2 2 2" xfId="1083"/>
    <cellStyle name="Normal 12 2 2 2 3" xfId="1167"/>
    <cellStyle name="Normal 12 2 2 3" xfId="1239"/>
    <cellStyle name="Normal 12 2 3" xfId="821"/>
    <cellStyle name="Normal 12 2 3 2" xfId="1240"/>
    <cellStyle name="Normal 12 2 4" xfId="1241"/>
    <cellStyle name="Normal 12 3" xfId="345"/>
    <cellStyle name="Normal 12 3 2" xfId="822"/>
    <cellStyle name="Normal 12 3 2 2" xfId="1084"/>
    <cellStyle name="Normal 12 3 2 3" xfId="1166"/>
    <cellStyle name="Normal 12 3 3" xfId="1242"/>
    <cellStyle name="Normal 12 4" xfId="346"/>
    <cellStyle name="Normal 12 4 2" xfId="823"/>
    <cellStyle name="Normal 12 5" xfId="347"/>
    <cellStyle name="Normal 12 6" xfId="824"/>
    <cellStyle name="Normal 12 7" xfId="1304"/>
    <cellStyle name="Normal 12_Sheet1" xfId="348"/>
    <cellStyle name="Normal 13" xfId="349"/>
    <cellStyle name="Normal 13 2" xfId="350"/>
    <cellStyle name="Normal 13 2 2" xfId="351"/>
    <cellStyle name="Normal 13 2 2 2" xfId="825"/>
    <cellStyle name="Normal 13 2 2 2 2" xfId="1085"/>
    <cellStyle name="Normal 13 2 2 2 3" xfId="1168"/>
    <cellStyle name="Normal 13 2 2 3" xfId="1086"/>
    <cellStyle name="Normal 13 2 3" xfId="826"/>
    <cellStyle name="Normal 13 2 3 2" xfId="1243"/>
    <cellStyle name="Normal 13 2 4" xfId="1244"/>
    <cellStyle name="Normal 13 3" xfId="352"/>
    <cellStyle name="Normal 13 3 2" xfId="827"/>
    <cellStyle name="Normal 13 3 2 2" xfId="1245"/>
    <cellStyle name="Normal 13 3 3" xfId="1246"/>
    <cellStyle name="Normal 13 4" xfId="353"/>
    <cellStyle name="Normal 13 4 2" xfId="828"/>
    <cellStyle name="Normal 13 5" xfId="354"/>
    <cellStyle name="Normal 13 6" xfId="829"/>
    <cellStyle name="Normal 13 7" xfId="1308"/>
    <cellStyle name="Normal 13_Sheet1" xfId="355"/>
    <cellStyle name="Normal 14" xfId="356"/>
    <cellStyle name="Normal 14 2" xfId="357"/>
    <cellStyle name="Normal 14 2 2" xfId="830"/>
    <cellStyle name="Normal 14 2 2 2" xfId="1087"/>
    <cellStyle name="Normal 14 2 3" xfId="1247"/>
    <cellStyle name="Normal 14 3" xfId="358"/>
    <cellStyle name="Normal 14 3 2" xfId="831"/>
    <cellStyle name="Normal 14 4" xfId="359"/>
    <cellStyle name="Normal 14 5" xfId="832"/>
    <cellStyle name="Normal 14_Sheet1" xfId="360"/>
    <cellStyle name="Normal 15" xfId="361"/>
    <cellStyle name="Normal 15 2" xfId="362"/>
    <cellStyle name="Normal 15 2 2" xfId="1088"/>
    <cellStyle name="Normal 15 2 2 2" xfId="1089"/>
    <cellStyle name="Normal 15 2 3" xfId="1090"/>
    <cellStyle name="Normal 15 3" xfId="363"/>
    <cellStyle name="Normal 15 3 2" xfId="1091"/>
    <cellStyle name="Normal 15 4" xfId="364"/>
    <cellStyle name="Normal 15 5" xfId="833"/>
    <cellStyle name="Normal 16" xfId="365"/>
    <cellStyle name="Normal 16 2" xfId="366"/>
    <cellStyle name="Normal 16 2 2" xfId="1092"/>
    <cellStyle name="Normal 16 2 2 2" xfId="1093"/>
    <cellStyle name="Normal 16 3" xfId="367"/>
    <cellStyle name="Normal 16 3 2" xfId="834"/>
    <cellStyle name="Normal 16 3 2 2" xfId="1248"/>
    <cellStyle name="Normal 16 3 3" xfId="1249"/>
    <cellStyle name="Normal 16 4" xfId="835"/>
    <cellStyle name="Normal 16 4 2" xfId="1094"/>
    <cellStyle name="Normal 16 4 3" xfId="1182"/>
    <cellStyle name="Normal 16 5" xfId="1250"/>
    <cellStyle name="Normal 16 6" xfId="1251"/>
    <cellStyle name="Normal 17" xfId="368"/>
    <cellStyle name="Normal 17 2" xfId="369"/>
    <cellStyle name="Normal 17 2 2" xfId="1095"/>
    <cellStyle name="Normal 17 2 2 2" xfId="1096"/>
    <cellStyle name="Normal 17 3" xfId="370"/>
    <cellStyle name="Normal 17 3 2" xfId="1097"/>
    <cellStyle name="Normal 17 4" xfId="836"/>
    <cellStyle name="Normal 18" xfId="371"/>
    <cellStyle name="Normal 18 2" xfId="372"/>
    <cellStyle name="Normal 18 2 2" xfId="837"/>
    <cellStyle name="Normal 18 2 2 2" xfId="1098"/>
    <cellStyle name="Normal 18 2 3" xfId="1252"/>
    <cellStyle name="Normal 18 3" xfId="373"/>
    <cellStyle name="Normal 18 3 2" xfId="838"/>
    <cellStyle name="Normal 18 3 2 2" xfId="1253"/>
    <cellStyle name="Normal 18 3 3" xfId="1254"/>
    <cellStyle name="Normal 18 4" xfId="839"/>
    <cellStyle name="Normal 18 4 2" xfId="1099"/>
    <cellStyle name="Normal 18 4 3" xfId="1183"/>
    <cellStyle name="Normal 18 5" xfId="840"/>
    <cellStyle name="Normal 18 5 2" xfId="1255"/>
    <cellStyle name="Normal 18 6" xfId="1256"/>
    <cellStyle name="Normal 18 7" xfId="1257"/>
    <cellStyle name="Normal 19" xfId="374"/>
    <cellStyle name="Normal 19 2" xfId="375"/>
    <cellStyle name="Normal 19 2 2" xfId="1100"/>
    <cellStyle name="Normal 19 3" xfId="376"/>
    <cellStyle name="Normal 19 3 2" xfId="1101"/>
    <cellStyle name="Normal 19 4" xfId="841"/>
    <cellStyle name="Normal 2" xfId="4"/>
    <cellStyle name="Normal 2 10" xfId="377"/>
    <cellStyle name="Normal 2 11" xfId="378"/>
    <cellStyle name="Normal 2 2" xfId="379"/>
    <cellStyle name="Normal 2 2 2" xfId="380"/>
    <cellStyle name="Normal 2 2 2 2" xfId="381"/>
    <cellStyle name="Normal 2 2 2_JE_IS11" xfId="382"/>
    <cellStyle name="Normal 2 2 3" xfId="383"/>
    <cellStyle name="Normal 2 2 4" xfId="384"/>
    <cellStyle name="Normal 2 2 5" xfId="1307"/>
    <cellStyle name="Normal 2 2 6" xfId="1303"/>
    <cellStyle name="Normal 2 2 7" xfId="1302"/>
    <cellStyle name="Normal 2 2 8" xfId="1306"/>
    <cellStyle name="Normal 2 2_4MthProj2" xfId="385"/>
    <cellStyle name="Normal 2 3" xfId="386"/>
    <cellStyle name="Normal 2 3 2" xfId="387"/>
    <cellStyle name="Normal 2 3 2 2" xfId="388"/>
    <cellStyle name="Normal 2 3 2 3" xfId="389"/>
    <cellStyle name="Normal 2 3 3" xfId="390"/>
    <cellStyle name="Normal 2 3 3 2" xfId="842"/>
    <cellStyle name="Normal 2 3 3 2 2" xfId="1102"/>
    <cellStyle name="Normal 2 3 3 3" xfId="843"/>
    <cellStyle name="Normal 2 3 4" xfId="844"/>
    <cellStyle name="Normal 2 3 4 2" xfId="845"/>
    <cellStyle name="Normal 2 3 5" xfId="846"/>
    <cellStyle name="Normal 2 3_4MthProj2" xfId="391"/>
    <cellStyle name="Normal 2 4" xfId="392"/>
    <cellStyle name="Normal 2 4 2" xfId="393"/>
    <cellStyle name="Normal 2 4 2 2" xfId="1103"/>
    <cellStyle name="Normal 2 4 3" xfId="394"/>
    <cellStyle name="Normal 2 4 3 2" xfId="1104"/>
    <cellStyle name="Normal 2 5" xfId="395"/>
    <cellStyle name="Normal 2 5 2" xfId="847"/>
    <cellStyle name="Normal 2 5 3" xfId="848"/>
    <cellStyle name="Normal 2 6" xfId="396"/>
    <cellStyle name="Normal 2 6 2" xfId="849"/>
    <cellStyle name="Normal 2 6 2 2" xfId="1105"/>
    <cellStyle name="Normal 2 6 2 3" xfId="1163"/>
    <cellStyle name="Normal 2 6 3" xfId="850"/>
    <cellStyle name="Normal 2 7" xfId="397"/>
    <cellStyle name="Normal 2 7 2" xfId="851"/>
    <cellStyle name="Normal 2 8" xfId="398"/>
    <cellStyle name="Normal 2 9" xfId="399"/>
    <cellStyle name="Normal 2_2009 Regulated Price Out" xfId="400"/>
    <cellStyle name="Normal 20" xfId="401"/>
    <cellStyle name="Normal 20 2" xfId="402"/>
    <cellStyle name="Normal 20 2 2" xfId="852"/>
    <cellStyle name="Normal 20 2 3" xfId="1106"/>
    <cellStyle name="Normal 20 3" xfId="403"/>
    <cellStyle name="Normal 20 4" xfId="404"/>
    <cellStyle name="Normal 20 4 2" xfId="1107"/>
    <cellStyle name="Normal 20 5" xfId="853"/>
    <cellStyle name="Normal 20 6" xfId="854"/>
    <cellStyle name="Normal 21" xfId="405"/>
    <cellStyle name="Normal 21 2" xfId="406"/>
    <cellStyle name="Normal 21 2 2" xfId="855"/>
    <cellStyle name="Normal 21 3" xfId="407"/>
    <cellStyle name="Normal 21 3 2" xfId="1108"/>
    <cellStyle name="Normal 21 4" xfId="856"/>
    <cellStyle name="Normal 22" xfId="408"/>
    <cellStyle name="Normal 22 2" xfId="409"/>
    <cellStyle name="Normal 22 2 2" xfId="857"/>
    <cellStyle name="Normal 22 3" xfId="410"/>
    <cellStyle name="Normal 22 3 2" xfId="1109"/>
    <cellStyle name="Normal 22 4" xfId="858"/>
    <cellStyle name="Normal 23" xfId="411"/>
    <cellStyle name="Normal 23 2" xfId="412"/>
    <cellStyle name="Normal 23 2 2" xfId="859"/>
    <cellStyle name="Normal 23 2 3" xfId="1110"/>
    <cellStyle name="Normal 23 3" xfId="413"/>
    <cellStyle name="Normal 23 3 2" xfId="860"/>
    <cellStyle name="Normal 23 3 3" xfId="1111"/>
    <cellStyle name="Normal 23 4" xfId="861"/>
    <cellStyle name="Normal 24" xfId="414"/>
    <cellStyle name="Normal 24 2" xfId="415"/>
    <cellStyle name="Normal 24 2 2" xfId="862"/>
    <cellStyle name="Normal 24 2 3" xfId="1112"/>
    <cellStyle name="Normal 24 3" xfId="863"/>
    <cellStyle name="Normal 24 3 2" xfId="1113"/>
    <cellStyle name="Normal 24 4" xfId="864"/>
    <cellStyle name="Normal 25" xfId="416"/>
    <cellStyle name="Normal 25 2" xfId="865"/>
    <cellStyle name="Normal 25 2 2" xfId="1114"/>
    <cellStyle name="Normal 25 3" xfId="866"/>
    <cellStyle name="Normal 25 4" xfId="867"/>
    <cellStyle name="Normal 26" xfId="417"/>
    <cellStyle name="Normal 26 2" xfId="868"/>
    <cellStyle name="Normal 26 2 2" xfId="869"/>
    <cellStyle name="Normal 26 3" xfId="870"/>
    <cellStyle name="Normal 26 4" xfId="871"/>
    <cellStyle name="Normal 27" xfId="418"/>
    <cellStyle name="Normal 27 2" xfId="419"/>
    <cellStyle name="Normal 27 2 2" xfId="872"/>
    <cellStyle name="Normal 27 2 2 2" xfId="1115"/>
    <cellStyle name="Normal 27 2 2 3" xfId="1169"/>
    <cellStyle name="Normal 27 3" xfId="420"/>
    <cellStyle name="Normal 27 3 2" xfId="873"/>
    <cellStyle name="Normal 27 4" xfId="874"/>
    <cellStyle name="Normal 27 5" xfId="875"/>
    <cellStyle name="Normal 28" xfId="421"/>
    <cellStyle name="Normal 28 2" xfId="876"/>
    <cellStyle name="Normal 28 2 2" xfId="877"/>
    <cellStyle name="Normal 28 3" xfId="878"/>
    <cellStyle name="Normal 28 4" xfId="879"/>
    <cellStyle name="Normal 29" xfId="422"/>
    <cellStyle name="Normal 29 2" xfId="880"/>
    <cellStyle name="Normal 29 3" xfId="881"/>
    <cellStyle name="Normal 29 4" xfId="882"/>
    <cellStyle name="Normal 3" xfId="423"/>
    <cellStyle name="Normal 3 2" xfId="424"/>
    <cellStyle name="Normal 3 2 2" xfId="425"/>
    <cellStyle name="Normal 3 2 2 2" xfId="883"/>
    <cellStyle name="Normal 3 2 2 2 2" xfId="1116"/>
    <cellStyle name="Normal 3 2 2 2 3" xfId="1184"/>
    <cellStyle name="Normal 3 2 3" xfId="884"/>
    <cellStyle name="Normal 3 2 3 2" xfId="1117"/>
    <cellStyle name="Normal 3 3" xfId="426"/>
    <cellStyle name="Normal 3 3 2" xfId="427"/>
    <cellStyle name="Normal 3 3 2 2" xfId="1118"/>
    <cellStyle name="Normal 3 3 3" xfId="428"/>
    <cellStyle name="Normal 3 3 4" xfId="885"/>
    <cellStyle name="Normal 3 4" xfId="429"/>
    <cellStyle name="Normal 3 4 2" xfId="1119"/>
    <cellStyle name="Normal 3_2012 PR" xfId="430"/>
    <cellStyle name="Normal 30" xfId="431"/>
    <cellStyle name="Normal 30 2" xfId="886"/>
    <cellStyle name="Normal 30 3" xfId="887"/>
    <cellStyle name="Normal 30 4" xfId="888"/>
    <cellStyle name="Normal 31" xfId="432"/>
    <cellStyle name="Normal 31 2" xfId="433"/>
    <cellStyle name="Normal 31 2 2" xfId="889"/>
    <cellStyle name="Normal 31 2 2 2" xfId="1120"/>
    <cellStyle name="Normal 31 2 2 3" xfId="1170"/>
    <cellStyle name="Normal 31 2 3" xfId="1258"/>
    <cellStyle name="Normal 31 3" xfId="434"/>
    <cellStyle name="Normal 31 3 2" xfId="890"/>
    <cellStyle name="Normal 31 3 3" xfId="1121"/>
    <cellStyle name="Normal 31 4" xfId="891"/>
    <cellStyle name="Normal 31 4 2" xfId="1122"/>
    <cellStyle name="Normal 31 4 3" xfId="1185"/>
    <cellStyle name="Normal 32" xfId="435"/>
    <cellStyle name="Normal 32 2" xfId="436"/>
    <cellStyle name="Normal 32 2 2" xfId="892"/>
    <cellStyle name="Normal 32 2 2 2" xfId="1259"/>
    <cellStyle name="Normal 32 2 3" xfId="1260"/>
    <cellStyle name="Normal 32 3" xfId="893"/>
    <cellStyle name="Normal 32 3 2" xfId="1123"/>
    <cellStyle name="Normal 32 3 3" xfId="1186"/>
    <cellStyle name="Normal 32 4" xfId="894"/>
    <cellStyle name="Normal 32 4 2" xfId="1124"/>
    <cellStyle name="Normal 32 4 3" xfId="1187"/>
    <cellStyle name="Normal 33" xfId="437"/>
    <cellStyle name="Normal 33 2" xfId="895"/>
    <cellStyle name="Normal 33 3" xfId="896"/>
    <cellStyle name="Normal 34" xfId="438"/>
    <cellStyle name="Normal 34 2" xfId="897"/>
    <cellStyle name="Normal 34 3" xfId="898"/>
    <cellStyle name="Normal 35" xfId="439"/>
    <cellStyle name="Normal 35 2" xfId="899"/>
    <cellStyle name="Normal 35 2 2" xfId="1125"/>
    <cellStyle name="Normal 35 2 3" xfId="1188"/>
    <cellStyle name="Normal 35 3" xfId="900"/>
    <cellStyle name="Normal 35 3 2" xfId="1126"/>
    <cellStyle name="Normal 35 3 3" xfId="1189"/>
    <cellStyle name="Normal 36" xfId="440"/>
    <cellStyle name="Normal 36 2" xfId="901"/>
    <cellStyle name="Normal 36 2 2" xfId="1127"/>
    <cellStyle name="Normal 36 2 3" xfId="1190"/>
    <cellStyle name="Normal 36 3" xfId="902"/>
    <cellStyle name="Normal 37" xfId="441"/>
    <cellStyle name="Normal 37 2" xfId="903"/>
    <cellStyle name="Normal 37 2 2" xfId="1128"/>
    <cellStyle name="Normal 37 2 3" xfId="1191"/>
    <cellStyle name="Normal 37 3" xfId="904"/>
    <cellStyle name="Normal 38" xfId="442"/>
    <cellStyle name="Normal 38 2" xfId="905"/>
    <cellStyle name="Normal 38 2 2" xfId="1129"/>
    <cellStyle name="Normal 38 2 3" xfId="1192"/>
    <cellStyle name="Normal 38 3" xfId="906"/>
    <cellStyle name="Normal 39" xfId="443"/>
    <cellStyle name="Normal 39 2" xfId="907"/>
    <cellStyle name="Normal 39 2 2" xfId="1130"/>
    <cellStyle name="Normal 39 2 3" xfId="1193"/>
    <cellStyle name="Normal 39 3" xfId="908"/>
    <cellStyle name="Normal 4" xfId="444"/>
    <cellStyle name="Normal 4 2" xfId="445"/>
    <cellStyle name="Normal 4 2 2" xfId="446"/>
    <cellStyle name="Normal 4 2 2 2" xfId="1131"/>
    <cellStyle name="Normal 4 2 3" xfId="447"/>
    <cellStyle name="Normal 4 2 4" xfId="909"/>
    <cellStyle name="Normal 4 3" xfId="448"/>
    <cellStyle name="Normal 4 3 2" xfId="449"/>
    <cellStyle name="Normal 4 3 2 2" xfId="1132"/>
    <cellStyle name="Normal 4 3 3" xfId="450"/>
    <cellStyle name="Normal 4 4" xfId="451"/>
    <cellStyle name="Normal 4 4 2" xfId="1133"/>
    <cellStyle name="Normal 4 5" xfId="452"/>
    <cellStyle name="Normal 4_B&amp;O Taxes" xfId="1134"/>
    <cellStyle name="Normal 40" xfId="453"/>
    <cellStyle name="Normal 40 2" xfId="910"/>
    <cellStyle name="Normal 40 2 2" xfId="1135"/>
    <cellStyle name="Normal 40 2 3" xfId="1194"/>
    <cellStyle name="Normal 40 3" xfId="911"/>
    <cellStyle name="Normal 41" xfId="454"/>
    <cellStyle name="Normal 41 2" xfId="912"/>
    <cellStyle name="Normal 41 2 2" xfId="1136"/>
    <cellStyle name="Normal 41 2 3" xfId="1195"/>
    <cellStyle name="Normal 41 3" xfId="913"/>
    <cellStyle name="Normal 42" xfId="455"/>
    <cellStyle name="Normal 42 2" xfId="914"/>
    <cellStyle name="Normal 42 3" xfId="915"/>
    <cellStyle name="Normal 43" xfId="456"/>
    <cellStyle name="Normal 43 2" xfId="916"/>
    <cellStyle name="Normal 43 3" xfId="917"/>
    <cellStyle name="Normal 44" xfId="457"/>
    <cellStyle name="Normal 44 2" xfId="918"/>
    <cellStyle name="Normal 44 2 2" xfId="1137"/>
    <cellStyle name="Normal 44 2 3" xfId="1196"/>
    <cellStyle name="Normal 44 3" xfId="919"/>
    <cellStyle name="Normal 45" xfId="458"/>
    <cellStyle name="Normal 45 2" xfId="920"/>
    <cellStyle name="Normal 45 3" xfId="921"/>
    <cellStyle name="Normal 46" xfId="459"/>
    <cellStyle name="Normal 46 2" xfId="922"/>
    <cellStyle name="Normal 46 3" xfId="923"/>
    <cellStyle name="Normal 47" xfId="460"/>
    <cellStyle name="Normal 47 2" xfId="924"/>
    <cellStyle name="Normal 47 3" xfId="925"/>
    <cellStyle name="Normal 48" xfId="461"/>
    <cellStyle name="Normal 48 2" xfId="926"/>
    <cellStyle name="Normal 48 3" xfId="927"/>
    <cellStyle name="Normal 49" xfId="462"/>
    <cellStyle name="Normal 49 2" xfId="928"/>
    <cellStyle name="Normal 49 3" xfId="929"/>
    <cellStyle name="Normal 5" xfId="463"/>
    <cellStyle name="Normal 5 2" xfId="464"/>
    <cellStyle name="Normal 5 2 2" xfId="465"/>
    <cellStyle name="Normal 5 2 2 2" xfId="930"/>
    <cellStyle name="Normal 5 2 2 2 2" xfId="1261"/>
    <cellStyle name="Normal 5 2 2 3" xfId="1262"/>
    <cellStyle name="Normal 5 2 3" xfId="931"/>
    <cellStyle name="Normal 5 2 3 2" xfId="1263"/>
    <cellStyle name="Normal 5 2 4" xfId="1264"/>
    <cellStyle name="Normal 5 3" xfId="466"/>
    <cellStyle name="Normal 5 3 2" xfId="932"/>
    <cellStyle name="Normal 5 3 2 2" xfId="1265"/>
    <cellStyle name="Normal 5 3 3" xfId="1266"/>
    <cellStyle name="Normal 5 4" xfId="467"/>
    <cellStyle name="Normal 5 4 2" xfId="933"/>
    <cellStyle name="Normal 5 5" xfId="468"/>
    <cellStyle name="Normal 5_2112 DF Schedule" xfId="469"/>
    <cellStyle name="Normal 50" xfId="470"/>
    <cellStyle name="Normal 50 2" xfId="934"/>
    <cellStyle name="Normal 50 3" xfId="935"/>
    <cellStyle name="Normal 51" xfId="471"/>
    <cellStyle name="Normal 51 2" xfId="936"/>
    <cellStyle name="Normal 51 3" xfId="937"/>
    <cellStyle name="Normal 52" xfId="472"/>
    <cellStyle name="Normal 52 2" xfId="938"/>
    <cellStyle name="Normal 52 3" xfId="939"/>
    <cellStyle name="Normal 53" xfId="473"/>
    <cellStyle name="Normal 53 2" xfId="940"/>
    <cellStyle name="Normal 53 3" xfId="941"/>
    <cellStyle name="Normal 54" xfId="474"/>
    <cellStyle name="Normal 54 2" xfId="942"/>
    <cellStyle name="Normal 54 3" xfId="943"/>
    <cellStyle name="Normal 55" xfId="475"/>
    <cellStyle name="Normal 55 2" xfId="944"/>
    <cellStyle name="Normal 55 3" xfId="945"/>
    <cellStyle name="Normal 56" xfId="476"/>
    <cellStyle name="Normal 56 2" xfId="946"/>
    <cellStyle name="Normal 56 3" xfId="947"/>
    <cellStyle name="Normal 57" xfId="477"/>
    <cellStyle name="Normal 57 2" xfId="948"/>
    <cellStyle name="Normal 57 3" xfId="949"/>
    <cellStyle name="Normal 58" xfId="478"/>
    <cellStyle name="Normal 58 2" xfId="950"/>
    <cellStyle name="Normal 58 3" xfId="951"/>
    <cellStyle name="Normal 59" xfId="479"/>
    <cellStyle name="Normal 59 2" xfId="952"/>
    <cellStyle name="Normal 59 3" xfId="953"/>
    <cellStyle name="Normal 6" xfId="480"/>
    <cellStyle name="Normal 6 2" xfId="481"/>
    <cellStyle name="Normal 6 2 2" xfId="482"/>
    <cellStyle name="Normal 6 2 2 2" xfId="954"/>
    <cellStyle name="Normal 6 2 2 2 2" xfId="1138"/>
    <cellStyle name="Normal 6 2 2 2 3" xfId="1171"/>
    <cellStyle name="Normal 6 2 2 3" xfId="1267"/>
    <cellStyle name="Normal 6 2 3" xfId="483"/>
    <cellStyle name="Normal 6 2 3 2" xfId="1139"/>
    <cellStyle name="Normal 6 2 4" xfId="1268"/>
    <cellStyle name="Normal 6 3" xfId="484"/>
    <cellStyle name="Normal 6 3 2" xfId="955"/>
    <cellStyle name="Normal 6 3 2 2" xfId="1269"/>
    <cellStyle name="Normal 6 3 3" xfId="1270"/>
    <cellStyle name="Normal 6 4" xfId="956"/>
    <cellStyle name="Normal 6 4 2" xfId="957"/>
    <cellStyle name="Normal 6 5" xfId="958"/>
    <cellStyle name="Normal 60" xfId="485"/>
    <cellStyle name="Normal 60 2" xfId="959"/>
    <cellStyle name="Normal 60 3" xfId="960"/>
    <cellStyle name="Normal 61" xfId="486"/>
    <cellStyle name="Normal 61 2" xfId="961"/>
    <cellStyle name="Normal 61 3" xfId="962"/>
    <cellStyle name="Normal 62" xfId="487"/>
    <cellStyle name="Normal 62 2" xfId="963"/>
    <cellStyle name="Normal 62 3" xfId="964"/>
    <cellStyle name="Normal 63" xfId="488"/>
    <cellStyle name="Normal 63 2" xfId="965"/>
    <cellStyle name="Normal 63 3" xfId="966"/>
    <cellStyle name="Normal 64" xfId="489"/>
    <cellStyle name="Normal 64 2" xfId="967"/>
    <cellStyle name="Normal 64 3" xfId="968"/>
    <cellStyle name="Normal 65" xfId="490"/>
    <cellStyle name="Normal 65 2" xfId="969"/>
    <cellStyle name="Normal 65 3" xfId="970"/>
    <cellStyle name="Normal 66" xfId="491"/>
    <cellStyle name="Normal 66 2" xfId="971"/>
    <cellStyle name="Normal 66 3" xfId="972"/>
    <cellStyle name="Normal 67" xfId="492"/>
    <cellStyle name="Normal 67 2" xfId="973"/>
    <cellStyle name="Normal 67 3" xfId="974"/>
    <cellStyle name="Normal 68" xfId="493"/>
    <cellStyle name="Normal 68 2" xfId="975"/>
    <cellStyle name="Normal 68 3" xfId="976"/>
    <cellStyle name="Normal 69" xfId="494"/>
    <cellStyle name="Normal 69 2" xfId="977"/>
    <cellStyle name="Normal 69 3" xfId="978"/>
    <cellStyle name="Normal 7" xfId="495"/>
    <cellStyle name="Normal 7 2" xfId="496"/>
    <cellStyle name="Normal 7 2 2" xfId="497"/>
    <cellStyle name="Normal 7 2 2 2" xfId="498"/>
    <cellStyle name="Normal 7 2 2 2 2" xfId="979"/>
    <cellStyle name="Normal 7 2 2 2 2 2" xfId="1271"/>
    <cellStyle name="Normal 7 2 2 2 3" xfId="1272"/>
    <cellStyle name="Normal 7 2 2 3" xfId="980"/>
    <cellStyle name="Normal 7 2 2 3 2" xfId="1140"/>
    <cellStyle name="Normal 7 2 2 3 3" xfId="1172"/>
    <cellStyle name="Normal 7 2 2 4" xfId="1273"/>
    <cellStyle name="Normal 7 2 3" xfId="499"/>
    <cellStyle name="Normal 7 2 3 2" xfId="981"/>
    <cellStyle name="Normal 7 2 3 2 2" xfId="1274"/>
    <cellStyle name="Normal 7 2 3 3" xfId="1275"/>
    <cellStyle name="Normal 7 2 4" xfId="982"/>
    <cellStyle name="Normal 7 2 4 2" xfId="983"/>
    <cellStyle name="Normal 7 2 5" xfId="984"/>
    <cellStyle name="Normal 7 3" xfId="500"/>
    <cellStyle name="Normal 7 3 2" xfId="501"/>
    <cellStyle name="Normal 7 3 2 2" xfId="985"/>
    <cellStyle name="Normal 7 3 2 2 2" xfId="1276"/>
    <cellStyle name="Normal 7 3 2 3" xfId="1277"/>
    <cellStyle name="Normal 7 3 3" xfId="986"/>
    <cellStyle name="Normal 7 3 3 2" xfId="1278"/>
    <cellStyle name="Normal 7 3 4" xfId="1279"/>
    <cellStyle name="Normal 7 4" xfId="502"/>
    <cellStyle name="Normal 7 4 2" xfId="987"/>
    <cellStyle name="Normal 7 4 2 2" xfId="1280"/>
    <cellStyle name="Normal 7 4 3" xfId="1281"/>
    <cellStyle name="Normal 7 5" xfId="988"/>
    <cellStyle name="Normal 7 5 2" xfId="989"/>
    <cellStyle name="Normal 7 6" xfId="990"/>
    <cellStyle name="Normal 70" xfId="503"/>
    <cellStyle name="Normal 70 2" xfId="991"/>
    <cellStyle name="Normal 70 3" xfId="992"/>
    <cellStyle name="Normal 71" xfId="504"/>
    <cellStyle name="Normal 72" xfId="505"/>
    <cellStyle name="Normal 73" xfId="506"/>
    <cellStyle name="Normal 74" xfId="507"/>
    <cellStyle name="Normal 75" xfId="508"/>
    <cellStyle name="Normal 76" xfId="509"/>
    <cellStyle name="Normal 77" xfId="510"/>
    <cellStyle name="Normal 78" xfId="511"/>
    <cellStyle name="Normal 79" xfId="512"/>
    <cellStyle name="Normal 8" xfId="513"/>
    <cellStyle name="Normal 8 2" xfId="514"/>
    <cellStyle name="Normal 8 2 2" xfId="515"/>
    <cellStyle name="Normal 8 2 2 2" xfId="993"/>
    <cellStyle name="Normal 8 2 2 2 2" xfId="1141"/>
    <cellStyle name="Normal 8 2 2 2 3" xfId="1173"/>
    <cellStyle name="Normal 8 2 2 3" xfId="1282"/>
    <cellStyle name="Normal 8 2 3" xfId="516"/>
    <cellStyle name="Normal 8 2 3 2" xfId="1142"/>
    <cellStyle name="Normal 8 2 4" xfId="1283"/>
    <cellStyle name="Normal 8 3" xfId="517"/>
    <cellStyle name="Normal 8 3 2" xfId="994"/>
    <cellStyle name="Normal 8 3 2 2" xfId="1284"/>
    <cellStyle name="Normal 8 3 3" xfId="1285"/>
    <cellStyle name="Normal 8 4" xfId="518"/>
    <cellStyle name="Normal 8 4 2" xfId="995"/>
    <cellStyle name="Normal 8 5" xfId="996"/>
    <cellStyle name="Normal 80" xfId="519"/>
    <cellStyle name="Normal 81" xfId="520"/>
    <cellStyle name="Normal 82" xfId="521"/>
    <cellStyle name="Normal 83" xfId="522"/>
    <cellStyle name="Normal 84" xfId="523"/>
    <cellStyle name="Normal 84 2" xfId="524"/>
    <cellStyle name="Normal 84 3" xfId="525"/>
    <cellStyle name="Normal 85" xfId="526"/>
    <cellStyle name="Normal 85 2" xfId="527"/>
    <cellStyle name="Normal 85 2 2" xfId="1143"/>
    <cellStyle name="Normal 85 3" xfId="528"/>
    <cellStyle name="Normal 86" xfId="529"/>
    <cellStyle name="Normal 86 2" xfId="997"/>
    <cellStyle name="Normal 86 3" xfId="1144"/>
    <cellStyle name="Normal 87" xfId="530"/>
    <cellStyle name="Normal 87 2" xfId="1145"/>
    <cellStyle name="Normal 88" xfId="531"/>
    <cellStyle name="Normal 88 2" xfId="1146"/>
    <cellStyle name="Normal 89" xfId="532"/>
    <cellStyle name="Normal 9" xfId="533"/>
    <cellStyle name="Normal 9 2" xfId="534"/>
    <cellStyle name="Normal 9 2 2" xfId="535"/>
    <cellStyle name="Normal 9 2 2 2" xfId="998"/>
    <cellStyle name="Normal 9 2 2 2 2" xfId="1147"/>
    <cellStyle name="Normal 9 2 2 2 3" xfId="1174"/>
    <cellStyle name="Normal 9 2 2 3" xfId="1286"/>
    <cellStyle name="Normal 9 2 3" xfId="536"/>
    <cellStyle name="Normal 9 2 3 2" xfId="1148"/>
    <cellStyle name="Normal 9 2 4" xfId="1287"/>
    <cellStyle name="Normal 9 3" xfId="537"/>
    <cellStyle name="Normal 9 3 2" xfId="999"/>
    <cellStyle name="Normal 9 3 2 2" xfId="1288"/>
    <cellStyle name="Normal 9 3 3" xfId="1289"/>
    <cellStyle name="Normal 9 4" xfId="1000"/>
    <cellStyle name="Normal 9 4 2" xfId="1001"/>
    <cellStyle name="Normal 9 5" xfId="1002"/>
    <cellStyle name="Normal 90" xfId="538"/>
    <cellStyle name="Normal 91" xfId="539"/>
    <cellStyle name="Normal 92" xfId="540"/>
    <cellStyle name="Normal 92 2" xfId="1003"/>
    <cellStyle name="Normal 93" xfId="541"/>
    <cellStyle name="Normal 93 2" xfId="1004"/>
    <cellStyle name="Normal 94" xfId="542"/>
    <cellStyle name="Normal 94 2" xfId="1005"/>
    <cellStyle name="Normal 95" xfId="543"/>
    <cellStyle name="Normal 95 2" xfId="1006"/>
    <cellStyle name="Normal 96" xfId="544"/>
    <cellStyle name="Normal 96 2" xfId="1007"/>
    <cellStyle name="Normal 97" xfId="545"/>
    <cellStyle name="Normal 97 2" xfId="1008"/>
    <cellStyle name="Normal 98" xfId="546"/>
    <cellStyle name="Normal 98 2" xfId="1009"/>
    <cellStyle name="Normal 99" xfId="547"/>
    <cellStyle name="Normal 99 2" xfId="1010"/>
    <cellStyle name="Normal_Book2" xfId="628"/>
    <cellStyle name="Normal_Book3" xfId="632"/>
    <cellStyle name="Normal_Island Time Study 2012 4-23-2012" xfId="629"/>
    <cellStyle name="Normal_M-A DF Calculation 3-1-2013-Final" xfId="633"/>
    <cellStyle name="Normal_Pro Forma Pacific Disposal Roland Heather checked 7-26" xfId="634"/>
    <cellStyle name="Normal_Proforma" xfId="5"/>
    <cellStyle name="Normal_Proforma Yakima" xfId="630"/>
    <cellStyle name="Normal_Regulated Price Out 9-6-2011 Final HL" xfId="1159"/>
    <cellStyle name="Normal_Report" xfId="627"/>
    <cellStyle name="Normal_Sheet1" xfId="1011"/>
    <cellStyle name="Normal_Sheet1 2" xfId="1160"/>
    <cellStyle name="Normal_Sheet1_1" xfId="1035"/>
    <cellStyle name="Normal_TheTool_Jeff_v5" xfId="1161"/>
    <cellStyle name="Normal_TheTool_Jeff_v5 2" xfId="7"/>
    <cellStyle name="Note 2" xfId="548"/>
    <cellStyle name="Note 2 2" xfId="549"/>
    <cellStyle name="Note 2 3" xfId="550"/>
    <cellStyle name="Note 2 4" xfId="1012"/>
    <cellStyle name="Note 3" xfId="551"/>
    <cellStyle name="Note 3 2" xfId="552"/>
    <cellStyle name="Note 3 3" xfId="553"/>
    <cellStyle name="Note 3 4" xfId="1013"/>
    <cellStyle name="Note 4" xfId="554"/>
    <cellStyle name="Note 4 2" xfId="1014"/>
    <cellStyle name="Note 5" xfId="1015"/>
    <cellStyle name="Notes" xfId="555"/>
    <cellStyle name="Output 2" xfId="556"/>
    <cellStyle name="Output 2 2" xfId="1016"/>
    <cellStyle name="Output 2 2 2" xfId="1149"/>
    <cellStyle name="Output 2 3" xfId="1017"/>
    <cellStyle name="Output 3" xfId="557"/>
    <cellStyle name="Output 3 2" xfId="558"/>
    <cellStyle name="Output 4" xfId="1018"/>
    <cellStyle name="Percent" xfId="3" builtinId="5"/>
    <cellStyle name="Percent 10" xfId="559"/>
    <cellStyle name="Percent 10 2" xfId="1019"/>
    <cellStyle name="Percent 10 3" xfId="1150"/>
    <cellStyle name="Percent 2" xfId="560"/>
    <cellStyle name="Percent 2 2" xfId="561"/>
    <cellStyle name="Percent 2 2 2" xfId="562"/>
    <cellStyle name="Percent 2 2 3" xfId="563"/>
    <cellStyle name="Percent 2 3" xfId="564"/>
    <cellStyle name="Percent 2 4" xfId="565"/>
    <cellStyle name="Percent 2 6" xfId="566"/>
    <cellStyle name="Percent 3" xfId="567"/>
    <cellStyle name="Percent 3 2" xfId="568"/>
    <cellStyle name="Percent 3 2 2" xfId="569"/>
    <cellStyle name="Percent 3 2 2 2" xfId="1020"/>
    <cellStyle name="Percent 3 2 2 2 2" xfId="1290"/>
    <cellStyle name="Percent 3 2 2 3" xfId="1291"/>
    <cellStyle name="Percent 3 2 3" xfId="1021"/>
    <cellStyle name="Percent 3 2 3 2" xfId="1292"/>
    <cellStyle name="Percent 3 2 4" xfId="1293"/>
    <cellStyle name="Percent 3 3" xfId="570"/>
    <cellStyle name="Percent 3 3 2" xfId="1022"/>
    <cellStyle name="Percent 3 3 2 2" xfId="1294"/>
    <cellStyle name="Percent 3 3 3" xfId="1295"/>
    <cellStyle name="Percent 3 4" xfId="1023"/>
    <cellStyle name="Percent 3 4 2" xfId="1024"/>
    <cellStyle name="Percent 3 5" xfId="1025"/>
    <cellStyle name="Percent 3 5 2" xfId="1151"/>
    <cellStyle name="Percent 3 5 3" xfId="1197"/>
    <cellStyle name="Percent 3 6" xfId="1296"/>
    <cellStyle name="Percent 4" xfId="571"/>
    <cellStyle name="Percent 4 2" xfId="572"/>
    <cellStyle name="Percent 4 3" xfId="573"/>
    <cellStyle name="Percent 4 4" xfId="574"/>
    <cellStyle name="Percent 4 4 2" xfId="1026"/>
    <cellStyle name="Percent 4 4 2 2" xfId="1152"/>
    <cellStyle name="Percent 4 4 2 3" xfId="1175"/>
    <cellStyle name="Percent 5" xfId="8"/>
    <cellStyle name="Percent 5 2" xfId="575"/>
    <cellStyle name="Percent 5 2 2" xfId="576"/>
    <cellStyle name="Percent 5 2 2 2" xfId="1297"/>
    <cellStyle name="Percent 5 2 3" xfId="1298"/>
    <cellStyle name="Percent 5 3" xfId="577"/>
    <cellStyle name="Percent 5 3 2" xfId="1299"/>
    <cellStyle name="Percent 5 4" xfId="578"/>
    <cellStyle name="Percent 5 4 2" xfId="1153"/>
    <cellStyle name="Percent 6" xfId="579"/>
    <cellStyle name="Percent 6 2" xfId="580"/>
    <cellStyle name="Percent 6 2 2" xfId="1154"/>
    <cellStyle name="Percent 6 3" xfId="1155"/>
    <cellStyle name="Percent 7" xfId="581"/>
    <cellStyle name="Percent 7 2" xfId="582"/>
    <cellStyle name="Percent 7 2 2" xfId="1156"/>
    <cellStyle name="Percent 7 3" xfId="583"/>
    <cellStyle name="Percent 7 4" xfId="1301"/>
    <cellStyle name="Percent 8" xfId="584"/>
    <cellStyle name="Percent 8 2" xfId="1300"/>
    <cellStyle name="Percent 9" xfId="585"/>
    <cellStyle name="Percent 9 2" xfId="1027"/>
    <cellStyle name="Percent 9 3" xfId="1157"/>
    <cellStyle name="Percent(1)" xfId="586"/>
    <cellStyle name="Percent(2)" xfId="587"/>
    <cellStyle name="Posting_Period" xfId="588"/>
    <cellStyle name="PRM" xfId="589"/>
    <cellStyle name="PRM 2" xfId="590"/>
    <cellStyle name="PRM 3" xfId="591"/>
    <cellStyle name="PRM_2011-11" xfId="592"/>
    <cellStyle name="PS_Comma" xfId="593"/>
    <cellStyle name="PSChar" xfId="594"/>
    <cellStyle name="PSDate" xfId="595"/>
    <cellStyle name="PSDec" xfId="596"/>
    <cellStyle name="PSHeading" xfId="597"/>
    <cellStyle name="PSInt" xfId="598"/>
    <cellStyle name="PSSpacer" xfId="599"/>
    <cellStyle name="STYL0 - Style1" xfId="600"/>
    <cellStyle name="STYL1 - Style2" xfId="601"/>
    <cellStyle name="STYL2 - Style3" xfId="602"/>
    <cellStyle name="STYL3 - Style4" xfId="603"/>
    <cellStyle name="STYL4 - Style5" xfId="604"/>
    <cellStyle name="STYL5 - Style6" xfId="605"/>
    <cellStyle name="STYL6 - Style7" xfId="606"/>
    <cellStyle name="STYL7 - Style8" xfId="607"/>
    <cellStyle name="Style 1" xfId="608"/>
    <cellStyle name="Style 1 2" xfId="609"/>
    <cellStyle name="STYLE1" xfId="610"/>
    <cellStyle name="STYLE1 2" xfId="1028"/>
    <cellStyle name="sub heading" xfId="611"/>
    <cellStyle name="Tax_Rate" xfId="612"/>
    <cellStyle name="Title 2" xfId="613"/>
    <cellStyle name="Title 2 2" xfId="1029"/>
    <cellStyle name="Title 2 2 2" xfId="1158"/>
    <cellStyle name="Title 2 3" xfId="1030"/>
    <cellStyle name="Title 3" xfId="614"/>
    <cellStyle name="Title 3 2" xfId="615"/>
    <cellStyle name="Title 4" xfId="1031"/>
    <cellStyle name="Total 2" xfId="616"/>
    <cellStyle name="Total 2 2" xfId="617"/>
    <cellStyle name="Total 2 3" xfId="618"/>
    <cellStyle name="Total 2 4" xfId="1032"/>
    <cellStyle name="Total 3" xfId="619"/>
    <cellStyle name="Total 3 2" xfId="620"/>
    <cellStyle name="Total 3 3" xfId="621"/>
    <cellStyle name="Total 4" xfId="622"/>
    <cellStyle name="Total 4 2" xfId="1033"/>
    <cellStyle name="Transcript_Date" xfId="623"/>
    <cellStyle name="Warning Text 2" xfId="624"/>
    <cellStyle name="Warning Text 3" xfId="625"/>
    <cellStyle name="Warning Text 4" xfId="1034"/>
    <cellStyle name="WM_STANDARD" xfId="626"/>
  </cellStyles>
  <dxfs count="4">
    <dxf>
      <fill>
        <patternFill patternType="solid">
          <fgColor rgb="FFE4DFEC"/>
          <bgColor rgb="FF000000"/>
        </patternFill>
      </fill>
    </dxf>
    <dxf>
      <font>
        <color rgb="FF9C0006"/>
      </font>
      <fill>
        <patternFill>
          <bgColor rgb="FFFFC7CE"/>
        </patternFill>
      </fill>
    </dxf>
    <dxf>
      <fill>
        <patternFill>
          <bgColor rgb="FF92D050"/>
        </patternFill>
      </fill>
    </dxf>
    <dxf>
      <fill>
        <patternFill>
          <bgColor rgb="FFFF0000"/>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xml"/><Relationship Id="rId21" Type="http://schemas.openxmlformats.org/officeDocument/2006/relationships/worksheet" Target="worksheets/sheet21.xml"/><Relationship Id="rId42" Type="http://schemas.openxmlformats.org/officeDocument/2006/relationships/externalLink" Target="externalLinks/externalLink18.xml"/><Relationship Id="rId47" Type="http://schemas.openxmlformats.org/officeDocument/2006/relationships/externalLink" Target="externalLinks/externalLink23.xml"/><Relationship Id="rId63" Type="http://schemas.openxmlformats.org/officeDocument/2006/relationships/externalLink" Target="externalLinks/externalLink39.xml"/><Relationship Id="rId68" Type="http://schemas.openxmlformats.org/officeDocument/2006/relationships/externalLink" Target="externalLinks/externalLink4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53" Type="http://schemas.openxmlformats.org/officeDocument/2006/relationships/externalLink" Target="externalLinks/externalLink29.xml"/><Relationship Id="rId58" Type="http://schemas.openxmlformats.org/officeDocument/2006/relationships/externalLink" Target="externalLinks/externalLink34.xml"/><Relationship Id="rId74" Type="http://schemas.openxmlformats.org/officeDocument/2006/relationships/theme" Target="theme/theme1.xml"/><Relationship Id="rId79"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externalLink" Target="externalLinks/externalLink3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43" Type="http://schemas.openxmlformats.org/officeDocument/2006/relationships/externalLink" Target="externalLinks/externalLink19.xml"/><Relationship Id="rId48" Type="http://schemas.openxmlformats.org/officeDocument/2006/relationships/externalLink" Target="externalLinks/externalLink24.xml"/><Relationship Id="rId56" Type="http://schemas.openxmlformats.org/officeDocument/2006/relationships/externalLink" Target="externalLinks/externalLink32.xml"/><Relationship Id="rId64" Type="http://schemas.openxmlformats.org/officeDocument/2006/relationships/externalLink" Target="externalLinks/externalLink40.xml"/><Relationship Id="rId69" Type="http://schemas.openxmlformats.org/officeDocument/2006/relationships/externalLink" Target="externalLinks/externalLink45.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7.xml"/><Relationship Id="rId72" Type="http://schemas.openxmlformats.org/officeDocument/2006/relationships/externalLink" Target="externalLinks/externalLink48.xml"/><Relationship Id="rId80"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externalLink" Target="externalLinks/externalLink14.xml"/><Relationship Id="rId46" Type="http://schemas.openxmlformats.org/officeDocument/2006/relationships/externalLink" Target="externalLinks/externalLink22.xml"/><Relationship Id="rId59" Type="http://schemas.openxmlformats.org/officeDocument/2006/relationships/externalLink" Target="externalLinks/externalLink35.xml"/><Relationship Id="rId67" Type="http://schemas.openxmlformats.org/officeDocument/2006/relationships/externalLink" Target="externalLinks/externalLink43.xml"/><Relationship Id="rId20" Type="http://schemas.openxmlformats.org/officeDocument/2006/relationships/worksheet" Target="worksheets/sheet20.xml"/><Relationship Id="rId41" Type="http://schemas.openxmlformats.org/officeDocument/2006/relationships/externalLink" Target="externalLinks/externalLink17.xml"/><Relationship Id="rId54" Type="http://schemas.openxmlformats.org/officeDocument/2006/relationships/externalLink" Target="externalLinks/externalLink30.xml"/><Relationship Id="rId62" Type="http://schemas.openxmlformats.org/officeDocument/2006/relationships/externalLink" Target="externalLinks/externalLink38.xml"/><Relationship Id="rId70" Type="http://schemas.openxmlformats.org/officeDocument/2006/relationships/externalLink" Target="externalLinks/externalLink46.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49" Type="http://schemas.openxmlformats.org/officeDocument/2006/relationships/externalLink" Target="externalLinks/externalLink25.xml"/><Relationship Id="rId57" Type="http://schemas.openxmlformats.org/officeDocument/2006/relationships/externalLink" Target="externalLinks/externalLink33.xml"/><Relationship Id="rId10" Type="http://schemas.openxmlformats.org/officeDocument/2006/relationships/worksheet" Target="worksheets/sheet10.xml"/><Relationship Id="rId31" Type="http://schemas.openxmlformats.org/officeDocument/2006/relationships/externalLink" Target="externalLinks/externalLink7.xml"/><Relationship Id="rId44" Type="http://schemas.openxmlformats.org/officeDocument/2006/relationships/externalLink" Target="externalLinks/externalLink20.xml"/><Relationship Id="rId52" Type="http://schemas.openxmlformats.org/officeDocument/2006/relationships/externalLink" Target="externalLinks/externalLink28.xml"/><Relationship Id="rId60" Type="http://schemas.openxmlformats.org/officeDocument/2006/relationships/externalLink" Target="externalLinks/externalLink36.xml"/><Relationship Id="rId65" Type="http://schemas.openxmlformats.org/officeDocument/2006/relationships/externalLink" Target="externalLinks/externalLink41.xml"/><Relationship Id="rId73" Type="http://schemas.openxmlformats.org/officeDocument/2006/relationships/externalLink" Target="externalLinks/externalLink49.xml"/><Relationship Id="rId78" Type="http://schemas.openxmlformats.org/officeDocument/2006/relationships/customXml" Target="../customXml/item1.xml"/><Relationship Id="rId8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5.xml"/><Relationship Id="rId34" Type="http://schemas.openxmlformats.org/officeDocument/2006/relationships/externalLink" Target="externalLinks/externalLink10.xml"/><Relationship Id="rId50" Type="http://schemas.openxmlformats.org/officeDocument/2006/relationships/externalLink" Target="externalLinks/externalLink26.xml"/><Relationship Id="rId55" Type="http://schemas.openxmlformats.org/officeDocument/2006/relationships/externalLink" Target="externalLinks/externalLink31.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47.xml"/><Relationship Id="rId2" Type="http://schemas.openxmlformats.org/officeDocument/2006/relationships/worksheet" Target="worksheets/sheet2.xml"/><Relationship Id="rId29" Type="http://schemas.openxmlformats.org/officeDocument/2006/relationships/externalLink" Target="externalLinks/externalLink5.xml"/><Relationship Id="rId24" Type="http://schemas.openxmlformats.org/officeDocument/2006/relationships/worksheet" Target="worksheets/sheet24.xml"/><Relationship Id="rId40" Type="http://schemas.openxmlformats.org/officeDocument/2006/relationships/externalLink" Target="externalLinks/externalLink16.xml"/><Relationship Id="rId45" Type="http://schemas.openxmlformats.org/officeDocument/2006/relationships/externalLink" Target="externalLinks/externalLink21.xml"/><Relationship Id="rId66" Type="http://schemas.openxmlformats.org/officeDocument/2006/relationships/externalLink" Target="externalLinks/externalLink42.xml"/></Relationships>
</file>

<file path=xl/drawings/drawing1.xml><?xml version="1.0" encoding="utf-8"?>
<xdr:wsDr xmlns:xdr="http://schemas.openxmlformats.org/drawingml/2006/spreadsheetDrawing" xmlns:a="http://schemas.openxmlformats.org/drawingml/2006/main">
  <xdr:twoCellAnchor>
    <xdr:from>
      <xdr:col>32</xdr:col>
      <xdr:colOff>185057</xdr:colOff>
      <xdr:row>14</xdr:row>
      <xdr:rowOff>88448</xdr:rowOff>
    </xdr:from>
    <xdr:to>
      <xdr:col>35</xdr:col>
      <xdr:colOff>312964</xdr:colOff>
      <xdr:row>24</xdr:row>
      <xdr:rowOff>68036</xdr:rowOff>
    </xdr:to>
    <xdr:sp macro="" textlink="">
      <xdr:nvSpPr>
        <xdr:cNvPr id="2" name="TextBox 1"/>
        <xdr:cNvSpPr txBox="1"/>
      </xdr:nvSpPr>
      <xdr:spPr>
        <a:xfrm>
          <a:off x="17180378" y="2510519"/>
          <a:ext cx="2413907" cy="1517196"/>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Raise</a:t>
          </a:r>
          <a:r>
            <a:rPr lang="en-US" sz="1100" baseline="0"/>
            <a:t> Information: </a:t>
          </a:r>
          <a:r>
            <a:rPr lang="en-US" sz="1100"/>
            <a:t>All raises above</a:t>
          </a:r>
          <a:r>
            <a:rPr lang="en-US" sz="1100" baseline="0"/>
            <a:t> </a:t>
          </a:r>
          <a:r>
            <a:rPr lang="en-US" sz="1100"/>
            <a:t>at 2.0% or 2.5% are the budgeted Corporate approved raise %'s that each employee will receive on their assigned raise date.  Raises greater</a:t>
          </a:r>
          <a:r>
            <a:rPr lang="en-US" sz="1100" baseline="0"/>
            <a:t> than 2%/2.5% </a:t>
          </a:r>
          <a:r>
            <a:rPr lang="en-US" sz="1100"/>
            <a:t>are due to employee promotions/step increases, or wage normalizations.  </a:t>
          </a:r>
          <a:br>
            <a:rPr lang="en-US" sz="1100"/>
          </a:br>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c_db5_srv\SRC\User\REPORTS\STANDARD%20REPORTS\CUSTOM%20REPORTS\PL_RollingTrend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LeMay/2183-1%20Pacific%20Disp,%20Butlers%20Cove/Filing%20Possibly%202012/Filing/Audit/Final%20Outcome%208-14-2012/Pro%20Forma%20Pacific%20Disposal_Staff.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home.utc.wa.gov/Mason/Rate%20Increase%201-1-2013/1%20Filing%2011-14-2012/Revised%202-21-2013/staff%20Mason%20Proforma%209-30-2012-Linked%20Cust%20Count%20Fix%2012-2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Mason\Rate%20Increase%201-1-2013\1%20Filing%2011-14-2012\Revised%202-21-2013\staff%20Mason%20Proforma%209-30-2012-Linked%20Cust%20Count%20Fix%2012-2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Mason/Rate%20Increase%201-1-2013/1%20Filing%2011-14-2012/Revised%202-21-2013/staff%20Mason%20Proforma%209-30-2012-Linked%20Cust%20Count%20Fix%2012-2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wutcfs2\grp_data\District\Joe_Garza\mark%20gregg\WUTC%20Files\Eastside\Eastside%20Rate%20Case%202006\Eastside%20RC%202006%20Filing%20Docs\Proforma%20Eastside%202005%204.17.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acinf05\DistShares\WCNX%20Stuff\Excel\Financials\Excel%20Financials\ExcelFinancial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Western%20Region/WUTC/WUTC-Columbia%202025/General%20Filing%204-15-2016/Audit/Final/TG-160424%20CRD%20Pro%20forma%203-31-2016%20Staff%20FINAL.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Western%20Region\WUTC\WUTC-Columbia%202025\General%20Filing%204-15-2016\Audit\Final\TG-160424%20CRD%20Pro%20forma%203-31-2016%20Staff%20FINAL.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Western%20Region/WUTC/WIP%20Files/2025%20Skamania-Bingen/2016%20Rate%20Filing/CRD%20Pro%20forma%203-31-2016.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Western%20Region/WUTC/WUTC-Columbia%202025/General%20Filing%204-15-2016/Filed%204-15-16/CRD%20Pro%20forma%203-31-20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odisnap\accounting\MODEST~1\203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home.utc.wa.gov/Western%20Region/ControllerDir/Brent_Blair_Kortney/PO%20Report%20by%20Division/PO%20Report_v3b%202013-08-26.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Western%20Region\ControllerDir\Brent_Blair_Kortney\PO%20Report%20by%20Division\PO%20Report_v3b%202013-08-26.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Western%20Region/ControllerDir/Brent_Blair_Kortney/PO%20Report%20by%20Division/PO%20Report_v3b%202013-08-26.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Vashon\Rate%20Incr%201-1-2012\Vashon%20Pro%20Form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Vashon/Rate%20Incr%201-1-2012/Vashon%20Pro%20Form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Vashon\Rate%20Incr%201-1-2012\Vashon%20Pro%20Form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Empire/Rate%20Increase%209-1-2010/Filed%209-14-10/Proforma%209-14-1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Western%20Region/WUTC/WIP%20Files/2010%20Clark%20County-%202009%20Vancouver/Misc%20Analsysis%20Non-Filing/Pro%20froma%208.31.2013%20for%20Budgets/Consolidated%20Pro%20forma%20Year%20201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acinf06\sacshare\Data_Automation\DMS\RouteManagerReports\RM_MM001_Query_v4c.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X:\Western%20Region\WUTC\WIP%20Files\2010%20Clark%20County-%202009%20Vancouver\12.31.2010%20Test%20Year\Proforma%20Clark%20County%20101231%20Filing-Draft-FINAL%20VERS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L_WASTE\SYS\ACCOUNT\CV2000\022000\2000_FEBRUARY_%20GL%20RECON.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Western%20Region/WUTC/WIP%20Files/2010%20Clark%20County-%202009%20Vancouver/12.31.2010%20Test%20Year/Proforma%20Clark%20County%20101231%20Filing-Draft-FINAL%20VERSION.xlsx"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ExcelFinancials_v3b1"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Annual%20Reports/2180%20LeMay/2009/LeMay%20Annual%20Report%200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Annual%20Reports\2180%20LeMay\2009\LeMay%20Annual%20Report%200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home.utc.wa.gov/Annual%20Reports/2180%20LeMay/2009/LeMay%20Annual%20Report%200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acinf04\home$\Annual%20Reports\2180%20LeMay\2009\LeMay%20Annual%20Report%200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home.utc.wa.gov/Western%20Region/WUTC/WIP%20Files/LeMay%20Companies/2014/Annual%20Report/District%20Schedules/North%20LeMay/N%20LeMay%20Annual%20Report%202013%20-%20with%20Heather's%20Note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LeMay/Master%20Truck%20Schedule/South_LeMay%20Master%20Truck%20Schedule-Shared.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acinf04\home$\LeMay\Master%20Truck%20Schedule\South_LeMay%20Master%20Truck%20Schedule-Share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home.utc.wa.gov/LeMay/Master%20Truck%20Schedule/South_LeMay%20Master%20Truck%20Schedule-Shar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RC%20Reports/SRC%20Format/Bonus%20Schedule/PNWR%20SRC%20Bonus%20Schedule%20200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LeMay\Master%20Truck%20Schedule\South_LeMay%20Master%20Truck%20Schedule-Shared.xls"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ExcelFinancials_v3c1"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Western%20Region/WUTC/WIP%20Files/2195%20Yakima/General%20Rate%20Filings/2017%20Rate%20Filing/.Yakima%20Waste%20Pro%20forma%20YE%206.30.17.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Roll%20Off%20Cust%20Count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Carson%20Time%20Study%20-%20January%202018.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Alpine%20Abatement%20(Underwood%20Fruit)%20Revenue%20FY17.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Revenue/CRD%20Price%20Out%202017.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Payroll/CRD%20Payroll%20Schedule.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CRD%20Depreciation%2012-31-1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2017%20CRD%20Disposal%20Schedule%20-%20From%20Distric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RC%20Reports\SRC%20Format\Bonus%20Schedule\PNWR%20SRC%20Bonus%20Schedule%2020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ome.utc.wa.gov/SRC%20Reports/SRC%20Format/Bonus%20Schedule/PNWR%20SRC%20Bonus%20Schedule%2020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acinf04\home$\SRC%20Reports\SRC%20Format\Bonus%20Schedule\PNWR%20SRC%20Bonus%20Schedule%2020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home.utc.wa.gov/LeMay/2183-1%20Pacific%20Disp,%20Butlers%20Cove/Filing%20Possibly%202012/Filing/Audit/Final%20Outcome%208-14-2012/Pro%20Forma%20Pacific%20Disposal_Staff.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LeMay\2183-1%20Pacific%20Disp,%20Butlers%20Cove\Filing%20Possibly%202012\Filing\Audit\Final%20Outcome%208-14-2012\Pro%20Forma%20Pacific%20Disposal_Staff.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refreshError="1"/>
      <sheetData sheetId="1" refreshError="1"/>
      <sheetData sheetId="2" refreshError="1"/>
      <sheetData sheetId="3" refreshError="1">
        <row r="5">
          <cell r="D5">
            <v>10.71</v>
          </cell>
        </row>
        <row r="14">
          <cell r="C14" t="str">
            <v>dist</v>
          </cell>
          <cell r="E14" t="str">
            <v>=</v>
          </cell>
          <cell r="F14">
            <v>2149</v>
          </cell>
        </row>
      </sheetData>
      <sheetData sheetId="4" refreshError="1">
        <row r="6">
          <cell r="F6" t="str">
            <v>Time Series</v>
          </cell>
        </row>
        <row r="17">
          <cell r="B17" t="str">
            <v>ACCT</v>
          </cell>
          <cell r="C17" t="str">
            <v>-</v>
          </cell>
        </row>
        <row r="22">
          <cell r="C22" t="str">
            <v>Financial</v>
          </cell>
        </row>
        <row r="23">
          <cell r="C23" t="str">
            <v>ALL</v>
          </cell>
        </row>
        <row r="24">
          <cell r="C24" t="str">
            <v>Variable</v>
          </cell>
        </row>
      </sheetData>
      <sheetData sheetId="5" refreshError="1">
        <row r="8">
          <cell r="E8" t="str">
            <v>Report</v>
          </cell>
        </row>
        <row r="12">
          <cell r="B12" t="b">
            <v>0</v>
          </cell>
        </row>
      </sheetData>
      <sheetData sheetId="6" refreshError="1"/>
      <sheetData sheetId="7" refreshError="1">
        <row r="11">
          <cell r="D11">
            <v>10002</v>
          </cell>
          <cell r="E11">
            <v>0</v>
          </cell>
          <cell r="F11">
            <v>0</v>
          </cell>
          <cell r="G11">
            <v>0</v>
          </cell>
          <cell r="H11">
            <v>0</v>
          </cell>
          <cell r="I11">
            <v>0</v>
          </cell>
          <cell r="J11">
            <v>0</v>
          </cell>
          <cell r="K11">
            <v>0</v>
          </cell>
          <cell r="L11">
            <v>0</v>
          </cell>
          <cell r="M11">
            <v>0</v>
          </cell>
          <cell r="N11">
            <v>0</v>
          </cell>
          <cell r="O11">
            <v>0</v>
          </cell>
          <cell r="P11">
            <v>0</v>
          </cell>
          <cell r="Q11" t="str">
            <v>Cash</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183 IS"/>
      <sheetName val="2184 IS"/>
      <sheetName val="2185 IS"/>
      <sheetName val="Consolidated IS"/>
      <sheetName val="Ratios Thurston"/>
      <sheetName val="2183 Pro forma"/>
      <sheetName val="2183 Ratios"/>
      <sheetName val="Restating Expl"/>
      <sheetName val="Pro forma Expl"/>
      <sheetName val="Pacific Regulated - Price Out"/>
      <sheetName val="Total Matrix"/>
      <sheetName val="Packer_RO Matrix"/>
      <sheetName val="COS Packer_RO"/>
      <sheetName val="Res YW Matix"/>
      <sheetName val="Res Recy Matrix"/>
      <sheetName val="MF Recy Matrix"/>
      <sheetName val="COS RR YW MFR"/>
      <sheetName val="Total Pac,Rural"/>
      <sheetName val="Rural"/>
      <sheetName val="LG-Pacific Pckr Rts"/>
      <sheetName val="LG-RO"/>
      <sheetName val="Res Recycl"/>
      <sheetName val="MF Recycl"/>
      <sheetName val="YW"/>
      <sheetName val="Depr Summary 2183"/>
      <sheetName val="Trucks 2183"/>
      <sheetName val="Containers 2183"/>
      <sheetName val="OTHER EQUIP 2183"/>
      <sheetName val="LeMay Global"/>
      <sheetName val="Fuel"/>
      <sheetName val="DF Schedule"/>
      <sheetName val="2183 Payroll"/>
      <sheetName val="2184 Payroll"/>
      <sheetName val="2185 Payroll"/>
      <sheetName val="Cust Cnt"/>
      <sheetName val="Unit Cnt"/>
      <sheetName val="70148 Summary"/>
      <sheetName val="Time Study"/>
      <sheetName val="Corp OH"/>
    </sheetNames>
    <sheetDataSet>
      <sheetData sheetId="0"/>
      <sheetData sheetId="1"/>
      <sheetData sheetId="2"/>
      <sheetData sheetId="3"/>
      <sheetData sheetId="4"/>
      <sheetData sheetId="5"/>
      <sheetData sheetId="6"/>
      <sheetData sheetId="7"/>
      <sheetData sheetId="8"/>
      <sheetData sheetId="9"/>
      <sheetData sheetId="10">
        <row r="49">
          <cell r="M49">
            <v>8000432.4617248299</v>
          </cell>
        </row>
        <row r="50">
          <cell r="F50">
            <v>8158680.0299999993</v>
          </cell>
        </row>
        <row r="58">
          <cell r="M58">
            <v>2625393.5068796892</v>
          </cell>
        </row>
        <row r="59">
          <cell r="F59">
            <v>2119461.4499999997</v>
          </cell>
        </row>
        <row r="69">
          <cell r="M69">
            <v>1361744.4391882615</v>
          </cell>
        </row>
        <row r="70">
          <cell r="F70">
            <v>1347163.92</v>
          </cell>
        </row>
        <row r="213">
          <cell r="M213">
            <v>4757117.5866496488</v>
          </cell>
        </row>
        <row r="214">
          <cell r="F214">
            <v>4859462.2200000007</v>
          </cell>
        </row>
        <row r="221">
          <cell r="M221">
            <v>395543.82663328515</v>
          </cell>
        </row>
        <row r="222">
          <cell r="F222">
            <v>332798.89999999997</v>
          </cell>
        </row>
        <row r="281">
          <cell r="M281">
            <v>1187221.5155152699</v>
          </cell>
        </row>
        <row r="282">
          <cell r="F282">
            <v>744277.47999999975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f Rate Sheet"/>
      <sheetName val="Class A IS"/>
      <sheetName val="2149 BS"/>
      <sheetName val="9-30-11 BS"/>
      <sheetName val="2149 IS"/>
      <sheetName val="Consolidated IS"/>
      <sheetName val="Ratios"/>
      <sheetName val="Restating Adj"/>
      <sheetName val="Restating Expl"/>
      <sheetName val="Pro forma Adj"/>
      <sheetName val="Pro-forma"/>
      <sheetName val="LG-Combined"/>
      <sheetName val="LG-Pckr,RO"/>
      <sheetName val="LG-Recycl"/>
      <sheetName val="Price Out"/>
      <sheetName val="Rate Sheet"/>
      <sheetName val="Pckr, RO, Matrix"/>
      <sheetName val="COS Packer,RO "/>
      <sheetName val="Recycl Matrix"/>
      <sheetName val="COS Recycle"/>
      <sheetName val="Disposal Calc"/>
      <sheetName val="Disposal Schedule"/>
      <sheetName val="Fuel"/>
      <sheetName val="PR Summary"/>
      <sheetName val="Depr Summary"/>
      <sheetName val="Depreciation"/>
      <sheetName val="Cust Count"/>
      <sheetName val="Rt Study Summary"/>
      <sheetName val="Recycl Tons, Commodity Value"/>
      <sheetName val="Tribal Cnts"/>
      <sheetName val="Corp OH"/>
      <sheetName val="Corp Debt Equity"/>
      <sheetName val="Balance Sheet"/>
      <sheetName val="P&amp;L"/>
      <sheetName val="70195 JE-WRRA Dues"/>
      <sheetName val="56095 JE"/>
      <sheetName val="Non-Reg Price Out"/>
      <sheetName val="30% Commodity Justification"/>
      <sheetName val="TRC Processing Justfication"/>
      <sheetName val="Orig Price Out"/>
      <sheetName val="Rate Sheet Dec 2012"/>
      <sheetName val="Orig COS Packer,RO "/>
      <sheetName val="LG-Pckr w DF"/>
      <sheetName val="LG-Pckr w-out DF"/>
      <sheetName val="LG-RO"/>
    </sheetNames>
    <sheetDataSet>
      <sheetData sheetId="0" refreshError="1">
        <row r="107">
          <cell r="L107">
            <v>1755086.2007667283</v>
          </cell>
        </row>
        <row r="214">
          <cell r="L214">
            <v>861493.18580596044</v>
          </cell>
        </row>
        <row r="278">
          <cell r="L278">
            <v>840474.49671344017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23">
          <cell r="L23">
            <v>2329.3388396454475</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f Rate Sheet"/>
      <sheetName val="Class A IS"/>
      <sheetName val="2149 BS"/>
      <sheetName val="9-30-11 BS"/>
      <sheetName val="2149 IS"/>
      <sheetName val="Consolidated IS"/>
      <sheetName val="Ratios"/>
      <sheetName val="Restating Adj"/>
      <sheetName val="Restating Expl"/>
      <sheetName val="Pro forma Adj"/>
      <sheetName val="Pro-forma"/>
      <sheetName val="LG-Combined"/>
      <sheetName val="LG-Pckr,RO"/>
      <sheetName val="LG-Recycl"/>
      <sheetName val="Price Out"/>
      <sheetName val="Rate Sheet"/>
      <sheetName val="Pckr, RO, Matrix"/>
      <sheetName val="COS Packer,RO "/>
      <sheetName val="Recycl Matrix"/>
      <sheetName val="COS Recycle"/>
      <sheetName val="Disposal Calc"/>
      <sheetName val="Disposal Schedule"/>
      <sheetName val="Fuel"/>
      <sheetName val="PR Summary"/>
      <sheetName val="Depr Summary"/>
      <sheetName val="Depreciation"/>
      <sheetName val="Cust Count"/>
      <sheetName val="Rt Study Summary"/>
      <sheetName val="Recycl Tons, Commodity Value"/>
      <sheetName val="Tribal Cnts"/>
      <sheetName val="Corp OH"/>
      <sheetName val="Corp Debt Equity"/>
      <sheetName val="Balance Sheet"/>
      <sheetName val="P&amp;L"/>
      <sheetName val="70195 JE-WRRA Dues"/>
      <sheetName val="56095 JE"/>
      <sheetName val="Non-Reg Price Out"/>
      <sheetName val="30% Commodity Justification"/>
      <sheetName val="TRC Processing Justfication"/>
      <sheetName val="Orig Price Out"/>
      <sheetName val="Rate Sheet Dec 2012"/>
      <sheetName val="Orig COS Packer,RO "/>
      <sheetName val="LG-Pckr w DF"/>
      <sheetName val="LG-Pckr w-out DF"/>
      <sheetName val="LG-RO"/>
    </sheetNames>
    <sheetDataSet>
      <sheetData sheetId="0" refreshError="1">
        <row r="107">
          <cell r="L107">
            <v>1755086.2007667283</v>
          </cell>
        </row>
        <row r="214">
          <cell r="L214">
            <v>861493.18580596044</v>
          </cell>
        </row>
        <row r="278">
          <cell r="L278">
            <v>840474.49671344017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3">
          <cell r="L23">
            <v>2329.3388396454475</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f Rate Sheet"/>
      <sheetName val="Class A IS"/>
      <sheetName val="2149 BS"/>
      <sheetName val="9-30-11 BS"/>
      <sheetName val="2149 IS"/>
      <sheetName val="Consolidated IS"/>
      <sheetName val="Ratios"/>
      <sheetName val="Restating Adj"/>
      <sheetName val="Restating Expl"/>
      <sheetName val="Pro forma Adj"/>
      <sheetName val="Pro-forma"/>
      <sheetName val="LG-Combined"/>
      <sheetName val="LG-Pckr,RO"/>
      <sheetName val="LG-Recycl"/>
      <sheetName val="Price Out"/>
      <sheetName val="Rate Sheet"/>
      <sheetName val="Pckr, RO, Matrix"/>
      <sheetName val="COS Packer,RO "/>
      <sheetName val="Recycl Matrix"/>
      <sheetName val="COS Recycle"/>
      <sheetName val="Disposal Calc"/>
      <sheetName val="Disposal Schedule"/>
      <sheetName val="Fuel"/>
      <sheetName val="PR Summary"/>
      <sheetName val="Depr Summary"/>
      <sheetName val="Depreciation"/>
      <sheetName val="Cust Count"/>
      <sheetName val="Rt Study Summary"/>
      <sheetName val="Recycl Tons, Commodity Value"/>
      <sheetName val="Tribal Cnts"/>
      <sheetName val="Corp OH"/>
      <sheetName val="Corp Debt Equity"/>
      <sheetName val="Balance Sheet"/>
      <sheetName val="P&amp;L"/>
      <sheetName val="70195 JE-WRRA Dues"/>
      <sheetName val="56095 JE"/>
      <sheetName val="Non-Reg Price Out"/>
      <sheetName val="30% Commodity Justification"/>
      <sheetName val="TRC Processing Justfication"/>
      <sheetName val="Orig Price Out"/>
      <sheetName val="Rate Sheet Dec 2012"/>
      <sheetName val="Orig COS Packer,RO "/>
      <sheetName val="LG-Pckr w DF"/>
      <sheetName val="LG-Pckr w-out DF"/>
      <sheetName val="LG-RO"/>
    </sheetNames>
    <sheetDataSet>
      <sheetData sheetId="0" refreshError="1">
        <row r="107">
          <cell r="L107">
            <v>1755086.2007667283</v>
          </cell>
        </row>
        <row r="214">
          <cell r="L214">
            <v>861493.18580596044</v>
          </cell>
        </row>
        <row r="278">
          <cell r="L278">
            <v>840474.49671344017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23">
          <cell r="L23">
            <v>2329.3388396454475</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G Garbage"/>
      <sheetName val=" LG recycle"/>
      <sheetName val="LG Yardwaste"/>
      <sheetName val="LG MF Recycle"/>
      <sheetName val="Proforma"/>
      <sheetName val="matrix"/>
      <sheetName val="COS"/>
      <sheetName val="Price Out-Reg EASTSIDE-Resi"/>
      <sheetName val="Price Out-Comm MSW"/>
      <sheetName val="Price Out-Drop Box"/>
      <sheetName val="Price Out-MF Recycle 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ControlPanel"/>
      <sheetName val="PL_ActReview"/>
      <sheetName val="BS_Close"/>
      <sheetName val="PL_ActTranx"/>
      <sheetName val="JE_Review"/>
      <sheetName val="PL_CloseByDay"/>
      <sheetName val="PL_IS200"/>
      <sheetName val="PL_IS210"/>
      <sheetName val="PL_ActByDistrict"/>
      <sheetName val="PL_ProjReview"/>
    </sheetNames>
    <sheetDataSet>
      <sheetData sheetId="0"/>
      <sheetData sheetId="1" refreshError="1">
        <row r="2">
          <cell r="X2" t="str">
            <v>P&amp;L Close Report</v>
          </cell>
          <cell r="Z2" t="str">
            <v>Consolidated</v>
          </cell>
        </row>
        <row r="3">
          <cell r="X3" t="str">
            <v>BS Close Report</v>
          </cell>
          <cell r="Z3" t="str">
            <v>Region</v>
          </cell>
        </row>
        <row r="4">
          <cell r="X4" t="str">
            <v>P&amp;L Tranx Report</v>
          </cell>
          <cell r="Z4" t="str">
            <v>District</v>
          </cell>
        </row>
        <row r="5">
          <cell r="X5" t="str">
            <v>P&amp;L Close by Day</v>
          </cell>
          <cell r="Z5" t="str">
            <v>Multiple Districts</v>
          </cell>
        </row>
        <row r="6">
          <cell r="X6" t="str">
            <v>JE Review Report</v>
          </cell>
        </row>
        <row r="7">
          <cell r="X7" t="str">
            <v>IS200 Report</v>
          </cell>
        </row>
        <row r="8">
          <cell r="X8" t="str">
            <v>IS210 Report</v>
          </cell>
        </row>
      </sheetData>
      <sheetData sheetId="2"/>
      <sheetData sheetId="3"/>
      <sheetData sheetId="4"/>
      <sheetData sheetId="5"/>
      <sheetData sheetId="6"/>
      <sheetData sheetId="7"/>
      <sheetData sheetId="8"/>
      <sheetData sheetId="9"/>
      <sheetData sheetId="1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5 BS"/>
      <sheetName val="2025 IS"/>
      <sheetName val="Consolidated IS"/>
      <sheetName val="Pro-forma"/>
      <sheetName val="Restating Adj"/>
      <sheetName val="Restating Expl"/>
      <sheetName val="Pro Forma Adj"/>
      <sheetName val="Staff Adjustments"/>
      <sheetName val="Ratios"/>
      <sheetName val="Staff LG G-48"/>
      <sheetName val="LG"/>
      <sheetName val="LG G-48"/>
      <sheetName val="LG G-51"/>
      <sheetName val=" Staff G-48 Price Out"/>
      <sheetName val="G-51 Price Out"/>
      <sheetName val="Rate Schedule G-48"/>
      <sheetName val="References"/>
      <sheetName val="Staff Reference"/>
      <sheetName val="Staff Tariff Changes"/>
      <sheetName val="Staff Disposal Calcs"/>
      <sheetName val="Staff Customer Counts"/>
      <sheetName val="G-48 DF Calc"/>
      <sheetName val="DF Schedule"/>
      <sheetName val="Staff Depr Summary"/>
      <sheetName val="Staff Depr Calculation"/>
      <sheetName val="Staff 2008 Peterblt calc"/>
      <sheetName val="Depr Summary"/>
      <sheetName val="Depreciation"/>
      <sheetName val="Staff Fuel"/>
      <sheetName val="Payroll Detail Staff"/>
      <sheetName val="Payroll Detail"/>
      <sheetName val="DivCon-DVP Alloc In"/>
      <sheetName val="Corp-OH"/>
      <sheetName val="Region OH Calc"/>
      <sheetName val="Corp-BS"/>
      <sheetName val="Corp-IS"/>
      <sheetName val="38000 Other Rev"/>
      <sheetName val="2025 BS 3-31-2015"/>
    </sheetNames>
    <sheetDataSet>
      <sheetData sheetId="0"/>
      <sheetData sheetId="1">
        <row r="10">
          <cell r="G10">
            <v>4697.8500000000004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6">
          <cell r="D6">
            <v>10000</v>
          </cell>
        </row>
        <row r="8">
          <cell r="H8" t="str">
            <v>2016-07</v>
          </cell>
        </row>
        <row r="12">
          <cell r="G12" t="str">
            <v>2015-04</v>
          </cell>
        </row>
        <row r="13">
          <cell r="G13" t="str">
            <v>2016-03</v>
          </cell>
        </row>
      </sheetData>
      <sheetData sheetId="3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5 BS"/>
      <sheetName val="2025 IS"/>
      <sheetName val="Consolidated IS"/>
      <sheetName val="Pro-forma"/>
      <sheetName val="Restating Adj"/>
      <sheetName val="Restating Expl"/>
      <sheetName val="Pro Forma Adj"/>
      <sheetName val="Staff Adjustments"/>
      <sheetName val="Ratios"/>
      <sheetName val="Staff LG G-48"/>
      <sheetName val="LG"/>
      <sheetName val="LG G-48"/>
      <sheetName val="LG G-51"/>
      <sheetName val=" Staff G-48 Price Out"/>
      <sheetName val="G-51 Price Out"/>
      <sheetName val="Rate Schedule G-48"/>
      <sheetName val="References"/>
      <sheetName val="Staff Reference"/>
      <sheetName val="Staff Tariff Changes"/>
      <sheetName val="Staff Disposal Calcs"/>
      <sheetName val="Staff Customer Counts"/>
      <sheetName val="G-48 DF Calc"/>
      <sheetName val="DF Schedule"/>
      <sheetName val="Staff Depr Summary"/>
      <sheetName val="Staff Depr Calculation"/>
      <sheetName val="Staff 2008 Peterblt calc"/>
      <sheetName val="Depr Summary"/>
      <sheetName val="Depreciation"/>
      <sheetName val="Staff Fuel"/>
      <sheetName val="Payroll Detail Staff"/>
      <sheetName val="Payroll Detail"/>
      <sheetName val="DivCon-DVP Alloc In"/>
      <sheetName val="Corp-OH"/>
      <sheetName val="Region OH Calc"/>
      <sheetName val="Corp-BS"/>
      <sheetName val="Corp-IS"/>
      <sheetName val="38000 Other Rev"/>
      <sheetName val="2025 BS 3-31-20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6">
          <cell r="D6">
            <v>10000</v>
          </cell>
        </row>
        <row r="8">
          <cell r="H8" t="str">
            <v>2016-07</v>
          </cell>
        </row>
        <row r="12">
          <cell r="G12" t="str">
            <v>2015-04</v>
          </cell>
        </row>
        <row r="13">
          <cell r="G13" t="str">
            <v>2016-03</v>
          </cell>
        </row>
      </sheetData>
      <sheetData sheetId="3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5 BS"/>
      <sheetName val="2025 IS"/>
      <sheetName val="Consolidated IS"/>
      <sheetName val="Pro-forma"/>
      <sheetName val="Restating Adj"/>
      <sheetName val="Restating Expl"/>
      <sheetName val="Pro Forma Adj"/>
      <sheetName val="Ratios"/>
      <sheetName val="LG"/>
      <sheetName val="LG G-48"/>
      <sheetName val="LG G-51"/>
      <sheetName val="G-48 Price Out"/>
      <sheetName val="G-51 Price Out"/>
      <sheetName val="Rate Schedule G-48"/>
      <sheetName val="References"/>
      <sheetName val="G-48 DF Calc"/>
      <sheetName val="DF Schedule"/>
      <sheetName val="Depr Summary"/>
      <sheetName val="Depreciation"/>
      <sheetName val="Payroll Detail"/>
      <sheetName val="DivCon-DVP Alloc In"/>
      <sheetName val="Corp-OH"/>
      <sheetName val="Region OH Calc"/>
      <sheetName val="Corp-BS"/>
      <sheetName val="Corp-IS"/>
      <sheetName val="38000 Other Rev"/>
      <sheetName val="2025 BS 3-31-2015"/>
    </sheetNames>
    <sheetDataSet>
      <sheetData sheetId="0"/>
      <sheetData sheetId="1"/>
      <sheetData sheetId="2">
        <row r="14">
          <cell r="I14">
            <v>994239.26210218971</v>
          </cell>
        </row>
      </sheetData>
      <sheetData sheetId="3"/>
      <sheetData sheetId="4"/>
      <sheetData sheetId="5"/>
      <sheetData sheetId="6"/>
      <sheetData sheetId="7"/>
      <sheetData sheetId="8"/>
      <sheetData sheetId="9">
        <row r="39">
          <cell r="E39">
            <v>0.20581130465032496</v>
          </cell>
        </row>
      </sheetData>
      <sheetData sheetId="10"/>
      <sheetData sheetId="11"/>
      <sheetData sheetId="12"/>
      <sheetData sheetId="13"/>
      <sheetData sheetId="14">
        <row r="57">
          <cell r="C57">
            <v>1.5</v>
          </cell>
        </row>
      </sheetData>
      <sheetData sheetId="15">
        <row r="11">
          <cell r="L11">
            <v>0.05</v>
          </cell>
        </row>
      </sheetData>
      <sheetData sheetId="16"/>
      <sheetData sheetId="17"/>
      <sheetData sheetId="18"/>
      <sheetData sheetId="19"/>
      <sheetData sheetId="20"/>
      <sheetData sheetId="21"/>
      <sheetData sheetId="22"/>
      <sheetData sheetId="23"/>
      <sheetData sheetId="24"/>
      <sheetData sheetId="25">
        <row r="6">
          <cell r="D6">
            <v>10000</v>
          </cell>
        </row>
        <row r="8">
          <cell r="H8" t="str">
            <v>2016-03</v>
          </cell>
        </row>
        <row r="12">
          <cell r="G12" t="str">
            <v>2015-04</v>
          </cell>
        </row>
        <row r="13">
          <cell r="G13" t="str">
            <v>2016-03</v>
          </cell>
        </row>
      </sheetData>
      <sheetData sheetId="2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5 BS"/>
      <sheetName val="2025 IS"/>
      <sheetName val="Consolidated IS"/>
      <sheetName val="Pro-forma"/>
      <sheetName val="Restating Adj"/>
      <sheetName val="Restating Expl"/>
      <sheetName val="Pro Forma Adj"/>
      <sheetName val="Ratios"/>
      <sheetName val="LG"/>
      <sheetName val="LG G-48"/>
      <sheetName val="LG G-51"/>
      <sheetName val="G-48 Price Out"/>
      <sheetName val="G-51 Price Out"/>
      <sheetName val="Rate Schedule G-48"/>
      <sheetName val="References"/>
      <sheetName val="G-48 DF Calc"/>
      <sheetName val="DF Schedule"/>
      <sheetName val="Depr Summary"/>
      <sheetName val="Depreciation"/>
      <sheetName val="Payroll Detail"/>
      <sheetName val="DivCon-DVP Alloc In"/>
      <sheetName val="Corp-OH"/>
      <sheetName val="Region OH Calc"/>
      <sheetName val="Corp-BS"/>
      <sheetName val="Corp-IS"/>
      <sheetName val="38000 Other Rev"/>
      <sheetName val="2025 BS 3-31-2015"/>
    </sheetNames>
    <sheetDataSet>
      <sheetData sheetId="0"/>
      <sheetData sheetId="1"/>
      <sheetData sheetId="2"/>
      <sheetData sheetId="3" refreshError="1"/>
      <sheetData sheetId="4"/>
      <sheetData sheetId="5">
        <row r="78">
          <cell r="D78">
            <v>13340.018881532844</v>
          </cell>
        </row>
      </sheetData>
      <sheetData sheetId="6">
        <row r="27">
          <cell r="B27">
            <v>353.32367365298381</v>
          </cell>
        </row>
      </sheetData>
      <sheetData sheetId="7">
        <row r="13">
          <cell r="B13">
            <v>0.89361089902323576</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60">
          <cell r="C60">
            <v>178633.12500000003</v>
          </cell>
        </row>
      </sheetData>
      <sheetData sheetId="17">
        <row r="1">
          <cell r="A1" t="str">
            <v>Columbia River Disposal, Inc. G-48/G-51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ow r="6">
          <cell r="D6">
            <v>10000</v>
          </cell>
        </row>
        <row r="8">
          <cell r="H8" t="str">
            <v>2016-06</v>
          </cell>
        </row>
        <row r="12">
          <cell r="G12" t="str">
            <v>2015-04</v>
          </cell>
        </row>
        <row r="13">
          <cell r="G13" t="str">
            <v>2016-03</v>
          </cell>
        </row>
      </sheetData>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320"/>
      <sheetName val="#REF"/>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Tables"/>
      <sheetName val="Data"/>
      <sheetName val="By Division"/>
      <sheetName val="&quot;Invioced&quot;"/>
      <sheetName val="Invoice_Drill"/>
      <sheetName val="PO_Drill"/>
      <sheetName val="District-Division Listing"/>
    </sheetNames>
    <sheetDataSet>
      <sheetData sheetId="0">
        <row r="1">
          <cell r="A1" t="str">
            <v>All</v>
          </cell>
        </row>
        <row r="2">
          <cell r="A2" t="str">
            <v>2008-01</v>
          </cell>
        </row>
        <row r="3">
          <cell r="A3" t="str">
            <v>2008-02</v>
          </cell>
        </row>
        <row r="4">
          <cell r="A4" t="str">
            <v>2008-03</v>
          </cell>
        </row>
        <row r="5">
          <cell r="A5" t="str">
            <v>2008-04</v>
          </cell>
        </row>
        <row r="6">
          <cell r="A6" t="str">
            <v>2008-05</v>
          </cell>
        </row>
        <row r="7">
          <cell r="A7" t="str">
            <v>2008-06</v>
          </cell>
        </row>
        <row r="8">
          <cell r="A8" t="str">
            <v>2008-07</v>
          </cell>
        </row>
        <row r="9">
          <cell r="A9" t="str">
            <v>2008-08</v>
          </cell>
        </row>
        <row r="10">
          <cell r="A10" t="str">
            <v>2008-09</v>
          </cell>
        </row>
        <row r="11">
          <cell r="A11" t="str">
            <v>2008-10</v>
          </cell>
        </row>
        <row r="12">
          <cell r="A12" t="str">
            <v>2008-11</v>
          </cell>
        </row>
        <row r="13">
          <cell r="A13" t="str">
            <v>2008-12</v>
          </cell>
        </row>
      </sheetData>
      <sheetData sheetId="1">
        <row r="3">
          <cell r="E3" t="str">
            <v>Western</v>
          </cell>
        </row>
      </sheetData>
      <sheetData sheetId="2" refreshError="1"/>
      <sheetData sheetId="3" refreshError="1"/>
      <sheetData sheetId="4"/>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Tables"/>
      <sheetName val="Data"/>
      <sheetName val="By Division"/>
      <sheetName val="&quot;Invioced&quot;"/>
      <sheetName val="Invoice_Drill"/>
      <sheetName val="PO_Drill"/>
      <sheetName val="District-Division Listing"/>
    </sheetNames>
    <sheetDataSet>
      <sheetData sheetId="0" refreshError="1">
        <row r="1">
          <cell r="A1" t="str">
            <v>All</v>
          </cell>
        </row>
        <row r="2">
          <cell r="A2" t="str">
            <v>2008-01</v>
          </cell>
        </row>
        <row r="3">
          <cell r="A3" t="str">
            <v>2008-02</v>
          </cell>
        </row>
        <row r="4">
          <cell r="A4" t="str">
            <v>2008-03</v>
          </cell>
        </row>
        <row r="5">
          <cell r="A5" t="str">
            <v>2008-04</v>
          </cell>
        </row>
        <row r="6">
          <cell r="A6" t="str">
            <v>2008-05</v>
          </cell>
        </row>
        <row r="7">
          <cell r="A7" t="str">
            <v>2008-06</v>
          </cell>
        </row>
        <row r="8">
          <cell r="A8" t="str">
            <v>2008-07</v>
          </cell>
        </row>
        <row r="9">
          <cell r="A9" t="str">
            <v>2008-08</v>
          </cell>
        </row>
        <row r="10">
          <cell r="A10" t="str">
            <v>2008-09</v>
          </cell>
        </row>
        <row r="11">
          <cell r="A11" t="str">
            <v>2008-10</v>
          </cell>
        </row>
        <row r="12">
          <cell r="A12" t="str">
            <v>2008-11</v>
          </cell>
        </row>
        <row r="13">
          <cell r="A13" t="str">
            <v>2008-12</v>
          </cell>
        </row>
      </sheetData>
      <sheetData sheetId="1" refreshError="1">
        <row r="3">
          <cell r="E3" t="str">
            <v>Western</v>
          </cell>
        </row>
      </sheetData>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Tables"/>
      <sheetName val="Data"/>
      <sheetName val="By Division"/>
      <sheetName val="&quot;Invioced&quot;"/>
      <sheetName val="Invoice_Drill"/>
      <sheetName val="PO_Drill"/>
      <sheetName val="District-Division Listing"/>
    </sheetNames>
    <sheetDataSet>
      <sheetData sheetId="0">
        <row r="1">
          <cell r="A1" t="str">
            <v>All</v>
          </cell>
        </row>
        <row r="2">
          <cell r="A2" t="str">
            <v>2008-01</v>
          </cell>
        </row>
        <row r="3">
          <cell r="A3" t="str">
            <v>2008-02</v>
          </cell>
        </row>
        <row r="4">
          <cell r="A4" t="str">
            <v>2008-03</v>
          </cell>
        </row>
        <row r="5">
          <cell r="A5" t="str">
            <v>2008-04</v>
          </cell>
        </row>
        <row r="6">
          <cell r="A6" t="str">
            <v>2008-05</v>
          </cell>
        </row>
        <row r="7">
          <cell r="A7" t="str">
            <v>2008-06</v>
          </cell>
        </row>
        <row r="8">
          <cell r="A8" t="str">
            <v>2008-07</v>
          </cell>
        </row>
        <row r="9">
          <cell r="A9" t="str">
            <v>2008-08</v>
          </cell>
        </row>
        <row r="10">
          <cell r="A10" t="str">
            <v>2008-09</v>
          </cell>
        </row>
        <row r="11">
          <cell r="A11" t="str">
            <v>2008-10</v>
          </cell>
        </row>
        <row r="12">
          <cell r="A12" t="str">
            <v>2008-11</v>
          </cell>
        </row>
        <row r="13">
          <cell r="A13" t="str">
            <v>2008-12</v>
          </cell>
        </row>
      </sheetData>
      <sheetData sheetId="1">
        <row r="3">
          <cell r="E3" t="str">
            <v>Western</v>
          </cell>
        </row>
      </sheetData>
      <sheetData sheetId="2" refreshError="1"/>
      <sheetData sheetId="3" refreshError="1"/>
      <sheetData sheetId="4"/>
      <sheetData sheetId="5" refreshError="1"/>
      <sheetData sheetId="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
      <sheetName val="Vashon BS"/>
      <sheetName val="Vashon IS"/>
      <sheetName val="Consolidated IS"/>
      <sheetName val="Restating Adj"/>
      <sheetName val="Prof Adj"/>
      <sheetName val="Price-out"/>
      <sheetName val="LG-Total Comp"/>
      <sheetName val="LG-Packer Rts"/>
      <sheetName val="LG-RO Rts"/>
      <sheetName val="LG-Recycl"/>
      <sheetName val="DF Schedule"/>
      <sheetName val="Depr-Summary"/>
      <sheetName val="2132 Trks"/>
      <sheetName val="2132 Cont, DB"/>
      <sheetName val="2132 Oth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
      <sheetName val="Vashon BS"/>
      <sheetName val="Vashon IS"/>
      <sheetName val="Consolidated IS"/>
      <sheetName val="Restating Adj"/>
      <sheetName val="Prof Adj"/>
      <sheetName val="Price-out"/>
      <sheetName val="LG-Total Comp"/>
      <sheetName val="LG-Packer Rts"/>
      <sheetName val="LG-RO Rts"/>
      <sheetName val="LG-Recycl"/>
      <sheetName val="DF Schedule"/>
      <sheetName val="Depr-Summary"/>
      <sheetName val="2132 Trks"/>
      <sheetName val="2132 Cont, DB"/>
      <sheetName val="2132 Oth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
      <sheetName val="Vashon BS"/>
      <sheetName val="Vashon IS"/>
      <sheetName val="Consolidated IS"/>
      <sheetName val="Restating Adj"/>
      <sheetName val="Prof Adj"/>
      <sheetName val="Price-out"/>
      <sheetName val="LG-Total Comp"/>
      <sheetName val="LG-Packer Rts"/>
      <sheetName val="LG-RO Rts"/>
      <sheetName val="LG-Recycl"/>
      <sheetName val="DF Schedule"/>
      <sheetName val="Depr-Summary"/>
      <sheetName val="2132 Trks"/>
      <sheetName val="2132 Cont, DB"/>
      <sheetName val="2132 Oth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Consolidated BS"/>
      <sheetName val="IS-2120"/>
      <sheetName val="IS-2121"/>
      <sheetName val="Consolidated IS"/>
      <sheetName val="Proforma"/>
      <sheetName val="Restate-Regulated"/>
      <sheetName val="Restating Expl"/>
      <sheetName val="Pro forma Adj"/>
      <sheetName val="LG"/>
      <sheetName val="LG-Pckr Rts"/>
      <sheetName val="LG-RO"/>
      <sheetName val="LG-Recycl"/>
      <sheetName val="Price-out"/>
      <sheetName val="Rate Schedule"/>
      <sheetName val="2120 Depr Summary"/>
      <sheetName val="2120 Depr"/>
      <sheetName val="2121 Depr Summary"/>
      <sheetName val="2121 Depr"/>
      <sheetName val="2120 Fuel "/>
      <sheetName val="DF-Summary"/>
      <sheetName val="Whitman"/>
      <sheetName val="Spokane"/>
      <sheetName val="Lincoln"/>
      <sheetName val="Med Waste"/>
      <sheetName val="Payroll, 2120"/>
      <sheetName val="Contract-Rev,Cust Cnt"/>
      <sheetName val="Time Alloc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9 BS"/>
      <sheetName val="2010 BS"/>
      <sheetName val="2009 IS"/>
      <sheetName val="2010 IS"/>
      <sheetName val="Consolidated IS"/>
      <sheetName val="Alloc %"/>
      <sheetName val="Rest Expl"/>
      <sheetName val="Prof Expl"/>
      <sheetName val="2009 Price Out (REG)"/>
      <sheetName val="LG-Total Reg"/>
      <sheetName val="LG-Pckr"/>
      <sheetName val="LG-RO"/>
      <sheetName val="2009-2010"/>
      <sheetName val="2009 Depr Summary"/>
      <sheetName val="2009 Trks"/>
      <sheetName val="2009 Cont, DB"/>
      <sheetName val="2009 Serv, Shop"/>
      <sheetName val="2009 Office"/>
      <sheetName val="2009 Leasehold"/>
      <sheetName val="2010 Deprec Summary"/>
      <sheetName val="2010 Trks"/>
      <sheetName val="2010 Cont, DB"/>
      <sheetName val="2010 Serv, Shop"/>
      <sheetName val="2010 Office"/>
      <sheetName val="2010 Leaseh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9">
          <cell r="D9">
            <v>2408479.3639999996</v>
          </cell>
        </row>
      </sheetData>
      <sheetData sheetId="14"/>
      <sheetData sheetId="15"/>
      <sheetData sheetId="16"/>
      <sheetData sheetId="17"/>
      <sheetData sheetId="18"/>
      <sheetData sheetId="19">
        <row r="8">
          <cell r="D8">
            <v>2113303.516104938</v>
          </cell>
        </row>
      </sheetData>
      <sheetData sheetId="20"/>
      <sheetData sheetId="21"/>
      <sheetData sheetId="22"/>
      <sheetData sheetId="23"/>
      <sheetData sheetId="2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M001Tranx"/>
      <sheetName val="JEexport"/>
      <sheetName val="Intro Memo"/>
      <sheetName val="JE_Summary"/>
      <sheetName val="Mth00"/>
      <sheetName val="Mth01"/>
      <sheetName val="Mth02"/>
      <sheetName val="Mth03"/>
      <sheetName val="Mth04"/>
      <sheetName val="Mth05"/>
      <sheetName val="Mth06"/>
      <sheetName val="Mth07"/>
      <sheetName val="Mth08"/>
      <sheetName val="Mth09"/>
      <sheetName val="Mth10"/>
      <sheetName val="Mth11"/>
      <sheetName val="Mth12"/>
      <sheetName val="TEST"/>
      <sheetName val="To Do"/>
      <sheetName val="GLMapping"/>
      <sheetName val="BatchLog"/>
      <sheetName val="Reference"/>
    </sheetNames>
    <sheetDataSet>
      <sheetData sheetId="0"/>
      <sheetData sheetId="1">
        <row r="9">
          <cell r="L9">
            <v>11501</v>
          </cell>
        </row>
        <row r="10">
          <cell r="L10" t="str">
            <v>11501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009 BS"/>
      <sheetName val="2010 BS"/>
      <sheetName val="Combined BS"/>
      <sheetName val="2009 IS"/>
      <sheetName val="2010 IS"/>
      <sheetName val="Combined 12 mo IS"/>
      <sheetName val="Consolidated IS 2009 2010"/>
      <sheetName val="Consolidated IS - IRMGARD"/>
      <sheetName val="Pro forma "/>
      <sheetName val="Pro forma-Line of Service"/>
      <sheetName val="Restatements"/>
      <sheetName val="Proforma Adjusts"/>
      <sheetName val="2009 Price Out (REG)"/>
      <sheetName val="GL Recon"/>
      <sheetName val="Customer Count Summary"/>
      <sheetName val="2009 Payroll"/>
      <sheetName val="2010 Payroll"/>
      <sheetName val="2009,2010 Depr Summary"/>
      <sheetName val="Time Study"/>
      <sheetName val="2009 Insurance"/>
      <sheetName val="2010 Insurance"/>
      <sheetName val="2009 Disposal"/>
      <sheetName val="2010 Disposal"/>
      <sheetName val="2009 Fuel"/>
      <sheetName val="2009 Depr Summary"/>
      <sheetName val="2009 Trks"/>
      <sheetName val="2009 Cont, DB"/>
      <sheetName val="2009 Serv, Shop"/>
      <sheetName val="2009 Office"/>
      <sheetName val="2009 Leasehold"/>
      <sheetName val="2010 Fuel"/>
      <sheetName val="2010 Deprec Summary"/>
      <sheetName val="2010 Trks"/>
      <sheetName val="2010 Cont, DB"/>
      <sheetName val="2010 Serv, Shop"/>
      <sheetName val="2010 Office"/>
      <sheetName val="2010 Leasehold"/>
      <sheetName val="Region Allocation (2)"/>
      <sheetName val="LG-Total Company before DF"/>
      <sheetName val="LG-Packer Rts before DF"/>
      <sheetName val="LG-RO Rts before DF"/>
      <sheetName val="LG-Total Company"/>
      <sheetName val="LG-Packer Rts"/>
      <sheetName val="LG-RO Rts"/>
      <sheetName val="LG-Recycl"/>
      <sheetName val="Scenarios"/>
      <sheetName val="Scenarios (2)"/>
      <sheetName val="Notes"/>
    </sheetNames>
    <sheetDataSet>
      <sheetData sheetId="0" refreshError="1"/>
      <sheetData sheetId="1" refreshError="1"/>
      <sheetData sheetId="2" refreshError="1"/>
      <sheetData sheetId="3" refreshError="1"/>
      <sheetData sheetId="4" refreshError="1">
        <row r="12">
          <cell r="A12" t="str">
            <v>Revenue</v>
          </cell>
        </row>
        <row r="13">
          <cell r="A13" t="str">
            <v>Hauling</v>
          </cell>
        </row>
        <row r="14">
          <cell r="A14">
            <v>31000</v>
          </cell>
          <cell r="B14" t="str">
            <v>Hauling Revenue - Roll Off Permanent</v>
          </cell>
          <cell r="E14">
            <v>41429.11</v>
          </cell>
          <cell r="F14">
            <v>39826.22</v>
          </cell>
          <cell r="G14">
            <v>49022.75</v>
          </cell>
          <cell r="H14">
            <v>45137.86</v>
          </cell>
          <cell r="I14">
            <v>48263.81</v>
          </cell>
          <cell r="J14">
            <v>55314.5</v>
          </cell>
          <cell r="K14">
            <v>60046.02</v>
          </cell>
          <cell r="L14">
            <v>64582.7</v>
          </cell>
          <cell r="M14">
            <v>55932.07</v>
          </cell>
          <cell r="N14">
            <v>50932.34</v>
          </cell>
          <cell r="O14">
            <v>38587.67</v>
          </cell>
          <cell r="P14">
            <v>43420.76</v>
          </cell>
          <cell r="Q14">
            <v>592495.81000000006</v>
          </cell>
        </row>
        <row r="15">
          <cell r="A15">
            <v>31001</v>
          </cell>
          <cell r="B15" t="str">
            <v>Hauling Revenue - Roll Off Temporary</v>
          </cell>
          <cell r="E15">
            <v>0</v>
          </cell>
          <cell r="F15">
            <v>0</v>
          </cell>
          <cell r="G15">
            <v>0</v>
          </cell>
          <cell r="H15">
            <v>0</v>
          </cell>
          <cell r="I15">
            <v>0</v>
          </cell>
          <cell r="J15">
            <v>0</v>
          </cell>
          <cell r="K15">
            <v>0</v>
          </cell>
          <cell r="L15">
            <v>0</v>
          </cell>
          <cell r="M15">
            <v>0</v>
          </cell>
          <cell r="N15">
            <v>0</v>
          </cell>
          <cell r="O15">
            <v>0</v>
          </cell>
          <cell r="P15">
            <v>0</v>
          </cell>
          <cell r="Q15">
            <v>0</v>
          </cell>
        </row>
        <row r="16">
          <cell r="A16">
            <v>31002</v>
          </cell>
          <cell r="B16" t="str">
            <v>Hauling Revenue - Roll Off Rental</v>
          </cell>
          <cell r="E16">
            <v>0</v>
          </cell>
          <cell r="F16">
            <v>0</v>
          </cell>
          <cell r="G16">
            <v>0</v>
          </cell>
          <cell r="H16">
            <v>0</v>
          </cell>
          <cell r="I16">
            <v>0</v>
          </cell>
          <cell r="J16">
            <v>0</v>
          </cell>
          <cell r="K16">
            <v>0</v>
          </cell>
          <cell r="L16">
            <v>0</v>
          </cell>
          <cell r="M16">
            <v>0</v>
          </cell>
          <cell r="N16">
            <v>0</v>
          </cell>
          <cell r="O16">
            <v>0</v>
          </cell>
          <cell r="P16">
            <v>0</v>
          </cell>
          <cell r="Q16">
            <v>0</v>
          </cell>
        </row>
        <row r="17">
          <cell r="A17">
            <v>31003</v>
          </cell>
          <cell r="B17" t="str">
            <v>Hauling Revenue - Roll Off Compactor Ren</v>
          </cell>
          <cell r="E17">
            <v>0</v>
          </cell>
          <cell r="F17">
            <v>0</v>
          </cell>
          <cell r="G17">
            <v>0</v>
          </cell>
          <cell r="H17">
            <v>0</v>
          </cell>
          <cell r="I17">
            <v>0</v>
          </cell>
          <cell r="J17">
            <v>0</v>
          </cell>
          <cell r="K17">
            <v>0</v>
          </cell>
          <cell r="L17">
            <v>0</v>
          </cell>
          <cell r="M17">
            <v>0</v>
          </cell>
          <cell r="N17">
            <v>0</v>
          </cell>
          <cell r="O17">
            <v>0</v>
          </cell>
          <cell r="P17">
            <v>0</v>
          </cell>
          <cell r="Q17">
            <v>0</v>
          </cell>
        </row>
        <row r="18">
          <cell r="A18">
            <v>31004</v>
          </cell>
          <cell r="B18" t="str">
            <v>Hauling Revenue - Roll Off Recycling</v>
          </cell>
          <cell r="E18">
            <v>0</v>
          </cell>
          <cell r="F18">
            <v>0</v>
          </cell>
          <cell r="G18">
            <v>0</v>
          </cell>
          <cell r="H18">
            <v>0</v>
          </cell>
          <cell r="I18">
            <v>0</v>
          </cell>
          <cell r="J18">
            <v>0</v>
          </cell>
          <cell r="K18">
            <v>0</v>
          </cell>
          <cell r="L18">
            <v>0</v>
          </cell>
          <cell r="M18">
            <v>0</v>
          </cell>
          <cell r="N18">
            <v>0</v>
          </cell>
          <cell r="O18">
            <v>0</v>
          </cell>
          <cell r="P18">
            <v>0</v>
          </cell>
          <cell r="Q18">
            <v>0</v>
          </cell>
        </row>
        <row r="19">
          <cell r="A19">
            <v>31005</v>
          </cell>
          <cell r="B19" t="str">
            <v>Corporate Roll Off Disposal Charge</v>
          </cell>
          <cell r="E19">
            <v>93946.63</v>
          </cell>
          <cell r="F19">
            <v>91101.8</v>
          </cell>
          <cell r="G19">
            <v>108743.12</v>
          </cell>
          <cell r="H19">
            <v>100411.54</v>
          </cell>
          <cell r="I19">
            <v>109421.85</v>
          </cell>
          <cell r="J19">
            <v>119111.11</v>
          </cell>
          <cell r="K19">
            <v>114939.05</v>
          </cell>
          <cell r="L19">
            <v>123201.29</v>
          </cell>
          <cell r="M19">
            <v>128616.56</v>
          </cell>
          <cell r="N19">
            <v>103849.76</v>
          </cell>
          <cell r="O19">
            <v>87162.7</v>
          </cell>
          <cell r="P19">
            <v>101585.44</v>
          </cell>
          <cell r="Q19">
            <v>1282090.8499999999</v>
          </cell>
        </row>
        <row r="20">
          <cell r="A20">
            <v>31008</v>
          </cell>
          <cell r="B20" t="str">
            <v>Hauling Revenue - Roll Off Adjustments</v>
          </cell>
          <cell r="E20">
            <v>0</v>
          </cell>
          <cell r="F20">
            <v>0</v>
          </cell>
          <cell r="G20">
            <v>0</v>
          </cell>
          <cell r="H20">
            <v>0</v>
          </cell>
          <cell r="I20">
            <v>0</v>
          </cell>
          <cell r="J20">
            <v>0</v>
          </cell>
          <cell r="K20">
            <v>0</v>
          </cell>
          <cell r="L20">
            <v>0</v>
          </cell>
          <cell r="M20">
            <v>0</v>
          </cell>
          <cell r="N20">
            <v>0</v>
          </cell>
          <cell r="O20">
            <v>0</v>
          </cell>
          <cell r="P20">
            <v>0</v>
          </cell>
          <cell r="Q20">
            <v>0</v>
          </cell>
        </row>
        <row r="21">
          <cell r="A21">
            <v>31009</v>
          </cell>
          <cell r="B21" t="str">
            <v>Hauling Revenue - Roll Off Intercompany</v>
          </cell>
          <cell r="E21">
            <v>0</v>
          </cell>
          <cell r="F21">
            <v>0</v>
          </cell>
          <cell r="G21">
            <v>0</v>
          </cell>
          <cell r="H21">
            <v>0</v>
          </cell>
          <cell r="I21">
            <v>0</v>
          </cell>
          <cell r="J21">
            <v>0</v>
          </cell>
          <cell r="K21">
            <v>0</v>
          </cell>
          <cell r="L21">
            <v>0</v>
          </cell>
          <cell r="M21">
            <v>0</v>
          </cell>
          <cell r="N21">
            <v>0</v>
          </cell>
          <cell r="O21">
            <v>0</v>
          </cell>
          <cell r="P21">
            <v>0</v>
          </cell>
          <cell r="Q21">
            <v>0</v>
          </cell>
        </row>
        <row r="22">
          <cell r="A22">
            <v>31010</v>
          </cell>
          <cell r="B22" t="str">
            <v>Hauling Revenue - Roll Off Extras</v>
          </cell>
          <cell r="E22">
            <v>16354.41</v>
          </cell>
          <cell r="F22">
            <v>16430.849999999999</v>
          </cell>
          <cell r="G22">
            <v>18226.63</v>
          </cell>
          <cell r="H22">
            <v>17972.400000000001</v>
          </cell>
          <cell r="I22">
            <v>18790.919999999998</v>
          </cell>
          <cell r="J22">
            <v>19705.3</v>
          </cell>
          <cell r="K22">
            <v>21354.080000000002</v>
          </cell>
          <cell r="L22">
            <v>22365.29</v>
          </cell>
          <cell r="M22">
            <v>20804.36</v>
          </cell>
          <cell r="N22">
            <v>18374.21</v>
          </cell>
          <cell r="O22">
            <v>17346.11</v>
          </cell>
          <cell r="P22">
            <v>15627.2</v>
          </cell>
          <cell r="Q22">
            <v>223351.76</v>
          </cell>
        </row>
        <row r="23">
          <cell r="A23">
            <v>31020</v>
          </cell>
          <cell r="B23" t="str">
            <v>Hauling Revenue - Roll Off Special Waste</v>
          </cell>
          <cell r="E23">
            <v>0</v>
          </cell>
          <cell r="F23">
            <v>0</v>
          </cell>
          <cell r="G23">
            <v>0</v>
          </cell>
          <cell r="H23">
            <v>0</v>
          </cell>
          <cell r="I23">
            <v>0</v>
          </cell>
          <cell r="J23">
            <v>0</v>
          </cell>
          <cell r="K23">
            <v>0</v>
          </cell>
          <cell r="L23">
            <v>0</v>
          </cell>
          <cell r="M23">
            <v>0</v>
          </cell>
          <cell r="N23">
            <v>0</v>
          </cell>
          <cell r="O23">
            <v>0</v>
          </cell>
          <cell r="P23">
            <v>0</v>
          </cell>
          <cell r="Q23">
            <v>0</v>
          </cell>
        </row>
        <row r="24">
          <cell r="A24">
            <v>31021</v>
          </cell>
          <cell r="B24" t="str">
            <v>Hauling Revenue - Roll Off Special Waste</v>
          </cell>
          <cell r="E24">
            <v>0</v>
          </cell>
          <cell r="F24">
            <v>0</v>
          </cell>
          <cell r="G24">
            <v>0</v>
          </cell>
          <cell r="H24">
            <v>0</v>
          </cell>
          <cell r="I24">
            <v>0</v>
          </cell>
          <cell r="J24">
            <v>0</v>
          </cell>
          <cell r="K24">
            <v>0</v>
          </cell>
          <cell r="L24">
            <v>0</v>
          </cell>
          <cell r="M24">
            <v>0</v>
          </cell>
          <cell r="N24">
            <v>0</v>
          </cell>
          <cell r="O24">
            <v>0</v>
          </cell>
          <cell r="P24">
            <v>0</v>
          </cell>
          <cell r="Q24">
            <v>0</v>
          </cell>
        </row>
        <row r="25">
          <cell r="A25">
            <v>31029</v>
          </cell>
          <cell r="B25" t="str">
            <v>Hauling Revenue - Roll Off Special Waste</v>
          </cell>
          <cell r="E25">
            <v>0</v>
          </cell>
          <cell r="F25">
            <v>0</v>
          </cell>
          <cell r="G25">
            <v>0</v>
          </cell>
          <cell r="H25">
            <v>0</v>
          </cell>
          <cell r="I25">
            <v>0</v>
          </cell>
          <cell r="J25">
            <v>0</v>
          </cell>
          <cell r="K25">
            <v>0</v>
          </cell>
          <cell r="L25">
            <v>0</v>
          </cell>
          <cell r="M25">
            <v>0</v>
          </cell>
          <cell r="N25">
            <v>0</v>
          </cell>
          <cell r="O25">
            <v>0</v>
          </cell>
          <cell r="P25">
            <v>0</v>
          </cell>
          <cell r="Q25">
            <v>0</v>
          </cell>
        </row>
        <row r="26">
          <cell r="A26">
            <v>32000</v>
          </cell>
          <cell r="B26" t="str">
            <v>Hauling Revenue - Residential MSW</v>
          </cell>
          <cell r="E26">
            <v>754535.74</v>
          </cell>
          <cell r="F26">
            <v>750848.79</v>
          </cell>
          <cell r="G26">
            <v>751484.07</v>
          </cell>
          <cell r="H26">
            <v>759461.88</v>
          </cell>
          <cell r="I26">
            <v>756344.84</v>
          </cell>
          <cell r="J26">
            <v>762351.19</v>
          </cell>
          <cell r="K26">
            <v>763571.04</v>
          </cell>
          <cell r="L26">
            <v>762014.08</v>
          </cell>
          <cell r="M26">
            <v>763381.19</v>
          </cell>
          <cell r="N26">
            <v>760410.82</v>
          </cell>
          <cell r="O26">
            <v>760222.53</v>
          </cell>
          <cell r="P26">
            <v>757663.07</v>
          </cell>
          <cell r="Q26">
            <v>9102289.2400000002</v>
          </cell>
        </row>
        <row r="27">
          <cell r="A27">
            <v>32001</v>
          </cell>
          <cell r="B27" t="str">
            <v>Hauling Revenue - Residential MSW Extras</v>
          </cell>
          <cell r="E27">
            <v>48676.93</v>
          </cell>
          <cell r="F27">
            <v>46005.81</v>
          </cell>
          <cell r="G27">
            <v>44057.39</v>
          </cell>
          <cell r="H27">
            <v>54145.79</v>
          </cell>
          <cell r="I27">
            <v>47089.22</v>
          </cell>
          <cell r="J27">
            <v>62711.39</v>
          </cell>
          <cell r="K27">
            <v>60222.84</v>
          </cell>
          <cell r="L27">
            <v>63321.38</v>
          </cell>
          <cell r="M27">
            <v>48663.92</v>
          </cell>
          <cell r="N27">
            <v>45750.71</v>
          </cell>
          <cell r="O27">
            <v>44578.41</v>
          </cell>
          <cell r="P27">
            <v>66011.64</v>
          </cell>
          <cell r="Q27">
            <v>631235.43000000005</v>
          </cell>
        </row>
        <row r="28">
          <cell r="A28">
            <v>32002</v>
          </cell>
          <cell r="B28" t="str">
            <v>Hauling Revenue - Residential MSW Adjust</v>
          </cell>
          <cell r="E28">
            <v>0</v>
          </cell>
          <cell r="F28">
            <v>0</v>
          </cell>
          <cell r="G28">
            <v>0</v>
          </cell>
          <cell r="H28">
            <v>0</v>
          </cell>
          <cell r="I28">
            <v>0</v>
          </cell>
          <cell r="J28">
            <v>0</v>
          </cell>
          <cell r="K28">
            <v>0</v>
          </cell>
          <cell r="L28">
            <v>0</v>
          </cell>
          <cell r="M28">
            <v>0</v>
          </cell>
          <cell r="N28">
            <v>0</v>
          </cell>
          <cell r="O28">
            <v>0</v>
          </cell>
          <cell r="P28">
            <v>0</v>
          </cell>
          <cell r="Q28">
            <v>0</v>
          </cell>
        </row>
        <row r="29">
          <cell r="A29">
            <v>32003</v>
          </cell>
          <cell r="B29" t="str">
            <v>Hauling Revenue - Residential MSW Specia</v>
          </cell>
          <cell r="E29">
            <v>0</v>
          </cell>
          <cell r="F29">
            <v>0</v>
          </cell>
          <cell r="G29">
            <v>0</v>
          </cell>
          <cell r="H29">
            <v>0</v>
          </cell>
          <cell r="I29">
            <v>0</v>
          </cell>
          <cell r="J29">
            <v>0</v>
          </cell>
          <cell r="K29">
            <v>0</v>
          </cell>
          <cell r="L29">
            <v>0</v>
          </cell>
          <cell r="M29">
            <v>0</v>
          </cell>
          <cell r="N29">
            <v>0</v>
          </cell>
          <cell r="O29">
            <v>0</v>
          </cell>
          <cell r="P29">
            <v>0</v>
          </cell>
          <cell r="Q29">
            <v>0</v>
          </cell>
        </row>
        <row r="30">
          <cell r="A30">
            <v>32009</v>
          </cell>
          <cell r="B30" t="str">
            <v>Hauling Revenue - Residential MSW Interc</v>
          </cell>
          <cell r="E30">
            <v>0</v>
          </cell>
          <cell r="F30">
            <v>0</v>
          </cell>
          <cell r="G30">
            <v>0</v>
          </cell>
          <cell r="H30">
            <v>0</v>
          </cell>
          <cell r="I30">
            <v>0</v>
          </cell>
          <cell r="J30">
            <v>0</v>
          </cell>
          <cell r="K30">
            <v>0</v>
          </cell>
          <cell r="L30">
            <v>0</v>
          </cell>
          <cell r="M30">
            <v>0</v>
          </cell>
          <cell r="N30">
            <v>0</v>
          </cell>
          <cell r="O30">
            <v>0</v>
          </cell>
          <cell r="P30">
            <v>0</v>
          </cell>
          <cell r="Q30">
            <v>0</v>
          </cell>
        </row>
        <row r="31">
          <cell r="A31">
            <v>32100</v>
          </cell>
          <cell r="B31" t="str">
            <v>Hauling Revenue - Residential Recycling</v>
          </cell>
          <cell r="E31">
            <v>0</v>
          </cell>
          <cell r="F31">
            <v>0</v>
          </cell>
          <cell r="G31">
            <v>0</v>
          </cell>
          <cell r="H31">
            <v>0</v>
          </cell>
          <cell r="I31">
            <v>0</v>
          </cell>
          <cell r="J31">
            <v>0</v>
          </cell>
          <cell r="K31">
            <v>0</v>
          </cell>
          <cell r="L31">
            <v>0</v>
          </cell>
          <cell r="M31">
            <v>0</v>
          </cell>
          <cell r="N31">
            <v>0</v>
          </cell>
          <cell r="O31">
            <v>0</v>
          </cell>
          <cell r="P31">
            <v>0</v>
          </cell>
          <cell r="Q31">
            <v>0</v>
          </cell>
        </row>
        <row r="32">
          <cell r="A32">
            <v>32101</v>
          </cell>
          <cell r="B32" t="str">
            <v>Hauling Revenue - Residential Recycling</v>
          </cell>
          <cell r="E32">
            <v>0</v>
          </cell>
          <cell r="F32">
            <v>0</v>
          </cell>
          <cell r="G32">
            <v>0</v>
          </cell>
          <cell r="H32">
            <v>0</v>
          </cell>
          <cell r="I32">
            <v>0</v>
          </cell>
          <cell r="J32">
            <v>0</v>
          </cell>
          <cell r="K32">
            <v>0</v>
          </cell>
          <cell r="L32">
            <v>0</v>
          </cell>
          <cell r="M32">
            <v>0</v>
          </cell>
          <cell r="N32">
            <v>0</v>
          </cell>
          <cell r="O32">
            <v>0</v>
          </cell>
          <cell r="P32">
            <v>0</v>
          </cell>
          <cell r="Q32">
            <v>0</v>
          </cell>
        </row>
        <row r="33">
          <cell r="A33">
            <v>32102</v>
          </cell>
          <cell r="B33" t="str">
            <v>Hauling Revenue - Residential Recycling</v>
          </cell>
          <cell r="E33">
            <v>0</v>
          </cell>
          <cell r="F33">
            <v>0</v>
          </cell>
          <cell r="G33">
            <v>0</v>
          </cell>
          <cell r="H33">
            <v>0</v>
          </cell>
          <cell r="I33">
            <v>0</v>
          </cell>
          <cell r="J33">
            <v>0</v>
          </cell>
          <cell r="K33">
            <v>0</v>
          </cell>
          <cell r="L33">
            <v>0</v>
          </cell>
          <cell r="M33">
            <v>0</v>
          </cell>
          <cell r="N33">
            <v>0</v>
          </cell>
          <cell r="O33">
            <v>0</v>
          </cell>
          <cell r="P33">
            <v>0</v>
          </cell>
          <cell r="Q33">
            <v>0</v>
          </cell>
        </row>
        <row r="34">
          <cell r="A34">
            <v>32103</v>
          </cell>
          <cell r="B34" t="str">
            <v>Hauling Revenue - Residential Recycling</v>
          </cell>
          <cell r="E34">
            <v>0</v>
          </cell>
          <cell r="F34">
            <v>0</v>
          </cell>
          <cell r="G34">
            <v>0</v>
          </cell>
          <cell r="H34">
            <v>0</v>
          </cell>
          <cell r="I34">
            <v>0</v>
          </cell>
          <cell r="J34">
            <v>0</v>
          </cell>
          <cell r="K34">
            <v>0</v>
          </cell>
          <cell r="L34">
            <v>0</v>
          </cell>
          <cell r="M34">
            <v>0</v>
          </cell>
          <cell r="N34">
            <v>0</v>
          </cell>
          <cell r="O34">
            <v>0</v>
          </cell>
          <cell r="P34">
            <v>0</v>
          </cell>
          <cell r="Q34">
            <v>0</v>
          </cell>
        </row>
        <row r="35">
          <cell r="A35">
            <v>32109</v>
          </cell>
          <cell r="B35" t="str">
            <v>Hauling Revenue - Residential Recycling</v>
          </cell>
          <cell r="E35">
            <v>0</v>
          </cell>
          <cell r="F35">
            <v>0</v>
          </cell>
          <cell r="G35">
            <v>0</v>
          </cell>
          <cell r="H35">
            <v>0</v>
          </cell>
          <cell r="I35">
            <v>0</v>
          </cell>
          <cell r="J35">
            <v>0</v>
          </cell>
          <cell r="K35">
            <v>0</v>
          </cell>
          <cell r="L35">
            <v>0</v>
          </cell>
          <cell r="M35">
            <v>0</v>
          </cell>
          <cell r="N35">
            <v>0</v>
          </cell>
          <cell r="O35">
            <v>0</v>
          </cell>
          <cell r="P35">
            <v>0</v>
          </cell>
          <cell r="Q35">
            <v>0</v>
          </cell>
        </row>
        <row r="36">
          <cell r="A36">
            <v>32110</v>
          </cell>
          <cell r="B36" t="str">
            <v>Hauling Revenue - Residential Composting</v>
          </cell>
          <cell r="E36">
            <v>0</v>
          </cell>
          <cell r="F36">
            <v>0</v>
          </cell>
          <cell r="G36">
            <v>0</v>
          </cell>
          <cell r="H36">
            <v>0</v>
          </cell>
          <cell r="I36">
            <v>0</v>
          </cell>
          <cell r="J36">
            <v>0</v>
          </cell>
          <cell r="K36">
            <v>0</v>
          </cell>
          <cell r="L36">
            <v>0</v>
          </cell>
          <cell r="M36">
            <v>0</v>
          </cell>
          <cell r="N36">
            <v>0</v>
          </cell>
          <cell r="O36">
            <v>0</v>
          </cell>
          <cell r="P36">
            <v>0</v>
          </cell>
          <cell r="Q36">
            <v>0</v>
          </cell>
        </row>
        <row r="37">
          <cell r="A37">
            <v>32111</v>
          </cell>
          <cell r="B37" t="str">
            <v>Hauling Revenue - Residential Composting</v>
          </cell>
          <cell r="E37">
            <v>0</v>
          </cell>
          <cell r="F37">
            <v>0</v>
          </cell>
          <cell r="G37">
            <v>0</v>
          </cell>
          <cell r="H37">
            <v>0</v>
          </cell>
          <cell r="I37">
            <v>0</v>
          </cell>
          <cell r="J37">
            <v>0</v>
          </cell>
          <cell r="K37">
            <v>0</v>
          </cell>
          <cell r="L37">
            <v>0</v>
          </cell>
          <cell r="M37">
            <v>0</v>
          </cell>
          <cell r="N37">
            <v>0</v>
          </cell>
          <cell r="O37">
            <v>0</v>
          </cell>
          <cell r="P37">
            <v>0</v>
          </cell>
          <cell r="Q37">
            <v>0</v>
          </cell>
        </row>
        <row r="38">
          <cell r="A38">
            <v>32112</v>
          </cell>
          <cell r="B38" t="str">
            <v>Hauling Revenue - Residential Composting</v>
          </cell>
          <cell r="E38">
            <v>0</v>
          </cell>
          <cell r="F38">
            <v>0</v>
          </cell>
          <cell r="G38">
            <v>0</v>
          </cell>
          <cell r="H38">
            <v>0</v>
          </cell>
          <cell r="I38">
            <v>0</v>
          </cell>
          <cell r="J38">
            <v>0</v>
          </cell>
          <cell r="K38">
            <v>0</v>
          </cell>
          <cell r="L38">
            <v>0</v>
          </cell>
          <cell r="M38">
            <v>0</v>
          </cell>
          <cell r="N38">
            <v>0</v>
          </cell>
          <cell r="O38">
            <v>0</v>
          </cell>
          <cell r="P38">
            <v>0</v>
          </cell>
          <cell r="Q38">
            <v>0</v>
          </cell>
        </row>
        <row r="39">
          <cell r="A39">
            <v>32113</v>
          </cell>
          <cell r="B39" t="str">
            <v>Hauling Revenue - Residential Composting</v>
          </cell>
          <cell r="E39">
            <v>0</v>
          </cell>
          <cell r="F39">
            <v>0</v>
          </cell>
          <cell r="G39">
            <v>0</v>
          </cell>
          <cell r="H39">
            <v>0</v>
          </cell>
          <cell r="I39">
            <v>0</v>
          </cell>
          <cell r="J39">
            <v>0</v>
          </cell>
          <cell r="K39">
            <v>0</v>
          </cell>
          <cell r="L39">
            <v>0</v>
          </cell>
          <cell r="M39">
            <v>0</v>
          </cell>
          <cell r="N39">
            <v>0</v>
          </cell>
          <cell r="O39">
            <v>0</v>
          </cell>
          <cell r="P39">
            <v>0</v>
          </cell>
          <cell r="Q39">
            <v>0</v>
          </cell>
        </row>
        <row r="40">
          <cell r="A40">
            <v>32119</v>
          </cell>
          <cell r="B40" t="str">
            <v>Hauling Revenue - Residential Composting</v>
          </cell>
          <cell r="E40">
            <v>0</v>
          </cell>
          <cell r="F40">
            <v>0</v>
          </cell>
          <cell r="G40">
            <v>0</v>
          </cell>
          <cell r="H40">
            <v>0</v>
          </cell>
          <cell r="I40">
            <v>0</v>
          </cell>
          <cell r="J40">
            <v>0</v>
          </cell>
          <cell r="K40">
            <v>0</v>
          </cell>
          <cell r="L40">
            <v>0</v>
          </cell>
          <cell r="M40">
            <v>0</v>
          </cell>
          <cell r="N40">
            <v>0</v>
          </cell>
          <cell r="O40">
            <v>0</v>
          </cell>
          <cell r="P40">
            <v>0</v>
          </cell>
          <cell r="Q40">
            <v>0</v>
          </cell>
        </row>
        <row r="41">
          <cell r="A41">
            <v>33000</v>
          </cell>
          <cell r="B41" t="str">
            <v>Hauling Revenue - Commercial FEL</v>
          </cell>
          <cell r="E41">
            <v>414760.73</v>
          </cell>
          <cell r="F41">
            <v>412841.01</v>
          </cell>
          <cell r="G41">
            <v>416757.93</v>
          </cell>
          <cell r="H41">
            <v>417298.76</v>
          </cell>
          <cell r="I41">
            <v>417121.97</v>
          </cell>
          <cell r="J41">
            <v>421939.51</v>
          </cell>
          <cell r="K41">
            <v>420917.49</v>
          </cell>
          <cell r="L41">
            <v>425821.47</v>
          </cell>
          <cell r="M41">
            <v>424192</v>
          </cell>
          <cell r="N41">
            <v>415412.9</v>
          </cell>
          <cell r="O41">
            <v>413023.47</v>
          </cell>
          <cell r="P41">
            <v>411406.25</v>
          </cell>
          <cell r="Q41">
            <v>5011493.49</v>
          </cell>
        </row>
        <row r="42">
          <cell r="A42">
            <v>33001</v>
          </cell>
          <cell r="B42" t="str">
            <v>Hauling Revenue - Commercial FEL Extras</v>
          </cell>
          <cell r="E42">
            <v>16369.94</v>
          </cell>
          <cell r="F42">
            <v>15223.46</v>
          </cell>
          <cell r="G42">
            <v>18054.59</v>
          </cell>
          <cell r="H42">
            <v>17483.330000000002</v>
          </cell>
          <cell r="I42">
            <v>19168.46</v>
          </cell>
          <cell r="J42">
            <v>18357.68</v>
          </cell>
          <cell r="K42">
            <v>21453.19</v>
          </cell>
          <cell r="L42">
            <v>22591.22</v>
          </cell>
          <cell r="M42">
            <v>16352.74</v>
          </cell>
          <cell r="N42">
            <v>17430.650000000001</v>
          </cell>
          <cell r="O42">
            <v>16278.67</v>
          </cell>
          <cell r="P42">
            <v>16972.88</v>
          </cell>
          <cell r="Q42">
            <v>215736.81</v>
          </cell>
        </row>
        <row r="43">
          <cell r="A43">
            <v>33002</v>
          </cell>
          <cell r="B43" t="str">
            <v>Hauling Revenue - Commercial FEL Adjustm</v>
          </cell>
          <cell r="E43">
            <v>0</v>
          </cell>
          <cell r="F43">
            <v>0</v>
          </cell>
          <cell r="G43">
            <v>0</v>
          </cell>
          <cell r="H43">
            <v>0</v>
          </cell>
          <cell r="I43">
            <v>0</v>
          </cell>
          <cell r="J43">
            <v>0</v>
          </cell>
          <cell r="K43">
            <v>0</v>
          </cell>
          <cell r="L43">
            <v>0</v>
          </cell>
          <cell r="M43">
            <v>0</v>
          </cell>
          <cell r="N43">
            <v>0</v>
          </cell>
          <cell r="O43">
            <v>0</v>
          </cell>
          <cell r="P43">
            <v>0</v>
          </cell>
          <cell r="Q43">
            <v>0</v>
          </cell>
        </row>
        <row r="44">
          <cell r="A44">
            <v>33009</v>
          </cell>
          <cell r="B44" t="str">
            <v>Hauling Revenue - Commercial FEL Interco</v>
          </cell>
          <cell r="E44">
            <v>0</v>
          </cell>
          <cell r="F44">
            <v>0</v>
          </cell>
          <cell r="G44">
            <v>0</v>
          </cell>
          <cell r="H44">
            <v>0</v>
          </cell>
          <cell r="I44">
            <v>0</v>
          </cell>
          <cell r="J44">
            <v>0</v>
          </cell>
          <cell r="K44">
            <v>0</v>
          </cell>
          <cell r="L44">
            <v>0</v>
          </cell>
          <cell r="M44">
            <v>0</v>
          </cell>
          <cell r="N44">
            <v>0</v>
          </cell>
          <cell r="O44">
            <v>0</v>
          </cell>
          <cell r="P44">
            <v>0</v>
          </cell>
          <cell r="Q44">
            <v>0</v>
          </cell>
        </row>
        <row r="45">
          <cell r="A45">
            <v>33010</v>
          </cell>
          <cell r="B45" t="str">
            <v>Hauling Revenue - Commercial REL</v>
          </cell>
          <cell r="E45">
            <v>0</v>
          </cell>
          <cell r="F45">
            <v>0</v>
          </cell>
          <cell r="G45">
            <v>0</v>
          </cell>
          <cell r="H45">
            <v>0</v>
          </cell>
          <cell r="I45">
            <v>0</v>
          </cell>
          <cell r="J45">
            <v>0</v>
          </cell>
          <cell r="K45">
            <v>0</v>
          </cell>
          <cell r="L45">
            <v>0</v>
          </cell>
          <cell r="M45">
            <v>0</v>
          </cell>
          <cell r="N45">
            <v>0</v>
          </cell>
          <cell r="O45">
            <v>0</v>
          </cell>
          <cell r="P45">
            <v>0</v>
          </cell>
          <cell r="Q45">
            <v>0</v>
          </cell>
        </row>
        <row r="46">
          <cell r="A46">
            <v>33011</v>
          </cell>
          <cell r="B46" t="str">
            <v>Hauling Revenue - Commercial REL Extras</v>
          </cell>
          <cell r="E46">
            <v>0</v>
          </cell>
          <cell r="F46">
            <v>0</v>
          </cell>
          <cell r="G46">
            <v>0</v>
          </cell>
          <cell r="H46">
            <v>0</v>
          </cell>
          <cell r="I46">
            <v>0</v>
          </cell>
          <cell r="J46">
            <v>0</v>
          </cell>
          <cell r="K46">
            <v>0</v>
          </cell>
          <cell r="L46">
            <v>0</v>
          </cell>
          <cell r="M46">
            <v>0</v>
          </cell>
          <cell r="N46">
            <v>0</v>
          </cell>
          <cell r="O46">
            <v>0</v>
          </cell>
          <cell r="P46">
            <v>0</v>
          </cell>
          <cell r="Q46">
            <v>0</v>
          </cell>
        </row>
        <row r="47">
          <cell r="A47">
            <v>33012</v>
          </cell>
          <cell r="B47" t="str">
            <v>Hauling Revenue - Commercial REL Adjustm</v>
          </cell>
          <cell r="E47">
            <v>0</v>
          </cell>
          <cell r="F47">
            <v>0</v>
          </cell>
          <cell r="G47">
            <v>0</v>
          </cell>
          <cell r="H47">
            <v>0</v>
          </cell>
          <cell r="I47">
            <v>0</v>
          </cell>
          <cell r="J47">
            <v>0</v>
          </cell>
          <cell r="K47">
            <v>0</v>
          </cell>
          <cell r="L47">
            <v>0</v>
          </cell>
          <cell r="M47">
            <v>0</v>
          </cell>
          <cell r="N47">
            <v>0</v>
          </cell>
          <cell r="O47">
            <v>0</v>
          </cell>
          <cell r="P47">
            <v>0</v>
          </cell>
          <cell r="Q47">
            <v>0</v>
          </cell>
        </row>
        <row r="48">
          <cell r="A48">
            <v>33019</v>
          </cell>
          <cell r="B48" t="str">
            <v>Hauling Revenue - Commercial REL Interco</v>
          </cell>
          <cell r="E48">
            <v>0</v>
          </cell>
          <cell r="F48">
            <v>0</v>
          </cell>
          <cell r="G48">
            <v>0</v>
          </cell>
          <cell r="H48">
            <v>0</v>
          </cell>
          <cell r="I48">
            <v>0</v>
          </cell>
          <cell r="J48">
            <v>0</v>
          </cell>
          <cell r="K48">
            <v>0</v>
          </cell>
          <cell r="L48">
            <v>0</v>
          </cell>
          <cell r="M48">
            <v>0</v>
          </cell>
          <cell r="N48">
            <v>0</v>
          </cell>
          <cell r="O48">
            <v>0</v>
          </cell>
          <cell r="P48">
            <v>0</v>
          </cell>
          <cell r="Q48">
            <v>0</v>
          </cell>
        </row>
        <row r="49">
          <cell r="A49">
            <v>33020</v>
          </cell>
          <cell r="B49" t="str">
            <v>Hauling Revenue - Commercial Recycling F</v>
          </cell>
          <cell r="E49">
            <v>0</v>
          </cell>
          <cell r="F49">
            <v>0</v>
          </cell>
          <cell r="G49">
            <v>0</v>
          </cell>
          <cell r="H49">
            <v>0</v>
          </cell>
          <cell r="I49">
            <v>0</v>
          </cell>
          <cell r="J49">
            <v>0</v>
          </cell>
          <cell r="K49">
            <v>0</v>
          </cell>
          <cell r="L49">
            <v>0</v>
          </cell>
          <cell r="M49">
            <v>0</v>
          </cell>
          <cell r="N49">
            <v>0</v>
          </cell>
          <cell r="O49">
            <v>0</v>
          </cell>
          <cell r="P49">
            <v>0</v>
          </cell>
          <cell r="Q49">
            <v>0</v>
          </cell>
        </row>
        <row r="50">
          <cell r="A50">
            <v>33021</v>
          </cell>
          <cell r="B50" t="str">
            <v>Hauling Revenue - Commercial Recycling F</v>
          </cell>
          <cell r="E50">
            <v>0</v>
          </cell>
          <cell r="F50">
            <v>0</v>
          </cell>
          <cell r="G50">
            <v>0</v>
          </cell>
          <cell r="H50">
            <v>0</v>
          </cell>
          <cell r="I50">
            <v>0</v>
          </cell>
          <cell r="J50">
            <v>0</v>
          </cell>
          <cell r="K50">
            <v>0</v>
          </cell>
          <cell r="L50">
            <v>0</v>
          </cell>
          <cell r="M50">
            <v>0</v>
          </cell>
          <cell r="N50">
            <v>0</v>
          </cell>
          <cell r="O50">
            <v>0</v>
          </cell>
          <cell r="P50">
            <v>0</v>
          </cell>
          <cell r="Q50">
            <v>0</v>
          </cell>
        </row>
        <row r="51">
          <cell r="A51">
            <v>33022</v>
          </cell>
          <cell r="B51" t="str">
            <v>Hauling Revenue - Commercial Recycling F</v>
          </cell>
          <cell r="E51">
            <v>0</v>
          </cell>
          <cell r="F51">
            <v>0</v>
          </cell>
          <cell r="G51">
            <v>0</v>
          </cell>
          <cell r="H51">
            <v>0</v>
          </cell>
          <cell r="I51">
            <v>0</v>
          </cell>
          <cell r="J51">
            <v>0</v>
          </cell>
          <cell r="K51">
            <v>0</v>
          </cell>
          <cell r="L51">
            <v>0</v>
          </cell>
          <cell r="M51">
            <v>0</v>
          </cell>
          <cell r="N51">
            <v>0</v>
          </cell>
          <cell r="O51">
            <v>0</v>
          </cell>
          <cell r="P51">
            <v>0</v>
          </cell>
          <cell r="Q51">
            <v>0</v>
          </cell>
        </row>
        <row r="52">
          <cell r="A52">
            <v>33029</v>
          </cell>
          <cell r="B52" t="str">
            <v>Hauling Revenue - Commercial Recycling F</v>
          </cell>
          <cell r="E52">
            <v>0</v>
          </cell>
          <cell r="F52">
            <v>0</v>
          </cell>
          <cell r="G52">
            <v>0</v>
          </cell>
          <cell r="H52">
            <v>0</v>
          </cell>
          <cell r="I52">
            <v>0</v>
          </cell>
          <cell r="J52">
            <v>0</v>
          </cell>
          <cell r="K52">
            <v>0</v>
          </cell>
          <cell r="L52">
            <v>0</v>
          </cell>
          <cell r="M52">
            <v>0</v>
          </cell>
          <cell r="N52">
            <v>0</v>
          </cell>
          <cell r="O52">
            <v>0</v>
          </cell>
          <cell r="P52">
            <v>0</v>
          </cell>
          <cell r="Q52">
            <v>0</v>
          </cell>
        </row>
        <row r="53">
          <cell r="A53">
            <v>33030</v>
          </cell>
          <cell r="B53" t="str">
            <v>Hauling Revenue - Commercial Recycling R</v>
          </cell>
          <cell r="E53">
            <v>0</v>
          </cell>
          <cell r="F53">
            <v>0</v>
          </cell>
          <cell r="G53">
            <v>0</v>
          </cell>
          <cell r="H53">
            <v>0</v>
          </cell>
          <cell r="I53">
            <v>0</v>
          </cell>
          <cell r="J53">
            <v>0</v>
          </cell>
          <cell r="K53">
            <v>0</v>
          </cell>
          <cell r="L53">
            <v>0</v>
          </cell>
          <cell r="M53">
            <v>0</v>
          </cell>
          <cell r="N53">
            <v>0</v>
          </cell>
          <cell r="O53">
            <v>0</v>
          </cell>
          <cell r="P53">
            <v>0</v>
          </cell>
          <cell r="Q53">
            <v>0</v>
          </cell>
        </row>
        <row r="54">
          <cell r="A54">
            <v>33031</v>
          </cell>
          <cell r="B54" t="str">
            <v>Hauling Revenue - Commercial Recycling R</v>
          </cell>
          <cell r="E54">
            <v>0</v>
          </cell>
          <cell r="F54">
            <v>0</v>
          </cell>
          <cell r="G54">
            <v>0</v>
          </cell>
          <cell r="H54">
            <v>0</v>
          </cell>
          <cell r="I54">
            <v>0</v>
          </cell>
          <cell r="J54">
            <v>0</v>
          </cell>
          <cell r="K54">
            <v>0</v>
          </cell>
          <cell r="L54">
            <v>0</v>
          </cell>
          <cell r="M54">
            <v>0</v>
          </cell>
          <cell r="N54">
            <v>0</v>
          </cell>
          <cell r="O54">
            <v>0</v>
          </cell>
          <cell r="P54">
            <v>0</v>
          </cell>
          <cell r="Q54">
            <v>0</v>
          </cell>
        </row>
        <row r="55">
          <cell r="A55">
            <v>33032</v>
          </cell>
          <cell r="B55" t="str">
            <v>Hauling Revenue - Commercial Recycling R</v>
          </cell>
          <cell r="E55">
            <v>0</v>
          </cell>
          <cell r="F55">
            <v>0</v>
          </cell>
          <cell r="G55">
            <v>0</v>
          </cell>
          <cell r="H55">
            <v>0</v>
          </cell>
          <cell r="I55">
            <v>0</v>
          </cell>
          <cell r="J55">
            <v>0</v>
          </cell>
          <cell r="K55">
            <v>0</v>
          </cell>
          <cell r="L55">
            <v>0</v>
          </cell>
          <cell r="M55">
            <v>0</v>
          </cell>
          <cell r="N55">
            <v>0</v>
          </cell>
          <cell r="O55">
            <v>0</v>
          </cell>
          <cell r="P55">
            <v>0</v>
          </cell>
          <cell r="Q55">
            <v>0</v>
          </cell>
        </row>
        <row r="56">
          <cell r="A56">
            <v>33039</v>
          </cell>
          <cell r="B56" t="str">
            <v>Hauling Revenue - Commercial Recycling R</v>
          </cell>
          <cell r="E56">
            <v>0</v>
          </cell>
          <cell r="F56">
            <v>0</v>
          </cell>
          <cell r="G56">
            <v>0</v>
          </cell>
          <cell r="H56">
            <v>0</v>
          </cell>
          <cell r="I56">
            <v>0</v>
          </cell>
          <cell r="J56">
            <v>0</v>
          </cell>
          <cell r="K56">
            <v>0</v>
          </cell>
          <cell r="L56">
            <v>0</v>
          </cell>
          <cell r="M56">
            <v>0</v>
          </cell>
          <cell r="N56">
            <v>0</v>
          </cell>
          <cell r="O56">
            <v>0</v>
          </cell>
          <cell r="P56">
            <v>0</v>
          </cell>
          <cell r="Q56">
            <v>0</v>
          </cell>
        </row>
        <row r="57">
          <cell r="A57">
            <v>33500</v>
          </cell>
          <cell r="B57" t="str">
            <v>Portable Toilet Revenue</v>
          </cell>
          <cell r="E57">
            <v>0</v>
          </cell>
          <cell r="F57">
            <v>0</v>
          </cell>
          <cell r="G57">
            <v>0</v>
          </cell>
          <cell r="H57">
            <v>0</v>
          </cell>
          <cell r="I57">
            <v>0</v>
          </cell>
          <cell r="J57">
            <v>0</v>
          </cell>
          <cell r="K57">
            <v>0</v>
          </cell>
          <cell r="L57">
            <v>0</v>
          </cell>
          <cell r="M57">
            <v>0</v>
          </cell>
          <cell r="N57">
            <v>0</v>
          </cell>
          <cell r="O57">
            <v>0</v>
          </cell>
          <cell r="P57">
            <v>0</v>
          </cell>
          <cell r="Q57">
            <v>0</v>
          </cell>
        </row>
        <row r="58">
          <cell r="A58">
            <v>33501</v>
          </cell>
          <cell r="B58" t="str">
            <v>Portable Toilet Extras</v>
          </cell>
          <cell r="E58">
            <v>0</v>
          </cell>
          <cell r="F58">
            <v>0</v>
          </cell>
          <cell r="G58">
            <v>0</v>
          </cell>
          <cell r="H58">
            <v>0</v>
          </cell>
          <cell r="I58">
            <v>0</v>
          </cell>
          <cell r="J58">
            <v>0</v>
          </cell>
          <cell r="K58">
            <v>0</v>
          </cell>
          <cell r="L58">
            <v>0</v>
          </cell>
          <cell r="M58">
            <v>0</v>
          </cell>
          <cell r="N58">
            <v>0</v>
          </cell>
          <cell r="O58">
            <v>0</v>
          </cell>
          <cell r="P58">
            <v>0</v>
          </cell>
          <cell r="Q58">
            <v>0</v>
          </cell>
        </row>
        <row r="59">
          <cell r="A59">
            <v>33502</v>
          </cell>
          <cell r="B59" t="str">
            <v>Portable Toilet Adjustments</v>
          </cell>
          <cell r="E59">
            <v>0</v>
          </cell>
          <cell r="F59">
            <v>0</v>
          </cell>
          <cell r="G59">
            <v>0</v>
          </cell>
          <cell r="H59">
            <v>0</v>
          </cell>
          <cell r="I59">
            <v>0</v>
          </cell>
          <cell r="J59">
            <v>0</v>
          </cell>
          <cell r="K59">
            <v>0</v>
          </cell>
          <cell r="L59">
            <v>0</v>
          </cell>
          <cell r="M59">
            <v>0</v>
          </cell>
          <cell r="N59">
            <v>0</v>
          </cell>
          <cell r="O59">
            <v>0</v>
          </cell>
          <cell r="P59">
            <v>0</v>
          </cell>
          <cell r="Q59">
            <v>0</v>
          </cell>
        </row>
        <row r="60">
          <cell r="A60">
            <v>33509</v>
          </cell>
          <cell r="B60" t="str">
            <v>Portable Toilet Intercompany</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Total Hauling</v>
          </cell>
          <cell r="E61">
            <v>1386073.49</v>
          </cell>
          <cell r="F61">
            <v>1372277.94</v>
          </cell>
          <cell r="G61">
            <v>1406346.48</v>
          </cell>
          <cell r="H61">
            <v>1411911.56</v>
          </cell>
          <cell r="I61">
            <v>1416201.0699999998</v>
          </cell>
          <cell r="J61">
            <v>1459490.68</v>
          </cell>
          <cell r="K61">
            <v>1462503.71</v>
          </cell>
          <cell r="L61">
            <v>1483897.43</v>
          </cell>
          <cell r="M61">
            <v>1457942.84</v>
          </cell>
          <cell r="N61">
            <v>1412161.3899999997</v>
          </cell>
          <cell r="O61">
            <v>1377199.56</v>
          </cell>
          <cell r="P61">
            <v>1412687.2399999998</v>
          </cell>
          <cell r="Q61">
            <v>17058693.389999997</v>
          </cell>
        </row>
        <row r="63">
          <cell r="A63" t="str">
            <v>Transfer</v>
          </cell>
        </row>
        <row r="64">
          <cell r="A64">
            <v>35000</v>
          </cell>
          <cell r="B64" t="str">
            <v>Transfer Station - Third Party</v>
          </cell>
          <cell r="E64">
            <v>0</v>
          </cell>
          <cell r="F64">
            <v>0</v>
          </cell>
          <cell r="G64">
            <v>0</v>
          </cell>
          <cell r="H64">
            <v>0</v>
          </cell>
          <cell r="I64">
            <v>0</v>
          </cell>
          <cell r="J64">
            <v>0</v>
          </cell>
          <cell r="K64">
            <v>0</v>
          </cell>
          <cell r="L64">
            <v>0</v>
          </cell>
          <cell r="M64">
            <v>0</v>
          </cell>
          <cell r="N64">
            <v>0</v>
          </cell>
          <cell r="O64">
            <v>0</v>
          </cell>
          <cell r="P64">
            <v>0</v>
          </cell>
          <cell r="Q64">
            <v>0</v>
          </cell>
        </row>
        <row r="65">
          <cell r="A65">
            <v>35001</v>
          </cell>
          <cell r="B65" t="str">
            <v>Transfer Station - Third Party Adjustmen</v>
          </cell>
          <cell r="E65">
            <v>0</v>
          </cell>
          <cell r="F65">
            <v>0</v>
          </cell>
          <cell r="G65">
            <v>0</v>
          </cell>
          <cell r="H65">
            <v>0</v>
          </cell>
          <cell r="I65">
            <v>0</v>
          </cell>
          <cell r="J65">
            <v>0</v>
          </cell>
          <cell r="K65">
            <v>0</v>
          </cell>
          <cell r="L65">
            <v>0</v>
          </cell>
          <cell r="M65">
            <v>0</v>
          </cell>
          <cell r="N65">
            <v>0</v>
          </cell>
          <cell r="O65">
            <v>0</v>
          </cell>
          <cell r="P65">
            <v>0</v>
          </cell>
          <cell r="Q65">
            <v>0</v>
          </cell>
        </row>
        <row r="66">
          <cell r="A66">
            <v>35009</v>
          </cell>
          <cell r="B66" t="str">
            <v>Transfer Station - Intercompany</v>
          </cell>
          <cell r="E66">
            <v>0</v>
          </cell>
          <cell r="F66">
            <v>0</v>
          </cell>
          <cell r="G66">
            <v>0</v>
          </cell>
          <cell r="H66">
            <v>0</v>
          </cell>
          <cell r="I66">
            <v>0</v>
          </cell>
          <cell r="J66">
            <v>0</v>
          </cell>
          <cell r="K66">
            <v>0</v>
          </cell>
          <cell r="L66">
            <v>0</v>
          </cell>
          <cell r="M66">
            <v>0</v>
          </cell>
          <cell r="N66">
            <v>0</v>
          </cell>
          <cell r="O66">
            <v>0</v>
          </cell>
          <cell r="P66">
            <v>0</v>
          </cell>
          <cell r="Q66">
            <v>0</v>
          </cell>
        </row>
        <row r="67">
          <cell r="A67">
            <v>35500</v>
          </cell>
          <cell r="B67" t="str">
            <v>MRF Processing Charge</v>
          </cell>
          <cell r="E67">
            <v>0</v>
          </cell>
          <cell r="F67">
            <v>0</v>
          </cell>
          <cell r="G67">
            <v>0</v>
          </cell>
          <cell r="H67">
            <v>0</v>
          </cell>
          <cell r="I67">
            <v>0</v>
          </cell>
          <cell r="J67">
            <v>0</v>
          </cell>
          <cell r="K67">
            <v>0</v>
          </cell>
          <cell r="L67">
            <v>0</v>
          </cell>
          <cell r="M67">
            <v>0</v>
          </cell>
          <cell r="N67">
            <v>0</v>
          </cell>
          <cell r="O67">
            <v>0</v>
          </cell>
          <cell r="P67">
            <v>0</v>
          </cell>
          <cell r="Q67">
            <v>0</v>
          </cell>
        </row>
        <row r="68">
          <cell r="A68">
            <v>35501</v>
          </cell>
          <cell r="B68" t="str">
            <v>MRF Processing Charge Adjustments</v>
          </cell>
          <cell r="E68">
            <v>0</v>
          </cell>
          <cell r="F68">
            <v>0</v>
          </cell>
          <cell r="G68">
            <v>0</v>
          </cell>
          <cell r="H68">
            <v>0</v>
          </cell>
          <cell r="I68">
            <v>0</v>
          </cell>
          <cell r="J68">
            <v>0</v>
          </cell>
          <cell r="K68">
            <v>0</v>
          </cell>
          <cell r="L68">
            <v>0</v>
          </cell>
          <cell r="M68">
            <v>0</v>
          </cell>
          <cell r="N68">
            <v>0</v>
          </cell>
          <cell r="O68">
            <v>0</v>
          </cell>
          <cell r="P68">
            <v>0</v>
          </cell>
          <cell r="Q68">
            <v>0</v>
          </cell>
        </row>
        <row r="69">
          <cell r="A69">
            <v>35509</v>
          </cell>
          <cell r="B69" t="str">
            <v>MRF Processing Charge Intercompany</v>
          </cell>
          <cell r="E69">
            <v>0</v>
          </cell>
          <cell r="F69">
            <v>0</v>
          </cell>
          <cell r="G69">
            <v>0</v>
          </cell>
          <cell r="H69">
            <v>0</v>
          </cell>
          <cell r="I69">
            <v>0</v>
          </cell>
          <cell r="J69">
            <v>0</v>
          </cell>
          <cell r="K69">
            <v>0</v>
          </cell>
          <cell r="L69">
            <v>0</v>
          </cell>
          <cell r="M69">
            <v>0</v>
          </cell>
          <cell r="N69">
            <v>0</v>
          </cell>
          <cell r="O69">
            <v>0</v>
          </cell>
          <cell r="P69">
            <v>0</v>
          </cell>
          <cell r="Q69">
            <v>0</v>
          </cell>
        </row>
        <row r="70">
          <cell r="A70" t="str">
            <v>Total Transfer</v>
          </cell>
          <cell r="E70">
            <v>0</v>
          </cell>
          <cell r="F70">
            <v>0</v>
          </cell>
          <cell r="G70">
            <v>0</v>
          </cell>
          <cell r="H70">
            <v>0</v>
          </cell>
          <cell r="I70">
            <v>0</v>
          </cell>
          <cell r="J70">
            <v>0</v>
          </cell>
          <cell r="K70">
            <v>0</v>
          </cell>
          <cell r="L70">
            <v>0</v>
          </cell>
          <cell r="M70">
            <v>0</v>
          </cell>
          <cell r="N70">
            <v>0</v>
          </cell>
          <cell r="O70">
            <v>0</v>
          </cell>
          <cell r="P70">
            <v>0</v>
          </cell>
          <cell r="Q70">
            <v>0</v>
          </cell>
        </row>
        <row r="72">
          <cell r="A72" t="str">
            <v>MRF</v>
          </cell>
        </row>
        <row r="73">
          <cell r="A73">
            <v>35510</v>
          </cell>
          <cell r="B73" t="str">
            <v>Proceeds - OCC</v>
          </cell>
          <cell r="E73">
            <v>0</v>
          </cell>
          <cell r="F73">
            <v>0</v>
          </cell>
          <cell r="G73">
            <v>0</v>
          </cell>
          <cell r="H73">
            <v>0</v>
          </cell>
          <cell r="I73">
            <v>0</v>
          </cell>
          <cell r="J73">
            <v>0</v>
          </cell>
          <cell r="K73">
            <v>0</v>
          </cell>
          <cell r="L73">
            <v>0</v>
          </cell>
          <cell r="M73">
            <v>0</v>
          </cell>
          <cell r="N73">
            <v>0</v>
          </cell>
          <cell r="O73">
            <v>0</v>
          </cell>
          <cell r="P73">
            <v>0</v>
          </cell>
          <cell r="Q73">
            <v>0</v>
          </cell>
        </row>
        <row r="74">
          <cell r="A74">
            <v>35511</v>
          </cell>
          <cell r="B74" t="str">
            <v>Proceeds - ONP</v>
          </cell>
          <cell r="E74">
            <v>0</v>
          </cell>
          <cell r="F74">
            <v>0</v>
          </cell>
          <cell r="G74">
            <v>0</v>
          </cell>
          <cell r="H74">
            <v>0</v>
          </cell>
          <cell r="I74">
            <v>0</v>
          </cell>
          <cell r="J74">
            <v>0</v>
          </cell>
          <cell r="K74">
            <v>0</v>
          </cell>
          <cell r="L74">
            <v>0</v>
          </cell>
          <cell r="M74">
            <v>0</v>
          </cell>
          <cell r="N74">
            <v>0</v>
          </cell>
          <cell r="O74">
            <v>0</v>
          </cell>
          <cell r="P74">
            <v>0</v>
          </cell>
          <cell r="Q74">
            <v>0</v>
          </cell>
        </row>
        <row r="75">
          <cell r="A75">
            <v>35512</v>
          </cell>
          <cell r="B75" t="str">
            <v>Proceeds - Other Paper</v>
          </cell>
          <cell r="E75">
            <v>0</v>
          </cell>
          <cell r="F75">
            <v>0</v>
          </cell>
          <cell r="G75">
            <v>0</v>
          </cell>
          <cell r="H75">
            <v>0</v>
          </cell>
          <cell r="I75">
            <v>0</v>
          </cell>
          <cell r="J75">
            <v>0</v>
          </cell>
          <cell r="K75">
            <v>0</v>
          </cell>
          <cell r="L75">
            <v>0</v>
          </cell>
          <cell r="M75">
            <v>0</v>
          </cell>
          <cell r="N75">
            <v>0</v>
          </cell>
          <cell r="O75">
            <v>0</v>
          </cell>
          <cell r="P75">
            <v>0</v>
          </cell>
          <cell r="Q75">
            <v>0</v>
          </cell>
        </row>
        <row r="76">
          <cell r="A76">
            <v>35513</v>
          </cell>
          <cell r="B76" t="str">
            <v>Proceeds - Aluminum</v>
          </cell>
          <cell r="E76">
            <v>0</v>
          </cell>
          <cell r="F76">
            <v>0</v>
          </cell>
          <cell r="G76">
            <v>0</v>
          </cell>
          <cell r="H76">
            <v>0</v>
          </cell>
          <cell r="I76">
            <v>0</v>
          </cell>
          <cell r="J76">
            <v>0</v>
          </cell>
          <cell r="K76">
            <v>0</v>
          </cell>
          <cell r="L76">
            <v>0</v>
          </cell>
          <cell r="M76">
            <v>0</v>
          </cell>
          <cell r="N76">
            <v>0</v>
          </cell>
          <cell r="O76">
            <v>0</v>
          </cell>
          <cell r="P76">
            <v>0</v>
          </cell>
          <cell r="Q76">
            <v>0</v>
          </cell>
        </row>
        <row r="77">
          <cell r="A77">
            <v>35514</v>
          </cell>
          <cell r="B77" t="str">
            <v>Proceeds - Metal</v>
          </cell>
          <cell r="E77">
            <v>0</v>
          </cell>
          <cell r="F77">
            <v>0</v>
          </cell>
          <cell r="G77">
            <v>0</v>
          </cell>
          <cell r="H77">
            <v>0</v>
          </cell>
          <cell r="I77">
            <v>0</v>
          </cell>
          <cell r="J77">
            <v>0</v>
          </cell>
          <cell r="K77">
            <v>0</v>
          </cell>
          <cell r="L77">
            <v>0</v>
          </cell>
          <cell r="M77">
            <v>0</v>
          </cell>
          <cell r="N77">
            <v>0</v>
          </cell>
          <cell r="O77">
            <v>0</v>
          </cell>
          <cell r="P77">
            <v>0</v>
          </cell>
          <cell r="Q77">
            <v>0</v>
          </cell>
        </row>
        <row r="78">
          <cell r="A78">
            <v>35515</v>
          </cell>
          <cell r="B78" t="str">
            <v>Proceeds - Glass</v>
          </cell>
          <cell r="E78">
            <v>0</v>
          </cell>
          <cell r="F78">
            <v>0</v>
          </cell>
          <cell r="G78">
            <v>0</v>
          </cell>
          <cell r="H78">
            <v>0</v>
          </cell>
          <cell r="I78">
            <v>0</v>
          </cell>
          <cell r="J78">
            <v>0</v>
          </cell>
          <cell r="K78">
            <v>0</v>
          </cell>
          <cell r="L78">
            <v>0</v>
          </cell>
          <cell r="M78">
            <v>0</v>
          </cell>
          <cell r="N78">
            <v>0</v>
          </cell>
          <cell r="O78">
            <v>0</v>
          </cell>
          <cell r="P78">
            <v>0</v>
          </cell>
          <cell r="Q78">
            <v>0</v>
          </cell>
        </row>
        <row r="79">
          <cell r="A79">
            <v>35516</v>
          </cell>
          <cell r="B79" t="str">
            <v>Proceeds - Plastic</v>
          </cell>
          <cell r="E79">
            <v>0</v>
          </cell>
          <cell r="F79">
            <v>0</v>
          </cell>
          <cell r="G79">
            <v>0</v>
          </cell>
          <cell r="H79">
            <v>0</v>
          </cell>
          <cell r="I79">
            <v>0</v>
          </cell>
          <cell r="J79">
            <v>0</v>
          </cell>
          <cell r="K79">
            <v>0</v>
          </cell>
          <cell r="L79">
            <v>0</v>
          </cell>
          <cell r="M79">
            <v>0</v>
          </cell>
          <cell r="N79">
            <v>0</v>
          </cell>
          <cell r="O79">
            <v>0</v>
          </cell>
          <cell r="P79">
            <v>0</v>
          </cell>
          <cell r="Q79">
            <v>0</v>
          </cell>
        </row>
        <row r="80">
          <cell r="A80">
            <v>35517</v>
          </cell>
          <cell r="B80" t="str">
            <v>Proceeds - Other Recyclables</v>
          </cell>
          <cell r="E80">
            <v>0</v>
          </cell>
          <cell r="F80">
            <v>0</v>
          </cell>
          <cell r="G80">
            <v>0</v>
          </cell>
          <cell r="H80">
            <v>0</v>
          </cell>
          <cell r="I80">
            <v>0</v>
          </cell>
          <cell r="J80">
            <v>0</v>
          </cell>
          <cell r="K80">
            <v>0</v>
          </cell>
          <cell r="L80">
            <v>0</v>
          </cell>
          <cell r="M80">
            <v>0</v>
          </cell>
          <cell r="N80">
            <v>0</v>
          </cell>
          <cell r="O80">
            <v>0</v>
          </cell>
          <cell r="P80">
            <v>0</v>
          </cell>
          <cell r="Q80">
            <v>0</v>
          </cell>
        </row>
        <row r="81">
          <cell r="A81">
            <v>35518</v>
          </cell>
          <cell r="B81" t="str">
            <v>Proceeds - Commingled</v>
          </cell>
          <cell r="E81">
            <v>0</v>
          </cell>
          <cell r="F81">
            <v>0</v>
          </cell>
          <cell r="G81">
            <v>0</v>
          </cell>
          <cell r="H81">
            <v>0</v>
          </cell>
          <cell r="I81">
            <v>0</v>
          </cell>
          <cell r="J81">
            <v>0</v>
          </cell>
          <cell r="K81">
            <v>0</v>
          </cell>
          <cell r="L81">
            <v>0</v>
          </cell>
          <cell r="M81">
            <v>0</v>
          </cell>
          <cell r="N81">
            <v>0</v>
          </cell>
          <cell r="O81">
            <v>0</v>
          </cell>
          <cell r="P81">
            <v>0</v>
          </cell>
          <cell r="Q81">
            <v>0</v>
          </cell>
        </row>
        <row r="82">
          <cell r="A82">
            <v>35519</v>
          </cell>
          <cell r="B82" t="str">
            <v>Proceeds - Intercompany Material Sales</v>
          </cell>
          <cell r="E82">
            <v>0</v>
          </cell>
          <cell r="F82">
            <v>0</v>
          </cell>
          <cell r="G82">
            <v>0</v>
          </cell>
          <cell r="H82">
            <v>0</v>
          </cell>
          <cell r="I82">
            <v>0</v>
          </cell>
          <cell r="J82">
            <v>0</v>
          </cell>
          <cell r="K82">
            <v>0</v>
          </cell>
          <cell r="L82">
            <v>0</v>
          </cell>
          <cell r="M82">
            <v>0</v>
          </cell>
          <cell r="N82">
            <v>0</v>
          </cell>
          <cell r="O82">
            <v>0</v>
          </cell>
          <cell r="P82">
            <v>0</v>
          </cell>
          <cell r="Q82">
            <v>0</v>
          </cell>
        </row>
        <row r="83">
          <cell r="A83">
            <v>35520</v>
          </cell>
          <cell r="B83" t="str">
            <v>Support - OCC</v>
          </cell>
          <cell r="E83">
            <v>0</v>
          </cell>
          <cell r="F83">
            <v>0</v>
          </cell>
          <cell r="G83">
            <v>0</v>
          </cell>
          <cell r="H83">
            <v>0</v>
          </cell>
          <cell r="I83">
            <v>0</v>
          </cell>
          <cell r="J83">
            <v>0</v>
          </cell>
          <cell r="K83">
            <v>0</v>
          </cell>
          <cell r="L83">
            <v>0</v>
          </cell>
          <cell r="M83">
            <v>0</v>
          </cell>
          <cell r="N83">
            <v>0</v>
          </cell>
          <cell r="O83">
            <v>0</v>
          </cell>
          <cell r="P83">
            <v>0</v>
          </cell>
          <cell r="Q83">
            <v>0</v>
          </cell>
        </row>
        <row r="84">
          <cell r="A84">
            <v>35521</v>
          </cell>
          <cell r="B84" t="str">
            <v>Support - ONP</v>
          </cell>
          <cell r="E84">
            <v>0</v>
          </cell>
          <cell r="F84">
            <v>0</v>
          </cell>
          <cell r="G84">
            <v>0</v>
          </cell>
          <cell r="H84">
            <v>0</v>
          </cell>
          <cell r="I84">
            <v>0</v>
          </cell>
          <cell r="J84">
            <v>0</v>
          </cell>
          <cell r="K84">
            <v>0</v>
          </cell>
          <cell r="L84">
            <v>0</v>
          </cell>
          <cell r="M84">
            <v>0</v>
          </cell>
          <cell r="N84">
            <v>0</v>
          </cell>
          <cell r="O84">
            <v>0</v>
          </cell>
          <cell r="P84">
            <v>0</v>
          </cell>
          <cell r="Q84">
            <v>0</v>
          </cell>
        </row>
        <row r="85">
          <cell r="A85">
            <v>35522</v>
          </cell>
          <cell r="B85" t="str">
            <v>Support - Other Paper</v>
          </cell>
          <cell r="E85">
            <v>0</v>
          </cell>
          <cell r="F85">
            <v>0</v>
          </cell>
          <cell r="G85">
            <v>0</v>
          </cell>
          <cell r="H85">
            <v>0</v>
          </cell>
          <cell r="I85">
            <v>0</v>
          </cell>
          <cell r="J85">
            <v>0</v>
          </cell>
          <cell r="K85">
            <v>0</v>
          </cell>
          <cell r="L85">
            <v>0</v>
          </cell>
          <cell r="M85">
            <v>0</v>
          </cell>
          <cell r="N85">
            <v>0</v>
          </cell>
          <cell r="O85">
            <v>0</v>
          </cell>
          <cell r="P85">
            <v>0</v>
          </cell>
          <cell r="Q85">
            <v>0</v>
          </cell>
        </row>
        <row r="86">
          <cell r="A86">
            <v>35523</v>
          </cell>
          <cell r="B86" t="str">
            <v>Support - Aluminum</v>
          </cell>
          <cell r="E86">
            <v>0</v>
          </cell>
          <cell r="F86">
            <v>0</v>
          </cell>
          <cell r="G86">
            <v>0</v>
          </cell>
          <cell r="H86">
            <v>0</v>
          </cell>
          <cell r="I86">
            <v>0</v>
          </cell>
          <cell r="J86">
            <v>0</v>
          </cell>
          <cell r="K86">
            <v>0</v>
          </cell>
          <cell r="L86">
            <v>0</v>
          </cell>
          <cell r="M86">
            <v>0</v>
          </cell>
          <cell r="N86">
            <v>0</v>
          </cell>
          <cell r="O86">
            <v>0</v>
          </cell>
          <cell r="P86">
            <v>0</v>
          </cell>
          <cell r="Q86">
            <v>0</v>
          </cell>
        </row>
        <row r="87">
          <cell r="A87">
            <v>35524</v>
          </cell>
          <cell r="B87" t="str">
            <v>Support - Metal</v>
          </cell>
          <cell r="E87">
            <v>0</v>
          </cell>
          <cell r="F87">
            <v>0</v>
          </cell>
          <cell r="G87">
            <v>0</v>
          </cell>
          <cell r="H87">
            <v>0</v>
          </cell>
          <cell r="I87">
            <v>0</v>
          </cell>
          <cell r="J87">
            <v>0</v>
          </cell>
          <cell r="K87">
            <v>0</v>
          </cell>
          <cell r="L87">
            <v>0</v>
          </cell>
          <cell r="M87">
            <v>0</v>
          </cell>
          <cell r="N87">
            <v>0</v>
          </cell>
          <cell r="O87">
            <v>0</v>
          </cell>
          <cell r="P87">
            <v>0</v>
          </cell>
          <cell r="Q87">
            <v>0</v>
          </cell>
        </row>
        <row r="88">
          <cell r="A88">
            <v>35525</v>
          </cell>
          <cell r="B88" t="str">
            <v>Support - Glass</v>
          </cell>
          <cell r="E88">
            <v>0</v>
          </cell>
          <cell r="F88">
            <v>0</v>
          </cell>
          <cell r="G88">
            <v>0</v>
          </cell>
          <cell r="H88">
            <v>0</v>
          </cell>
          <cell r="I88">
            <v>0</v>
          </cell>
          <cell r="J88">
            <v>0</v>
          </cell>
          <cell r="K88">
            <v>0</v>
          </cell>
          <cell r="L88">
            <v>0</v>
          </cell>
          <cell r="M88">
            <v>0</v>
          </cell>
          <cell r="N88">
            <v>0</v>
          </cell>
          <cell r="O88">
            <v>0</v>
          </cell>
          <cell r="P88">
            <v>0</v>
          </cell>
          <cell r="Q88">
            <v>0</v>
          </cell>
        </row>
        <row r="89">
          <cell r="A89">
            <v>35526</v>
          </cell>
          <cell r="B89" t="str">
            <v>Support - Plastic</v>
          </cell>
          <cell r="E89">
            <v>0</v>
          </cell>
          <cell r="F89">
            <v>0</v>
          </cell>
          <cell r="G89">
            <v>0</v>
          </cell>
          <cell r="H89">
            <v>0</v>
          </cell>
          <cell r="I89">
            <v>0</v>
          </cell>
          <cell r="J89">
            <v>0</v>
          </cell>
          <cell r="K89">
            <v>0</v>
          </cell>
          <cell r="L89">
            <v>0</v>
          </cell>
          <cell r="M89">
            <v>0</v>
          </cell>
          <cell r="N89">
            <v>0</v>
          </cell>
          <cell r="O89">
            <v>0</v>
          </cell>
          <cell r="P89">
            <v>0</v>
          </cell>
          <cell r="Q89">
            <v>0</v>
          </cell>
        </row>
        <row r="90">
          <cell r="A90">
            <v>35527</v>
          </cell>
          <cell r="B90" t="str">
            <v>Support - Other Recyclables</v>
          </cell>
          <cell r="E90">
            <v>0</v>
          </cell>
          <cell r="F90">
            <v>0</v>
          </cell>
          <cell r="G90">
            <v>0</v>
          </cell>
          <cell r="H90">
            <v>0</v>
          </cell>
          <cell r="I90">
            <v>0</v>
          </cell>
          <cell r="J90">
            <v>0</v>
          </cell>
          <cell r="K90">
            <v>0</v>
          </cell>
          <cell r="L90">
            <v>0</v>
          </cell>
          <cell r="M90">
            <v>0</v>
          </cell>
          <cell r="N90">
            <v>0</v>
          </cell>
          <cell r="O90">
            <v>0</v>
          </cell>
          <cell r="P90">
            <v>0</v>
          </cell>
          <cell r="Q90">
            <v>0</v>
          </cell>
        </row>
        <row r="91">
          <cell r="A91">
            <v>35529</v>
          </cell>
          <cell r="B91" t="str">
            <v>Support - Intercompany Material Sales</v>
          </cell>
          <cell r="E91">
            <v>0</v>
          </cell>
          <cell r="F91">
            <v>0</v>
          </cell>
          <cell r="G91">
            <v>0</v>
          </cell>
          <cell r="H91">
            <v>0</v>
          </cell>
          <cell r="I91">
            <v>0</v>
          </cell>
          <cell r="J91">
            <v>0</v>
          </cell>
          <cell r="K91">
            <v>0</v>
          </cell>
          <cell r="L91">
            <v>0</v>
          </cell>
          <cell r="M91">
            <v>0</v>
          </cell>
          <cell r="N91">
            <v>0</v>
          </cell>
          <cell r="O91">
            <v>0</v>
          </cell>
          <cell r="P91">
            <v>0</v>
          </cell>
          <cell r="Q91">
            <v>0</v>
          </cell>
        </row>
        <row r="92">
          <cell r="A92">
            <v>35551</v>
          </cell>
          <cell r="B92" t="str">
            <v>Proceeds - Compost</v>
          </cell>
          <cell r="E92">
            <v>0</v>
          </cell>
          <cell r="F92">
            <v>0</v>
          </cell>
          <cell r="G92">
            <v>0</v>
          </cell>
          <cell r="H92">
            <v>0</v>
          </cell>
          <cell r="I92">
            <v>0</v>
          </cell>
          <cell r="J92">
            <v>0</v>
          </cell>
          <cell r="K92">
            <v>0</v>
          </cell>
          <cell r="L92">
            <v>0</v>
          </cell>
          <cell r="M92">
            <v>0</v>
          </cell>
          <cell r="N92">
            <v>0</v>
          </cell>
          <cell r="O92">
            <v>0</v>
          </cell>
          <cell r="P92">
            <v>0</v>
          </cell>
          <cell r="Q92">
            <v>0</v>
          </cell>
        </row>
        <row r="93">
          <cell r="A93">
            <v>35552</v>
          </cell>
          <cell r="B93" t="str">
            <v>Proceeds - Fuel</v>
          </cell>
          <cell r="E93">
            <v>0</v>
          </cell>
          <cell r="F93">
            <v>0</v>
          </cell>
          <cell r="G93">
            <v>0</v>
          </cell>
          <cell r="H93">
            <v>0</v>
          </cell>
          <cell r="I93">
            <v>0</v>
          </cell>
          <cell r="J93">
            <v>0</v>
          </cell>
          <cell r="K93">
            <v>0</v>
          </cell>
          <cell r="L93">
            <v>0</v>
          </cell>
          <cell r="M93">
            <v>0</v>
          </cell>
          <cell r="N93">
            <v>0</v>
          </cell>
          <cell r="O93">
            <v>0</v>
          </cell>
          <cell r="P93">
            <v>0</v>
          </cell>
          <cell r="Q93">
            <v>0</v>
          </cell>
        </row>
        <row r="94">
          <cell r="A94">
            <v>35553</v>
          </cell>
          <cell r="B94" t="str">
            <v>Proceeds - Landscape Materials</v>
          </cell>
          <cell r="E94">
            <v>0</v>
          </cell>
          <cell r="F94">
            <v>0</v>
          </cell>
          <cell r="G94">
            <v>0</v>
          </cell>
          <cell r="H94">
            <v>0</v>
          </cell>
          <cell r="I94">
            <v>0</v>
          </cell>
          <cell r="J94">
            <v>0</v>
          </cell>
          <cell r="K94">
            <v>0</v>
          </cell>
          <cell r="L94">
            <v>0</v>
          </cell>
          <cell r="M94">
            <v>0</v>
          </cell>
          <cell r="N94">
            <v>0</v>
          </cell>
          <cell r="O94">
            <v>0</v>
          </cell>
          <cell r="P94">
            <v>0</v>
          </cell>
          <cell r="Q94">
            <v>0</v>
          </cell>
        </row>
        <row r="95">
          <cell r="A95" t="str">
            <v>Total MRF</v>
          </cell>
          <cell r="E95">
            <v>0</v>
          </cell>
          <cell r="F95">
            <v>0</v>
          </cell>
          <cell r="G95">
            <v>0</v>
          </cell>
          <cell r="H95">
            <v>0</v>
          </cell>
          <cell r="I95">
            <v>0</v>
          </cell>
          <cell r="J95">
            <v>0</v>
          </cell>
          <cell r="K95">
            <v>0</v>
          </cell>
          <cell r="L95">
            <v>0</v>
          </cell>
          <cell r="M95">
            <v>0</v>
          </cell>
          <cell r="N95">
            <v>0</v>
          </cell>
          <cell r="O95">
            <v>0</v>
          </cell>
          <cell r="P95">
            <v>0</v>
          </cell>
          <cell r="Q95">
            <v>0</v>
          </cell>
        </row>
        <row r="97">
          <cell r="A97" t="str">
            <v>Landfill</v>
          </cell>
        </row>
        <row r="98">
          <cell r="A98">
            <v>36000</v>
          </cell>
          <cell r="B98" t="str">
            <v>Landfill Revenue - MSW</v>
          </cell>
          <cell r="E98">
            <v>0</v>
          </cell>
          <cell r="F98">
            <v>0</v>
          </cell>
          <cell r="G98">
            <v>0</v>
          </cell>
          <cell r="H98">
            <v>0</v>
          </cell>
          <cell r="I98">
            <v>0</v>
          </cell>
          <cell r="J98">
            <v>0</v>
          </cell>
          <cell r="K98">
            <v>0</v>
          </cell>
          <cell r="L98">
            <v>0</v>
          </cell>
          <cell r="M98">
            <v>0</v>
          </cell>
          <cell r="N98">
            <v>0</v>
          </cell>
          <cell r="O98">
            <v>0</v>
          </cell>
          <cell r="P98">
            <v>0</v>
          </cell>
          <cell r="Q98">
            <v>0</v>
          </cell>
        </row>
        <row r="99">
          <cell r="A99">
            <v>36001</v>
          </cell>
          <cell r="B99" t="str">
            <v>Landfill Revenue - MSW Adjustments</v>
          </cell>
          <cell r="E99">
            <v>0</v>
          </cell>
          <cell r="F99">
            <v>0</v>
          </cell>
          <cell r="G99">
            <v>0</v>
          </cell>
          <cell r="H99">
            <v>0</v>
          </cell>
          <cell r="I99">
            <v>0</v>
          </cell>
          <cell r="J99">
            <v>0</v>
          </cell>
          <cell r="K99">
            <v>0</v>
          </cell>
          <cell r="L99">
            <v>0</v>
          </cell>
          <cell r="M99">
            <v>0</v>
          </cell>
          <cell r="N99">
            <v>0</v>
          </cell>
          <cell r="O99">
            <v>0</v>
          </cell>
          <cell r="P99">
            <v>0</v>
          </cell>
          <cell r="Q99">
            <v>0</v>
          </cell>
        </row>
        <row r="100">
          <cell r="A100">
            <v>36002</v>
          </cell>
          <cell r="B100" t="str">
            <v>Landfill Revenue - Extras</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A101">
            <v>36009</v>
          </cell>
          <cell r="B101" t="str">
            <v>Landfill Revenue - MSW Intercompany</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v>36010</v>
          </cell>
          <cell r="B102" t="str">
            <v>Landfill Revenue - C&amp;D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A103">
            <v>36011</v>
          </cell>
          <cell r="B103" t="str">
            <v>Landfill Revenue - C&amp;D Adjustments</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v>36019</v>
          </cell>
          <cell r="B104" t="str">
            <v>Landfill Revenue - C&amp;D Intercompany</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v>36020</v>
          </cell>
          <cell r="B105" t="str">
            <v>Landfill Revenue - Special Waste</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A106">
            <v>36021</v>
          </cell>
          <cell r="B106" t="str">
            <v>Landfill Revenue - Special Waste Adjustm</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A107">
            <v>36029</v>
          </cell>
          <cell r="B107" t="str">
            <v>Landfill Revenue - Special Waste Interco</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v>36030</v>
          </cell>
          <cell r="B108" t="str">
            <v>Landfill Revenue - Asbestos</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A109">
            <v>36031</v>
          </cell>
          <cell r="B109" t="str">
            <v>Landfill Revenue - Asbestos Adjustments</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A110">
            <v>36039</v>
          </cell>
          <cell r="B110" t="str">
            <v>Landfill Revenue - Asbestos Intercompany</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v>36040</v>
          </cell>
          <cell r="B111" t="str">
            <v>Landfill Revenue - Contaminated Soil</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A112">
            <v>36041</v>
          </cell>
          <cell r="B112" t="str">
            <v>Landfill Revenue - Contaminated Soil Adj</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A113">
            <v>36049</v>
          </cell>
          <cell r="B113" t="str">
            <v>Landfill Revenue - Contaminated Soil Int</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v>36050</v>
          </cell>
          <cell r="B114" t="str">
            <v>Landfill Revenue - Yard Waste</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36051</v>
          </cell>
          <cell r="B115" t="str">
            <v>Landfill Revenue - Yard Waste Adjustment</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v>36059</v>
          </cell>
          <cell r="B116" t="str">
            <v>Landfill Revenue - Yard Waste Intercompa</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v>36090</v>
          </cell>
          <cell r="B117" t="str">
            <v>Landfill Pass Through Revenue</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A118">
            <v>36099</v>
          </cell>
          <cell r="B118" t="str">
            <v>Landfill Pass Through Revenue Intercompany</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36301</v>
          </cell>
          <cell r="B119" t="str">
            <v>E&amp;P Liquids - Non Count Waste</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v>36309</v>
          </cell>
          <cell r="B120" t="str">
            <v>E&amp;P Liquids - Non Count Waste Intercompany</v>
          </cell>
          <cell r="E120">
            <v>0</v>
          </cell>
          <cell r="F120">
            <v>0</v>
          </cell>
          <cell r="G120">
            <v>0</v>
          </cell>
          <cell r="H120">
            <v>0</v>
          </cell>
          <cell r="I120">
            <v>0</v>
          </cell>
          <cell r="J120">
            <v>0</v>
          </cell>
          <cell r="K120">
            <v>0</v>
          </cell>
          <cell r="L120">
            <v>0</v>
          </cell>
          <cell r="M120">
            <v>0</v>
          </cell>
          <cell r="N120">
            <v>0</v>
          </cell>
          <cell r="O120">
            <v>0</v>
          </cell>
          <cell r="P120">
            <v>0</v>
          </cell>
          <cell r="Q120">
            <v>0</v>
          </cell>
        </row>
        <row r="121">
          <cell r="A121">
            <v>36311</v>
          </cell>
          <cell r="B121" t="str">
            <v>E&amp;P Liquids - Count Waste</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v>36319</v>
          </cell>
          <cell r="B122" t="str">
            <v>E&amp;P Liquids - Count Waste Intercompany</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A123">
            <v>36321</v>
          </cell>
          <cell r="B123" t="str">
            <v>Other Liquids - Non E&amp;P</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A124">
            <v>36329</v>
          </cell>
          <cell r="B124" t="str">
            <v>Other Liquids - Non E&amp;P Intercompany</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A125">
            <v>36331</v>
          </cell>
          <cell r="B125" t="str">
            <v>E&amp;P Solids - Count Waste</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A126">
            <v>36339</v>
          </cell>
          <cell r="B126" t="str">
            <v>E&amp;P Solids - Count Waste Intercompany</v>
          </cell>
          <cell r="E126">
            <v>0</v>
          </cell>
          <cell r="F126">
            <v>0</v>
          </cell>
          <cell r="G126">
            <v>0</v>
          </cell>
          <cell r="H126">
            <v>0</v>
          </cell>
          <cell r="I126">
            <v>0</v>
          </cell>
          <cell r="J126">
            <v>0</v>
          </cell>
          <cell r="K126">
            <v>0</v>
          </cell>
          <cell r="L126">
            <v>0</v>
          </cell>
          <cell r="M126">
            <v>0</v>
          </cell>
          <cell r="N126">
            <v>0</v>
          </cell>
          <cell r="O126">
            <v>0</v>
          </cell>
          <cell r="P126">
            <v>0</v>
          </cell>
          <cell r="Q126">
            <v>0</v>
          </cell>
        </row>
        <row r="127">
          <cell r="A127" t="str">
            <v>Total Landfill</v>
          </cell>
          <cell r="E127">
            <v>0</v>
          </cell>
          <cell r="F127">
            <v>0</v>
          </cell>
          <cell r="G127">
            <v>0</v>
          </cell>
          <cell r="H127">
            <v>0</v>
          </cell>
          <cell r="I127">
            <v>0</v>
          </cell>
          <cell r="J127">
            <v>0</v>
          </cell>
          <cell r="K127">
            <v>0</v>
          </cell>
          <cell r="L127">
            <v>0</v>
          </cell>
          <cell r="M127">
            <v>0</v>
          </cell>
          <cell r="N127">
            <v>0</v>
          </cell>
          <cell r="O127">
            <v>0</v>
          </cell>
          <cell r="P127">
            <v>0</v>
          </cell>
          <cell r="Q127">
            <v>0</v>
          </cell>
        </row>
        <row r="129">
          <cell r="A129" t="str">
            <v>Intermodal</v>
          </cell>
        </row>
        <row r="130">
          <cell r="A130">
            <v>36101</v>
          </cell>
          <cell r="B130" t="str">
            <v>Rail Drayage Revenue</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v>36109</v>
          </cell>
          <cell r="B131" t="str">
            <v>Rail Drayage Revenue - Intercompany</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36111</v>
          </cell>
          <cell r="B132" t="str">
            <v>Truck Drayage Revenue</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36119</v>
          </cell>
          <cell r="B133" t="str">
            <v>Truck Drayage Revenue - Intercompany</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v>36121</v>
          </cell>
          <cell r="B134" t="str">
            <v>Barge Drayage Revenue</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36131</v>
          </cell>
          <cell r="B135" t="str">
            <v>Service Labor Revenue</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v>36141</v>
          </cell>
          <cell r="B136" t="str">
            <v>Refrigeration Labor Revenue</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v>36145</v>
          </cell>
          <cell r="B137" t="str">
            <v>Parts Revenue</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v>36151</v>
          </cell>
          <cell r="B138" t="str">
            <v>Container Sales Revenue</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v>36161</v>
          </cell>
          <cell r="B139" t="str">
            <v>Container Rental Revenue</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v>36171</v>
          </cell>
          <cell r="B140" t="str">
            <v>Intermodal Revenue</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A141">
            <v>36181</v>
          </cell>
          <cell r="B141" t="str">
            <v>Chassis Lease Revenue</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v>36191</v>
          </cell>
          <cell r="B142" t="str">
            <v>Interchanges Revenue</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v>36201</v>
          </cell>
          <cell r="B143" t="str">
            <v>Storage Revenue</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v>36211</v>
          </cell>
          <cell r="B144" t="str">
            <v>Empty Lifts Revenue</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v>36221</v>
          </cell>
          <cell r="B145" t="str">
            <v>Load Lifts Revenue</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Total Intermodal</v>
          </cell>
          <cell r="E146">
            <v>0</v>
          </cell>
          <cell r="F146">
            <v>0</v>
          </cell>
          <cell r="G146">
            <v>0</v>
          </cell>
          <cell r="H146">
            <v>0</v>
          </cell>
          <cell r="I146">
            <v>0</v>
          </cell>
          <cell r="J146">
            <v>0</v>
          </cell>
          <cell r="K146">
            <v>0</v>
          </cell>
          <cell r="L146">
            <v>0</v>
          </cell>
          <cell r="M146">
            <v>0</v>
          </cell>
          <cell r="N146">
            <v>0</v>
          </cell>
          <cell r="O146">
            <v>0</v>
          </cell>
          <cell r="P146">
            <v>0</v>
          </cell>
          <cell r="Q146">
            <v>0</v>
          </cell>
        </row>
        <row r="148">
          <cell r="A148" t="str">
            <v>Other Revenue</v>
          </cell>
        </row>
        <row r="149">
          <cell r="A149">
            <v>37001</v>
          </cell>
          <cell r="B149" t="str">
            <v>Sale of Equipment</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A150">
            <v>37010</v>
          </cell>
          <cell r="B150" t="str">
            <v>Tire Processing Revenue</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v>37019</v>
          </cell>
          <cell r="B151" t="str">
            <v>Tire Processing Revenue - Intercompany</v>
          </cell>
          <cell r="E151">
            <v>0</v>
          </cell>
          <cell r="F151">
            <v>0</v>
          </cell>
          <cell r="G151">
            <v>0</v>
          </cell>
          <cell r="H151">
            <v>0</v>
          </cell>
          <cell r="I151">
            <v>0</v>
          </cell>
          <cell r="J151">
            <v>0</v>
          </cell>
          <cell r="K151">
            <v>0</v>
          </cell>
          <cell r="L151">
            <v>0</v>
          </cell>
          <cell r="M151">
            <v>0</v>
          </cell>
          <cell r="N151">
            <v>0</v>
          </cell>
          <cell r="O151">
            <v>0</v>
          </cell>
          <cell r="P151">
            <v>0</v>
          </cell>
          <cell r="Q151">
            <v>0</v>
          </cell>
        </row>
        <row r="152">
          <cell r="A152">
            <v>38000</v>
          </cell>
          <cell r="B152" t="str">
            <v>Corporate Other Revenue</v>
          </cell>
          <cell r="E152">
            <v>3459.12</v>
          </cell>
          <cell r="F152">
            <v>7799.57</v>
          </cell>
          <cell r="G152">
            <v>2100.42</v>
          </cell>
          <cell r="H152">
            <v>7267.51</v>
          </cell>
          <cell r="I152">
            <v>3376.39</v>
          </cell>
          <cell r="J152">
            <v>7176.57</v>
          </cell>
          <cell r="K152">
            <v>3493.22</v>
          </cell>
          <cell r="L152">
            <v>8060.32</v>
          </cell>
          <cell r="M152">
            <v>2594</v>
          </cell>
          <cell r="N152">
            <v>7784.1</v>
          </cell>
          <cell r="O152">
            <v>6369.79</v>
          </cell>
          <cell r="P152">
            <v>9281.82</v>
          </cell>
          <cell r="Q152">
            <v>68762.829999999987</v>
          </cell>
        </row>
        <row r="153">
          <cell r="A153">
            <v>38001</v>
          </cell>
          <cell r="B153" t="str">
            <v>P-Card Rebate Revenue</v>
          </cell>
          <cell r="E153">
            <v>0</v>
          </cell>
          <cell r="F153">
            <v>0</v>
          </cell>
          <cell r="G153">
            <v>0</v>
          </cell>
          <cell r="H153">
            <v>0</v>
          </cell>
          <cell r="I153">
            <v>0</v>
          </cell>
          <cell r="J153">
            <v>0</v>
          </cell>
          <cell r="K153">
            <v>0</v>
          </cell>
          <cell r="L153">
            <v>0</v>
          </cell>
          <cell r="M153">
            <v>0</v>
          </cell>
          <cell r="N153">
            <v>0</v>
          </cell>
          <cell r="O153">
            <v>0</v>
          </cell>
          <cell r="P153">
            <v>0</v>
          </cell>
          <cell r="Q153">
            <v>0</v>
          </cell>
        </row>
        <row r="154">
          <cell r="A154" t="str">
            <v>Total Other Revenue</v>
          </cell>
          <cell r="E154">
            <v>3459.12</v>
          </cell>
          <cell r="F154">
            <v>7799.57</v>
          </cell>
          <cell r="G154">
            <v>2100.42</v>
          </cell>
          <cell r="H154">
            <v>7267.51</v>
          </cell>
          <cell r="I154">
            <v>3376.39</v>
          </cell>
          <cell r="J154">
            <v>7176.57</v>
          </cell>
          <cell r="K154">
            <v>3493.22</v>
          </cell>
          <cell r="L154">
            <v>8060.32</v>
          </cell>
          <cell r="M154">
            <v>2594</v>
          </cell>
          <cell r="N154">
            <v>7784.1</v>
          </cell>
          <cell r="O154">
            <v>6369.79</v>
          </cell>
          <cell r="P154">
            <v>9281.82</v>
          </cell>
          <cell r="Q154">
            <v>68762.829999999987</v>
          </cell>
        </row>
        <row r="156">
          <cell r="A156" t="str">
            <v>Total Revenue</v>
          </cell>
          <cell r="E156">
            <v>1389532.61</v>
          </cell>
          <cell r="F156">
            <v>1380077.51</v>
          </cell>
          <cell r="G156">
            <v>1408446.9</v>
          </cell>
          <cell r="H156">
            <v>1419179.07</v>
          </cell>
          <cell r="I156">
            <v>1419577.4599999997</v>
          </cell>
          <cell r="J156">
            <v>1466667.25</v>
          </cell>
          <cell r="K156">
            <v>1465996.93</v>
          </cell>
          <cell r="L156">
            <v>1491957.75</v>
          </cell>
          <cell r="M156">
            <v>1460536.84</v>
          </cell>
          <cell r="N156">
            <v>1419945.4899999998</v>
          </cell>
          <cell r="O156">
            <v>1383569.35</v>
          </cell>
          <cell r="P156">
            <v>1421969.0599999998</v>
          </cell>
          <cell r="Q156">
            <v>17127456.219999995</v>
          </cell>
        </row>
        <row r="158">
          <cell r="A158" t="str">
            <v>Revenue Reductions</v>
          </cell>
        </row>
        <row r="159">
          <cell r="A159" t="str">
            <v>Disposal</v>
          </cell>
        </row>
        <row r="160">
          <cell r="A160">
            <v>40101</v>
          </cell>
          <cell r="B160" t="str">
            <v>Disposal Landfill</v>
          </cell>
          <cell r="E160">
            <v>0</v>
          </cell>
          <cell r="F160">
            <v>0</v>
          </cell>
          <cell r="G160">
            <v>0</v>
          </cell>
          <cell r="H160">
            <v>0</v>
          </cell>
          <cell r="I160">
            <v>0</v>
          </cell>
          <cell r="J160">
            <v>0</v>
          </cell>
          <cell r="K160">
            <v>0</v>
          </cell>
          <cell r="L160">
            <v>0</v>
          </cell>
          <cell r="M160">
            <v>0</v>
          </cell>
          <cell r="N160">
            <v>0</v>
          </cell>
          <cell r="O160">
            <v>0</v>
          </cell>
          <cell r="P160">
            <v>0</v>
          </cell>
          <cell r="Q160">
            <v>0</v>
          </cell>
        </row>
        <row r="161">
          <cell r="A161">
            <v>40109</v>
          </cell>
          <cell r="B161" t="str">
            <v>Disposal Landfill Intercompany</v>
          </cell>
          <cell r="E161">
            <v>0</v>
          </cell>
          <cell r="F161">
            <v>0</v>
          </cell>
          <cell r="G161">
            <v>0</v>
          </cell>
          <cell r="H161">
            <v>0</v>
          </cell>
          <cell r="I161">
            <v>0</v>
          </cell>
          <cell r="J161">
            <v>0</v>
          </cell>
          <cell r="K161">
            <v>0</v>
          </cell>
          <cell r="L161">
            <v>0</v>
          </cell>
          <cell r="M161">
            <v>0</v>
          </cell>
          <cell r="N161">
            <v>0</v>
          </cell>
          <cell r="O161">
            <v>0</v>
          </cell>
          <cell r="P161">
            <v>0</v>
          </cell>
          <cell r="Q161">
            <v>0</v>
          </cell>
        </row>
        <row r="162">
          <cell r="A162">
            <v>40121</v>
          </cell>
          <cell r="B162" t="str">
            <v>Disposal Incineration</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A163">
            <v>40122</v>
          </cell>
          <cell r="B163" t="str">
            <v>Disposal Other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A164">
            <v>40129</v>
          </cell>
          <cell r="B164" t="str">
            <v>Disposal Other</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v>40131</v>
          </cell>
          <cell r="B165" t="str">
            <v>Disposal Transfer</v>
          </cell>
          <cell r="E165">
            <v>0</v>
          </cell>
          <cell r="F165">
            <v>0</v>
          </cell>
          <cell r="G165">
            <v>0</v>
          </cell>
          <cell r="H165">
            <v>0</v>
          </cell>
          <cell r="I165">
            <v>0</v>
          </cell>
          <cell r="J165">
            <v>0</v>
          </cell>
          <cell r="K165">
            <v>0</v>
          </cell>
          <cell r="L165">
            <v>0</v>
          </cell>
          <cell r="M165">
            <v>0</v>
          </cell>
          <cell r="N165">
            <v>0</v>
          </cell>
          <cell r="O165">
            <v>0</v>
          </cell>
          <cell r="P165">
            <v>0</v>
          </cell>
          <cell r="Q165">
            <v>0</v>
          </cell>
        </row>
        <row r="166">
          <cell r="A166">
            <v>40139</v>
          </cell>
          <cell r="B166" t="str">
            <v>Disposal Transfer Intercompany</v>
          </cell>
          <cell r="E166">
            <v>522940.33</v>
          </cell>
          <cell r="F166">
            <v>473522.39</v>
          </cell>
          <cell r="G166">
            <v>554204.89</v>
          </cell>
          <cell r="H166">
            <v>538277.64</v>
          </cell>
          <cell r="I166">
            <v>535071.71</v>
          </cell>
          <cell r="J166">
            <v>582693.4</v>
          </cell>
          <cell r="K166">
            <v>571614.11</v>
          </cell>
          <cell r="L166">
            <v>571380.55000000005</v>
          </cell>
          <cell r="M166">
            <v>569779.74</v>
          </cell>
          <cell r="N166">
            <v>537814.68999999994</v>
          </cell>
          <cell r="O166">
            <v>530807.82999999996</v>
          </cell>
          <cell r="P166">
            <v>576009.71</v>
          </cell>
          <cell r="Q166">
            <v>6564116.9899999993</v>
          </cell>
        </row>
        <row r="167">
          <cell r="A167" t="str">
            <v>Total Disposal</v>
          </cell>
          <cell r="E167">
            <v>522940.33</v>
          </cell>
          <cell r="F167">
            <v>473522.39</v>
          </cell>
          <cell r="G167">
            <v>554204.89</v>
          </cell>
          <cell r="H167">
            <v>538277.64</v>
          </cell>
          <cell r="I167">
            <v>535071.71</v>
          </cell>
          <cell r="J167">
            <v>582693.4</v>
          </cell>
          <cell r="K167">
            <v>571614.11</v>
          </cell>
          <cell r="L167">
            <v>571380.55000000005</v>
          </cell>
          <cell r="M167">
            <v>569779.74</v>
          </cell>
          <cell r="N167">
            <v>537814.68999999994</v>
          </cell>
          <cell r="O167">
            <v>530807.82999999996</v>
          </cell>
          <cell r="P167">
            <v>576009.71</v>
          </cell>
          <cell r="Q167">
            <v>6564116.9899999993</v>
          </cell>
        </row>
        <row r="169">
          <cell r="A169" t="str">
            <v>MRF Processing</v>
          </cell>
        </row>
        <row r="170">
          <cell r="A170">
            <v>40861</v>
          </cell>
          <cell r="B170" t="str">
            <v>Processing Fees MRF</v>
          </cell>
          <cell r="E170">
            <v>0</v>
          </cell>
          <cell r="F170">
            <v>0</v>
          </cell>
          <cell r="G170">
            <v>0</v>
          </cell>
          <cell r="H170">
            <v>0</v>
          </cell>
          <cell r="I170">
            <v>0</v>
          </cell>
          <cell r="J170">
            <v>0</v>
          </cell>
          <cell r="K170">
            <v>0</v>
          </cell>
          <cell r="L170">
            <v>0</v>
          </cell>
          <cell r="M170">
            <v>0</v>
          </cell>
          <cell r="N170">
            <v>0</v>
          </cell>
          <cell r="O170">
            <v>0</v>
          </cell>
          <cell r="P170">
            <v>0</v>
          </cell>
          <cell r="Q170">
            <v>0</v>
          </cell>
        </row>
        <row r="171">
          <cell r="A171">
            <v>40869</v>
          </cell>
          <cell r="B171" t="str">
            <v>Processing Fees MRF Intercompany</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t="str">
            <v>Total MRF Processing</v>
          </cell>
          <cell r="E172">
            <v>0</v>
          </cell>
          <cell r="F172">
            <v>0</v>
          </cell>
          <cell r="G172">
            <v>0</v>
          </cell>
          <cell r="H172">
            <v>0</v>
          </cell>
          <cell r="I172">
            <v>0</v>
          </cell>
          <cell r="J172">
            <v>0</v>
          </cell>
          <cell r="K172">
            <v>0</v>
          </cell>
          <cell r="L172">
            <v>0</v>
          </cell>
          <cell r="M172">
            <v>0</v>
          </cell>
          <cell r="N172">
            <v>0</v>
          </cell>
          <cell r="O172">
            <v>0</v>
          </cell>
          <cell r="P172">
            <v>0</v>
          </cell>
          <cell r="Q172">
            <v>0</v>
          </cell>
        </row>
        <row r="174">
          <cell r="A174" t="str">
            <v>Brokerage, Rebates and Taxes</v>
          </cell>
        </row>
        <row r="175">
          <cell r="A175">
            <v>41121</v>
          </cell>
          <cell r="B175" t="str">
            <v>Brokerage Cost</v>
          </cell>
          <cell r="E175">
            <v>0</v>
          </cell>
          <cell r="F175">
            <v>0</v>
          </cell>
          <cell r="G175">
            <v>0</v>
          </cell>
          <cell r="H175">
            <v>0</v>
          </cell>
          <cell r="I175">
            <v>0</v>
          </cell>
          <cell r="J175">
            <v>0</v>
          </cell>
          <cell r="K175">
            <v>0</v>
          </cell>
          <cell r="L175">
            <v>0</v>
          </cell>
          <cell r="M175">
            <v>0</v>
          </cell>
          <cell r="N175">
            <v>0</v>
          </cell>
          <cell r="O175">
            <v>0</v>
          </cell>
          <cell r="P175">
            <v>0</v>
          </cell>
          <cell r="Q175">
            <v>0</v>
          </cell>
        </row>
        <row r="176">
          <cell r="A176">
            <v>41129</v>
          </cell>
          <cell r="B176" t="str">
            <v>Brokerage Cost Intercompany</v>
          </cell>
          <cell r="E176">
            <v>0</v>
          </cell>
          <cell r="F176">
            <v>0</v>
          </cell>
          <cell r="G176">
            <v>0</v>
          </cell>
          <cell r="H176">
            <v>0</v>
          </cell>
          <cell r="I176">
            <v>0</v>
          </cell>
          <cell r="J176">
            <v>0</v>
          </cell>
          <cell r="K176">
            <v>0</v>
          </cell>
          <cell r="L176">
            <v>0</v>
          </cell>
          <cell r="M176">
            <v>0</v>
          </cell>
          <cell r="N176">
            <v>0</v>
          </cell>
          <cell r="O176">
            <v>0</v>
          </cell>
          <cell r="P176">
            <v>0</v>
          </cell>
          <cell r="Q176">
            <v>0</v>
          </cell>
        </row>
        <row r="177">
          <cell r="A177">
            <v>41131</v>
          </cell>
          <cell r="B177" t="str">
            <v>Rail Drayage Expenses</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v>41135</v>
          </cell>
          <cell r="B178" t="str">
            <v>Resale Parts - Cost of Goods Sold</v>
          </cell>
          <cell r="E178">
            <v>0</v>
          </cell>
          <cell r="F178">
            <v>0</v>
          </cell>
          <cell r="G178">
            <v>0</v>
          </cell>
          <cell r="H178">
            <v>0</v>
          </cell>
          <cell r="I178">
            <v>0</v>
          </cell>
          <cell r="J178">
            <v>0</v>
          </cell>
          <cell r="K178">
            <v>0</v>
          </cell>
          <cell r="L178">
            <v>0</v>
          </cell>
          <cell r="M178">
            <v>0</v>
          </cell>
          <cell r="N178">
            <v>0</v>
          </cell>
          <cell r="O178">
            <v>0</v>
          </cell>
          <cell r="P178">
            <v>0</v>
          </cell>
          <cell r="Q178">
            <v>0</v>
          </cell>
        </row>
        <row r="179">
          <cell r="A179">
            <v>41139</v>
          </cell>
          <cell r="B179" t="str">
            <v>Rail Drayage Expenses - Intercompany</v>
          </cell>
          <cell r="E179">
            <v>0</v>
          </cell>
          <cell r="F179">
            <v>0</v>
          </cell>
          <cell r="G179">
            <v>0</v>
          </cell>
          <cell r="H179">
            <v>0</v>
          </cell>
          <cell r="I179">
            <v>0</v>
          </cell>
          <cell r="J179">
            <v>0</v>
          </cell>
          <cell r="K179">
            <v>0</v>
          </cell>
          <cell r="L179">
            <v>0</v>
          </cell>
          <cell r="M179">
            <v>0</v>
          </cell>
          <cell r="N179">
            <v>0</v>
          </cell>
          <cell r="O179">
            <v>0</v>
          </cell>
          <cell r="P179">
            <v>0</v>
          </cell>
          <cell r="Q179">
            <v>0</v>
          </cell>
        </row>
        <row r="180">
          <cell r="A180">
            <v>41141</v>
          </cell>
          <cell r="B180" t="str">
            <v>Truck Drayage Expenses</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v>41149</v>
          </cell>
          <cell r="B181" t="str">
            <v>Truck Drayage Expenses - Intercompany</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v>41151</v>
          </cell>
          <cell r="B182" t="str">
            <v>Intermodal Expenses</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v>41201</v>
          </cell>
          <cell r="B183" t="str">
            <v>Rebates and Revenue Sharing</v>
          </cell>
          <cell r="E183">
            <v>0</v>
          </cell>
          <cell r="F183">
            <v>0</v>
          </cell>
          <cell r="G183">
            <v>0</v>
          </cell>
          <cell r="H183">
            <v>0</v>
          </cell>
          <cell r="I183">
            <v>0</v>
          </cell>
          <cell r="J183">
            <v>0</v>
          </cell>
          <cell r="K183">
            <v>0</v>
          </cell>
          <cell r="L183">
            <v>0</v>
          </cell>
          <cell r="M183">
            <v>0</v>
          </cell>
          <cell r="N183">
            <v>0</v>
          </cell>
          <cell r="O183">
            <v>0</v>
          </cell>
          <cell r="P183">
            <v>0</v>
          </cell>
          <cell r="Q183">
            <v>0</v>
          </cell>
        </row>
        <row r="184">
          <cell r="A184">
            <v>43001</v>
          </cell>
          <cell r="B184" t="str">
            <v>Taxes and Pass Thru Fees</v>
          </cell>
          <cell r="E184">
            <v>21087.73</v>
          </cell>
          <cell r="F184">
            <v>20959.080000000002</v>
          </cell>
          <cell r="G184">
            <v>21310.05</v>
          </cell>
          <cell r="H184">
            <v>15944.56</v>
          </cell>
          <cell r="I184">
            <v>23292.27</v>
          </cell>
          <cell r="J184">
            <v>26639.14</v>
          </cell>
          <cell r="K184">
            <v>26629.39</v>
          </cell>
          <cell r="L184">
            <v>27074.49</v>
          </cell>
          <cell r="M184">
            <v>26539.13</v>
          </cell>
          <cell r="N184">
            <v>25799.21</v>
          </cell>
          <cell r="O184">
            <v>25079.16</v>
          </cell>
          <cell r="P184">
            <v>25860.43</v>
          </cell>
          <cell r="Q184">
            <v>286214.64</v>
          </cell>
        </row>
        <row r="185">
          <cell r="A185">
            <v>43002</v>
          </cell>
          <cell r="B185" t="str">
            <v>WUTC Taxes</v>
          </cell>
          <cell r="E185">
            <v>5546.62</v>
          </cell>
          <cell r="F185">
            <v>5496.04</v>
          </cell>
          <cell r="G185">
            <v>5619.91</v>
          </cell>
          <cell r="H185">
            <v>5691.97</v>
          </cell>
          <cell r="I185">
            <v>5646.5</v>
          </cell>
          <cell r="J185">
            <v>5841.42</v>
          </cell>
          <cell r="K185">
            <v>5857.81</v>
          </cell>
          <cell r="L185">
            <v>5948.97</v>
          </cell>
          <cell r="M185">
            <v>5802.43</v>
          </cell>
          <cell r="N185">
            <v>5678.9</v>
          </cell>
          <cell r="O185">
            <v>5511.15</v>
          </cell>
          <cell r="P185">
            <v>5695</v>
          </cell>
          <cell r="Q185">
            <v>68336.72</v>
          </cell>
        </row>
        <row r="186">
          <cell r="A186">
            <v>43090</v>
          </cell>
          <cell r="B186" t="str">
            <v>Pass Through Expenses</v>
          </cell>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A187">
            <v>43099</v>
          </cell>
          <cell r="B187" t="str">
            <v>Pass Through Expenses Intercompany</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t="str">
            <v>Total Brokerage, Rebates and Taxes</v>
          </cell>
          <cell r="E188">
            <v>26634.35</v>
          </cell>
          <cell r="F188">
            <v>26455.120000000003</v>
          </cell>
          <cell r="G188">
            <v>26929.96</v>
          </cell>
          <cell r="H188">
            <v>21636.53</v>
          </cell>
          <cell r="I188">
            <v>28938.77</v>
          </cell>
          <cell r="J188">
            <v>32480.559999999998</v>
          </cell>
          <cell r="K188">
            <v>32487.200000000001</v>
          </cell>
          <cell r="L188">
            <v>33023.46</v>
          </cell>
          <cell r="M188">
            <v>32341.56</v>
          </cell>
          <cell r="N188">
            <v>31478.11</v>
          </cell>
          <cell r="O188">
            <v>30590.309999999998</v>
          </cell>
          <cell r="P188">
            <v>31555.43</v>
          </cell>
          <cell r="Q188">
            <v>354551.36</v>
          </cell>
        </row>
        <row r="190">
          <cell r="A190" t="str">
            <v>Recycling Materials Expense</v>
          </cell>
        </row>
        <row r="191">
          <cell r="A191">
            <v>44161</v>
          </cell>
          <cell r="B191" t="str">
            <v>Cost of Materials - OCC</v>
          </cell>
          <cell r="E191">
            <v>0</v>
          </cell>
          <cell r="F191">
            <v>0</v>
          </cell>
          <cell r="G191">
            <v>0</v>
          </cell>
          <cell r="H191">
            <v>0</v>
          </cell>
          <cell r="I191">
            <v>0</v>
          </cell>
          <cell r="J191">
            <v>0</v>
          </cell>
          <cell r="K191">
            <v>0</v>
          </cell>
          <cell r="L191">
            <v>0</v>
          </cell>
          <cell r="M191">
            <v>0</v>
          </cell>
          <cell r="N191">
            <v>0</v>
          </cell>
          <cell r="O191">
            <v>0</v>
          </cell>
          <cell r="P191">
            <v>0</v>
          </cell>
          <cell r="Q191">
            <v>0</v>
          </cell>
        </row>
        <row r="192">
          <cell r="A192">
            <v>44162</v>
          </cell>
          <cell r="B192" t="str">
            <v>Cost of Materials - ONP</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v>44163</v>
          </cell>
          <cell r="B193" t="str">
            <v>Cost of Materials - Other Paper</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A194">
            <v>44164</v>
          </cell>
          <cell r="B194" t="str">
            <v>Cost of Materials - Aluminum</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v>44165</v>
          </cell>
          <cell r="B195" t="str">
            <v>Cost of Materials - Metal</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v>44166</v>
          </cell>
          <cell r="B196" t="str">
            <v>Cost of Materials - Glass</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44167</v>
          </cell>
          <cell r="B197" t="str">
            <v>Cost of Materials - Plastic</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v>44168</v>
          </cell>
          <cell r="B198" t="str">
            <v>Cost of Materials - Other Recyclables</v>
          </cell>
          <cell r="E198">
            <v>0</v>
          </cell>
          <cell r="F198">
            <v>0</v>
          </cell>
          <cell r="G198">
            <v>0</v>
          </cell>
          <cell r="H198">
            <v>0</v>
          </cell>
          <cell r="I198">
            <v>0</v>
          </cell>
          <cell r="J198">
            <v>0</v>
          </cell>
          <cell r="K198">
            <v>0</v>
          </cell>
          <cell r="L198">
            <v>0</v>
          </cell>
          <cell r="M198">
            <v>0</v>
          </cell>
          <cell r="N198">
            <v>0</v>
          </cell>
          <cell r="O198">
            <v>0</v>
          </cell>
          <cell r="P198">
            <v>0</v>
          </cell>
          <cell r="Q198">
            <v>0</v>
          </cell>
        </row>
        <row r="199">
          <cell r="A199">
            <v>44169</v>
          </cell>
          <cell r="B199" t="str">
            <v>Cost of Materials - Intercompany</v>
          </cell>
          <cell r="E199">
            <v>0</v>
          </cell>
          <cell r="F199">
            <v>0</v>
          </cell>
          <cell r="G199">
            <v>0</v>
          </cell>
          <cell r="H199">
            <v>0</v>
          </cell>
          <cell r="I199">
            <v>0</v>
          </cell>
          <cell r="J199">
            <v>0</v>
          </cell>
          <cell r="K199">
            <v>0</v>
          </cell>
          <cell r="L199">
            <v>0</v>
          </cell>
          <cell r="M199">
            <v>0</v>
          </cell>
          <cell r="N199">
            <v>0</v>
          </cell>
          <cell r="O199">
            <v>0</v>
          </cell>
          <cell r="P199">
            <v>0</v>
          </cell>
          <cell r="Q199">
            <v>0</v>
          </cell>
        </row>
        <row r="200">
          <cell r="A200">
            <v>44261</v>
          </cell>
          <cell r="B200" t="str">
            <v>Cost of Materials - Organics</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v>44262</v>
          </cell>
          <cell r="B201" t="str">
            <v>Cost of Materials - Clean Wood</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v>44263</v>
          </cell>
          <cell r="B202" t="str">
            <v>Cost of Materials - Landscaping Materials</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Total Recycling Materials Expense</v>
          </cell>
          <cell r="E203">
            <v>0</v>
          </cell>
          <cell r="F203">
            <v>0</v>
          </cell>
          <cell r="G203">
            <v>0</v>
          </cell>
          <cell r="H203">
            <v>0</v>
          </cell>
          <cell r="I203">
            <v>0</v>
          </cell>
          <cell r="J203">
            <v>0</v>
          </cell>
          <cell r="K203">
            <v>0</v>
          </cell>
          <cell r="L203">
            <v>0</v>
          </cell>
          <cell r="M203">
            <v>0</v>
          </cell>
          <cell r="N203">
            <v>0</v>
          </cell>
          <cell r="O203">
            <v>0</v>
          </cell>
          <cell r="P203">
            <v>0</v>
          </cell>
          <cell r="Q203">
            <v>0</v>
          </cell>
        </row>
        <row r="205">
          <cell r="A205" t="str">
            <v>Other Expense</v>
          </cell>
        </row>
        <row r="206">
          <cell r="A206">
            <v>47000</v>
          </cell>
          <cell r="B206" t="str">
            <v>Cost of Containers Sold</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47001</v>
          </cell>
          <cell r="B207" t="str">
            <v>Cost of Equipment Sold</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v>47010</v>
          </cell>
          <cell r="B208" t="str">
            <v>Tire Processing Expenses</v>
          </cell>
          <cell r="E208">
            <v>0</v>
          </cell>
          <cell r="F208">
            <v>0</v>
          </cell>
          <cell r="G208">
            <v>0</v>
          </cell>
          <cell r="H208">
            <v>0</v>
          </cell>
          <cell r="I208">
            <v>0</v>
          </cell>
          <cell r="J208">
            <v>0</v>
          </cell>
          <cell r="K208">
            <v>0</v>
          </cell>
          <cell r="L208">
            <v>0</v>
          </cell>
          <cell r="M208">
            <v>0</v>
          </cell>
          <cell r="N208">
            <v>0</v>
          </cell>
          <cell r="O208">
            <v>0</v>
          </cell>
          <cell r="P208">
            <v>0</v>
          </cell>
          <cell r="Q208">
            <v>0</v>
          </cell>
        </row>
        <row r="209">
          <cell r="A209">
            <v>47019</v>
          </cell>
          <cell r="B209" t="str">
            <v>Tire Processing Expenses - Intercompany</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Total Other Expense</v>
          </cell>
          <cell r="E210">
            <v>0</v>
          </cell>
          <cell r="F210">
            <v>0</v>
          </cell>
          <cell r="G210">
            <v>0</v>
          </cell>
          <cell r="H210">
            <v>0</v>
          </cell>
          <cell r="I210">
            <v>0</v>
          </cell>
          <cell r="J210">
            <v>0</v>
          </cell>
          <cell r="K210">
            <v>0</v>
          </cell>
          <cell r="L210">
            <v>0</v>
          </cell>
          <cell r="M210">
            <v>0</v>
          </cell>
          <cell r="N210">
            <v>0</v>
          </cell>
          <cell r="O210">
            <v>0</v>
          </cell>
          <cell r="P210">
            <v>0</v>
          </cell>
          <cell r="Q210">
            <v>0</v>
          </cell>
        </row>
        <row r="212">
          <cell r="A212" t="str">
            <v>Total Revenue Reductions</v>
          </cell>
          <cell r="E212">
            <v>549574.68000000005</v>
          </cell>
          <cell r="F212">
            <v>499977.51</v>
          </cell>
          <cell r="G212">
            <v>581134.85</v>
          </cell>
          <cell r="H212">
            <v>559914.17000000004</v>
          </cell>
          <cell r="I212">
            <v>564010.48</v>
          </cell>
          <cell r="J212">
            <v>615173.96</v>
          </cell>
          <cell r="K212">
            <v>604101.30999999994</v>
          </cell>
          <cell r="L212">
            <v>604404.01</v>
          </cell>
          <cell r="M212">
            <v>602121.30000000005</v>
          </cell>
          <cell r="N212">
            <v>569292.79999999993</v>
          </cell>
          <cell r="O212">
            <v>561398.1399999999</v>
          </cell>
          <cell r="P212">
            <v>607565.14</v>
          </cell>
          <cell r="Q212">
            <v>6918668.3499999996</v>
          </cell>
        </row>
        <row r="214">
          <cell r="A214" t="str">
            <v>Net Revenue</v>
          </cell>
          <cell r="E214">
            <v>839957.93</v>
          </cell>
          <cell r="F214">
            <v>880100</v>
          </cell>
          <cell r="G214">
            <v>827312.04999999993</v>
          </cell>
          <cell r="H214">
            <v>859264.9</v>
          </cell>
          <cell r="I214">
            <v>855566.97999999975</v>
          </cell>
          <cell r="J214">
            <v>851493.29</v>
          </cell>
          <cell r="K214">
            <v>861895.62</v>
          </cell>
          <cell r="L214">
            <v>887553.74</v>
          </cell>
          <cell r="M214">
            <v>858415.54</v>
          </cell>
          <cell r="N214">
            <v>850652.68999999983</v>
          </cell>
          <cell r="O214">
            <v>822171.2100000002</v>
          </cell>
          <cell r="P214">
            <v>814403.91999999981</v>
          </cell>
          <cell r="Q214">
            <v>10208787.869999995</v>
          </cell>
        </row>
        <row r="216">
          <cell r="A216" t="str">
            <v>Cost of Operations</v>
          </cell>
        </row>
        <row r="217">
          <cell r="A217" t="str">
            <v>Labor</v>
          </cell>
        </row>
        <row r="218">
          <cell r="A218">
            <v>50010</v>
          </cell>
          <cell r="B218" t="str">
            <v>Salaries</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A219">
            <v>50020</v>
          </cell>
          <cell r="B219" t="str">
            <v>Wages Regular</v>
          </cell>
          <cell r="E219">
            <v>148506.62</v>
          </cell>
          <cell r="F219">
            <v>147781.52000000002</v>
          </cell>
          <cell r="G219">
            <v>162872.48000000001</v>
          </cell>
          <cell r="H219">
            <v>152426.56</v>
          </cell>
          <cell r="I219">
            <v>133250.6</v>
          </cell>
          <cell r="J219">
            <v>141014.94</v>
          </cell>
          <cell r="K219">
            <v>138800.41999999998</v>
          </cell>
          <cell r="L219">
            <v>144467.28999999998</v>
          </cell>
          <cell r="M219">
            <v>139411.4</v>
          </cell>
          <cell r="N219">
            <v>131255.16</v>
          </cell>
          <cell r="O219">
            <v>135440.33000000002</v>
          </cell>
          <cell r="P219">
            <v>141049.91999999998</v>
          </cell>
          <cell r="Q219">
            <v>1716277.2399999998</v>
          </cell>
        </row>
        <row r="220">
          <cell r="A220">
            <v>50025</v>
          </cell>
          <cell r="B220" t="str">
            <v>Wages O.T.</v>
          </cell>
          <cell r="E220">
            <v>22975.54</v>
          </cell>
          <cell r="F220">
            <v>6810.35</v>
          </cell>
          <cell r="G220">
            <v>14008.81</v>
          </cell>
          <cell r="H220">
            <v>20795.96</v>
          </cell>
          <cell r="I220">
            <v>28625.24</v>
          </cell>
          <cell r="J220">
            <v>22652.750000000004</v>
          </cell>
          <cell r="K220">
            <v>20035.850000000002</v>
          </cell>
          <cell r="L220">
            <v>20754.88</v>
          </cell>
          <cell r="M220">
            <v>29699.32</v>
          </cell>
          <cell r="N220">
            <v>20332.329999999998</v>
          </cell>
          <cell r="O220">
            <v>32459.590000000004</v>
          </cell>
          <cell r="P220">
            <v>20007.580000000002</v>
          </cell>
          <cell r="Q220">
            <v>259158.2</v>
          </cell>
        </row>
        <row r="221">
          <cell r="A221">
            <v>50035</v>
          </cell>
          <cell r="B221" t="str">
            <v>Safety Bonuses</v>
          </cell>
          <cell r="E221">
            <v>3200</v>
          </cell>
          <cell r="F221">
            <v>3200</v>
          </cell>
          <cell r="G221">
            <v>3200</v>
          </cell>
          <cell r="H221">
            <v>3200</v>
          </cell>
          <cell r="I221">
            <v>3950</v>
          </cell>
          <cell r="J221">
            <v>3950</v>
          </cell>
          <cell r="K221">
            <v>3950</v>
          </cell>
          <cell r="L221">
            <v>3950</v>
          </cell>
          <cell r="M221">
            <v>2000</v>
          </cell>
          <cell r="N221">
            <v>2000</v>
          </cell>
          <cell r="O221">
            <v>3200</v>
          </cell>
          <cell r="P221">
            <v>0</v>
          </cell>
          <cell r="Q221">
            <v>35800</v>
          </cell>
        </row>
        <row r="222">
          <cell r="A222">
            <v>50036</v>
          </cell>
          <cell r="B222" t="str">
            <v>Other Bonus/Commission - Non-Safety</v>
          </cell>
          <cell r="E222">
            <v>0</v>
          </cell>
          <cell r="F222">
            <v>0</v>
          </cell>
          <cell r="G222">
            <v>1125</v>
          </cell>
          <cell r="H222">
            <v>0</v>
          </cell>
          <cell r="I222">
            <v>0</v>
          </cell>
          <cell r="J222">
            <v>0</v>
          </cell>
          <cell r="K222">
            <v>0</v>
          </cell>
          <cell r="L222">
            <v>0</v>
          </cell>
          <cell r="M222">
            <v>0</v>
          </cell>
          <cell r="N222">
            <v>0</v>
          </cell>
          <cell r="O222">
            <v>0</v>
          </cell>
          <cell r="P222">
            <v>0</v>
          </cell>
          <cell r="Q222">
            <v>1125</v>
          </cell>
        </row>
        <row r="223">
          <cell r="A223">
            <v>50045</v>
          </cell>
          <cell r="B223" t="str">
            <v>Contract Labor</v>
          </cell>
          <cell r="E223">
            <v>0</v>
          </cell>
          <cell r="F223">
            <v>0</v>
          </cell>
          <cell r="G223">
            <v>0</v>
          </cell>
          <cell r="H223">
            <v>0</v>
          </cell>
          <cell r="I223">
            <v>0</v>
          </cell>
          <cell r="J223">
            <v>0</v>
          </cell>
          <cell r="K223">
            <v>0</v>
          </cell>
          <cell r="L223">
            <v>0</v>
          </cell>
          <cell r="M223">
            <v>0</v>
          </cell>
          <cell r="N223">
            <v>0</v>
          </cell>
          <cell r="O223">
            <v>0</v>
          </cell>
          <cell r="P223">
            <v>0</v>
          </cell>
          <cell r="Q223">
            <v>0</v>
          </cell>
        </row>
        <row r="224">
          <cell r="A224">
            <v>50050</v>
          </cell>
          <cell r="B224" t="str">
            <v>Payroll Taxes</v>
          </cell>
          <cell r="E224">
            <v>21085.43</v>
          </cell>
          <cell r="F224">
            <v>16517.190000000002</v>
          </cell>
          <cell r="G224">
            <v>17618.89</v>
          </cell>
          <cell r="H224">
            <v>17201.14</v>
          </cell>
          <cell r="I224">
            <v>16035.320000000002</v>
          </cell>
          <cell r="J224">
            <v>17468.87</v>
          </cell>
          <cell r="K224">
            <v>16392.41</v>
          </cell>
          <cell r="L224">
            <v>16351.01</v>
          </cell>
          <cell r="M224">
            <v>17217.28</v>
          </cell>
          <cell r="N224">
            <v>14701.12</v>
          </cell>
          <cell r="O224">
            <v>17942.59</v>
          </cell>
          <cell r="P224">
            <v>10482.15</v>
          </cell>
          <cell r="Q224">
            <v>199013.4</v>
          </cell>
        </row>
        <row r="225">
          <cell r="A225">
            <v>50060</v>
          </cell>
          <cell r="B225" t="str">
            <v>Group Insurance</v>
          </cell>
          <cell r="E225">
            <v>1330</v>
          </cell>
          <cell r="F225">
            <v>1226</v>
          </cell>
          <cell r="G225">
            <v>729.5</v>
          </cell>
          <cell r="H225">
            <v>1026.5</v>
          </cell>
          <cell r="I225">
            <v>878</v>
          </cell>
          <cell r="J225">
            <v>878</v>
          </cell>
          <cell r="K225">
            <v>878.77</v>
          </cell>
          <cell r="L225">
            <v>826</v>
          </cell>
          <cell r="M225">
            <v>1077.5</v>
          </cell>
          <cell r="N225">
            <v>1826.5</v>
          </cell>
          <cell r="O225">
            <v>1678.77</v>
          </cell>
          <cell r="P225">
            <v>1088.4199999999998</v>
          </cell>
          <cell r="Q225">
            <v>13443.960000000001</v>
          </cell>
        </row>
        <row r="226">
          <cell r="A226">
            <v>50065</v>
          </cell>
          <cell r="B226" t="str">
            <v>Vacation Pay</v>
          </cell>
          <cell r="E226">
            <v>13381.59</v>
          </cell>
          <cell r="F226">
            <v>8706.9500000000007</v>
          </cell>
          <cell r="G226">
            <v>9543.1899999999987</v>
          </cell>
          <cell r="H226">
            <v>7013.4</v>
          </cell>
          <cell r="I226">
            <v>14309.95</v>
          </cell>
          <cell r="J226">
            <v>8179.11</v>
          </cell>
          <cell r="K226">
            <v>14227.68</v>
          </cell>
          <cell r="L226">
            <v>7288.4699999999993</v>
          </cell>
          <cell r="M226">
            <v>15009.16</v>
          </cell>
          <cell r="N226">
            <v>10400.879999999999</v>
          </cell>
          <cell r="O226">
            <v>16702.490000000002</v>
          </cell>
          <cell r="P226">
            <v>14167.710000000001</v>
          </cell>
          <cell r="Q226">
            <v>138930.58000000002</v>
          </cell>
        </row>
        <row r="227">
          <cell r="A227">
            <v>50070</v>
          </cell>
          <cell r="B227" t="str">
            <v>Sick Pay</v>
          </cell>
          <cell r="E227">
            <v>510.84</v>
          </cell>
          <cell r="F227">
            <v>-249.9</v>
          </cell>
          <cell r="G227">
            <v>257.39999999999998</v>
          </cell>
          <cell r="H227">
            <v>14.4</v>
          </cell>
          <cell r="I227">
            <v>0</v>
          </cell>
          <cell r="J227">
            <v>722.88</v>
          </cell>
          <cell r="K227">
            <v>80.319999999999993</v>
          </cell>
          <cell r="L227">
            <v>92</v>
          </cell>
          <cell r="M227">
            <v>0</v>
          </cell>
          <cell r="N227">
            <v>200.8</v>
          </cell>
          <cell r="O227">
            <v>156.4</v>
          </cell>
          <cell r="P227">
            <v>27.6</v>
          </cell>
          <cell r="Q227">
            <v>1812.7399999999998</v>
          </cell>
        </row>
        <row r="228">
          <cell r="A228">
            <v>50086</v>
          </cell>
          <cell r="B228" t="str">
            <v>Safety and Training</v>
          </cell>
          <cell r="E228">
            <v>52.5</v>
          </cell>
          <cell r="F228">
            <v>57.5</v>
          </cell>
          <cell r="G228">
            <v>269.42</v>
          </cell>
          <cell r="H228">
            <v>-147.5</v>
          </cell>
          <cell r="I228">
            <v>423.2</v>
          </cell>
          <cell r="J228">
            <v>0</v>
          </cell>
          <cell r="K228">
            <v>0</v>
          </cell>
          <cell r="L228">
            <v>0</v>
          </cell>
          <cell r="M228">
            <v>1724.48</v>
          </cell>
          <cell r="N228">
            <v>1092.78</v>
          </cell>
          <cell r="O228">
            <v>642.78</v>
          </cell>
          <cell r="P228">
            <v>0</v>
          </cell>
          <cell r="Q228">
            <v>4115.16</v>
          </cell>
        </row>
        <row r="229">
          <cell r="A229">
            <v>50087</v>
          </cell>
          <cell r="B229" t="str">
            <v>Drug Testing</v>
          </cell>
          <cell r="E229">
            <v>60</v>
          </cell>
          <cell r="F229">
            <v>0</v>
          </cell>
          <cell r="G229">
            <v>0</v>
          </cell>
          <cell r="H229">
            <v>240</v>
          </cell>
          <cell r="I229">
            <v>120</v>
          </cell>
          <cell r="J229">
            <v>240</v>
          </cell>
          <cell r="K229">
            <v>694</v>
          </cell>
          <cell r="L229">
            <v>180</v>
          </cell>
          <cell r="M229">
            <v>420</v>
          </cell>
          <cell r="N229">
            <v>60</v>
          </cell>
          <cell r="O229">
            <v>360</v>
          </cell>
          <cell r="P229">
            <v>60</v>
          </cell>
          <cell r="Q229">
            <v>2434</v>
          </cell>
        </row>
        <row r="230">
          <cell r="A230">
            <v>50090</v>
          </cell>
          <cell r="B230" t="str">
            <v>Uniforms</v>
          </cell>
          <cell r="E230">
            <v>6868.59</v>
          </cell>
          <cell r="F230">
            <v>9292.77</v>
          </cell>
          <cell r="G230">
            <v>8124.38</v>
          </cell>
          <cell r="H230">
            <v>7694.95</v>
          </cell>
          <cell r="I230">
            <v>4128.24</v>
          </cell>
          <cell r="J230">
            <v>12100.73</v>
          </cell>
          <cell r="K230">
            <v>9167.7900000000009</v>
          </cell>
          <cell r="L230">
            <v>12042.49</v>
          </cell>
          <cell r="M230">
            <v>8237.0400000000009</v>
          </cell>
          <cell r="N230">
            <v>8038.55</v>
          </cell>
          <cell r="O230">
            <v>7814.48</v>
          </cell>
          <cell r="P230">
            <v>9358.16</v>
          </cell>
          <cell r="Q230">
            <v>102868.17000000001</v>
          </cell>
        </row>
        <row r="231">
          <cell r="A231">
            <v>50115</v>
          </cell>
          <cell r="B231" t="str">
            <v>Pension and Profit Sharing</v>
          </cell>
          <cell r="E231">
            <v>20881.310000000001</v>
          </cell>
          <cell r="F231">
            <v>19908.310000000001</v>
          </cell>
          <cell r="G231">
            <v>22571.059999999998</v>
          </cell>
          <cell r="H231">
            <v>20908.93</v>
          </cell>
          <cell r="I231">
            <v>20644.87</v>
          </cell>
          <cell r="J231">
            <v>20431.82</v>
          </cell>
          <cell r="K231">
            <v>19793.68</v>
          </cell>
          <cell r="L231">
            <v>25409.94</v>
          </cell>
          <cell r="M231">
            <v>19345.43</v>
          </cell>
          <cell r="N231">
            <v>18963.18</v>
          </cell>
          <cell r="O231">
            <v>19131.61</v>
          </cell>
          <cell r="P231">
            <v>16610.04</v>
          </cell>
          <cell r="Q231">
            <v>244600.17999999996</v>
          </cell>
        </row>
        <row r="232">
          <cell r="A232">
            <v>50116</v>
          </cell>
          <cell r="B232" t="str">
            <v>Union Benefit Expense</v>
          </cell>
          <cell r="E232">
            <v>55955.6</v>
          </cell>
          <cell r="F232">
            <v>54981.08</v>
          </cell>
          <cell r="G232">
            <v>57124.76</v>
          </cell>
          <cell r="H232">
            <v>59521.61</v>
          </cell>
          <cell r="I232">
            <v>55020.61</v>
          </cell>
          <cell r="J232">
            <v>53907.77</v>
          </cell>
          <cell r="K232">
            <v>51487.79</v>
          </cell>
          <cell r="L232">
            <v>50364.490000000005</v>
          </cell>
          <cell r="M232">
            <v>51135.950000000004</v>
          </cell>
          <cell r="N232">
            <v>51271.57</v>
          </cell>
          <cell r="O232">
            <v>52010.640000000007</v>
          </cell>
          <cell r="P232">
            <v>49943.11</v>
          </cell>
          <cell r="Q232">
            <v>642724.98</v>
          </cell>
        </row>
        <row r="233">
          <cell r="A233">
            <v>50117</v>
          </cell>
          <cell r="B233" t="str">
            <v>Union Pension</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A234">
            <v>50148</v>
          </cell>
          <cell r="B234" t="str">
            <v>Allocated Exp In - District</v>
          </cell>
          <cell r="E234">
            <v>0</v>
          </cell>
          <cell r="F234">
            <v>0</v>
          </cell>
          <cell r="G234">
            <v>0</v>
          </cell>
          <cell r="H234">
            <v>0</v>
          </cell>
          <cell r="I234">
            <v>0</v>
          </cell>
          <cell r="J234">
            <v>0</v>
          </cell>
          <cell r="K234">
            <v>0</v>
          </cell>
          <cell r="L234">
            <v>0</v>
          </cell>
          <cell r="M234">
            <v>0</v>
          </cell>
          <cell r="N234">
            <v>0</v>
          </cell>
          <cell r="O234">
            <v>0</v>
          </cell>
          <cell r="P234">
            <v>0</v>
          </cell>
          <cell r="Q234">
            <v>0</v>
          </cell>
        </row>
        <row r="235">
          <cell r="A235">
            <v>50149</v>
          </cell>
          <cell r="B235" t="str">
            <v>Allocated Exp In Out - District</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A236">
            <v>50335</v>
          </cell>
          <cell r="B236" t="str">
            <v>Miscellaneous</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v>50900</v>
          </cell>
          <cell r="B237" t="str">
            <v>Capitalized Costs</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A238">
            <v>50998</v>
          </cell>
          <cell r="B238" t="str">
            <v>Allocation Out - District</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A239">
            <v>50999</v>
          </cell>
          <cell r="B239" t="str">
            <v>Allocation Out - Out District</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A240" t="str">
            <v>Total Labor</v>
          </cell>
          <cell r="E240">
            <v>294808.01999999996</v>
          </cell>
          <cell r="F240">
            <v>268231.77</v>
          </cell>
          <cell r="G240">
            <v>297444.89</v>
          </cell>
          <cell r="H240">
            <v>289895.94999999995</v>
          </cell>
          <cell r="I240">
            <v>277386.03000000003</v>
          </cell>
          <cell r="J240">
            <v>281546.87</v>
          </cell>
          <cell r="K240">
            <v>275508.70999999996</v>
          </cell>
          <cell r="L240">
            <v>281726.57</v>
          </cell>
          <cell r="M240">
            <v>285277.56</v>
          </cell>
          <cell r="N240">
            <v>260142.86999999997</v>
          </cell>
          <cell r="O240">
            <v>287539.68</v>
          </cell>
          <cell r="P240">
            <v>262794.69</v>
          </cell>
          <cell r="Q240">
            <v>3362303.6100000003</v>
          </cell>
        </row>
        <row r="242">
          <cell r="A242" t="str">
            <v>Truck Fixed Expenses</v>
          </cell>
        </row>
        <row r="243">
          <cell r="A243">
            <v>51148</v>
          </cell>
          <cell r="B243" t="str">
            <v>Allocation In - District</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A244">
            <v>51149</v>
          </cell>
          <cell r="B244" t="str">
            <v>Allocation In - Out District</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A245">
            <v>51175</v>
          </cell>
          <cell r="B245" t="str">
            <v>Equipment/Vehicle Rental</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A246">
            <v>51275</v>
          </cell>
          <cell r="B246" t="str">
            <v>Property Taxes</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A247">
            <v>51295</v>
          </cell>
          <cell r="B247" t="str">
            <v>Licenses</v>
          </cell>
          <cell r="E247">
            <v>2602.56</v>
          </cell>
          <cell r="F247">
            <v>2531.56</v>
          </cell>
          <cell r="G247">
            <v>2595.5500000000002</v>
          </cell>
          <cell r="H247">
            <v>2489.9299999999998</v>
          </cell>
          <cell r="I247">
            <v>2160.58</v>
          </cell>
          <cell r="J247">
            <v>2256.83</v>
          </cell>
          <cell r="K247">
            <v>2128.83</v>
          </cell>
          <cell r="L247">
            <v>2085.83</v>
          </cell>
          <cell r="M247">
            <v>2085.83</v>
          </cell>
          <cell r="N247">
            <v>2190.83</v>
          </cell>
          <cell r="O247">
            <v>2085.83</v>
          </cell>
          <cell r="P247">
            <v>2550.89</v>
          </cell>
          <cell r="Q247">
            <v>27765.050000000003</v>
          </cell>
        </row>
        <row r="248">
          <cell r="A248">
            <v>51335</v>
          </cell>
          <cell r="B248" t="str">
            <v>Miscellaneous</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A249">
            <v>51998</v>
          </cell>
          <cell r="B249" t="str">
            <v>Allocation Out - District</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A250">
            <v>51999</v>
          </cell>
          <cell r="B250" t="str">
            <v>Allocation Out - Out District</v>
          </cell>
          <cell r="E250">
            <v>0</v>
          </cell>
          <cell r="F250">
            <v>0</v>
          </cell>
          <cell r="G250">
            <v>0</v>
          </cell>
          <cell r="H250">
            <v>0</v>
          </cell>
          <cell r="I250">
            <v>0</v>
          </cell>
          <cell r="J250">
            <v>0</v>
          </cell>
          <cell r="K250">
            <v>0</v>
          </cell>
          <cell r="L250">
            <v>0</v>
          </cell>
          <cell r="M250">
            <v>0</v>
          </cell>
          <cell r="N250">
            <v>0</v>
          </cell>
          <cell r="O250">
            <v>0</v>
          </cell>
          <cell r="P250">
            <v>0</v>
          </cell>
          <cell r="Q250">
            <v>0</v>
          </cell>
        </row>
        <row r="251">
          <cell r="A251" t="str">
            <v>Total Truck Fixed Expenses</v>
          </cell>
          <cell r="E251">
            <v>2602.56</v>
          </cell>
          <cell r="F251">
            <v>2531.56</v>
          </cell>
          <cell r="G251">
            <v>2595.5500000000002</v>
          </cell>
          <cell r="H251">
            <v>2489.9299999999998</v>
          </cell>
          <cell r="I251">
            <v>2160.58</v>
          </cell>
          <cell r="J251">
            <v>2256.83</v>
          </cell>
          <cell r="K251">
            <v>2128.83</v>
          </cell>
          <cell r="L251">
            <v>2085.83</v>
          </cell>
          <cell r="M251">
            <v>2085.83</v>
          </cell>
          <cell r="N251">
            <v>2190.83</v>
          </cell>
          <cell r="O251">
            <v>2085.83</v>
          </cell>
          <cell r="P251">
            <v>2550.89</v>
          </cell>
          <cell r="Q251">
            <v>27765.050000000003</v>
          </cell>
        </row>
        <row r="253">
          <cell r="A253" t="str">
            <v>Truck Variable Expenses</v>
          </cell>
        </row>
        <row r="254">
          <cell r="A254">
            <v>52010</v>
          </cell>
          <cell r="B254" t="str">
            <v>Salaries</v>
          </cell>
          <cell r="E254">
            <v>6209.13</v>
          </cell>
          <cell r="F254">
            <v>5913.46</v>
          </cell>
          <cell r="G254">
            <v>6800.48</v>
          </cell>
          <cell r="H254">
            <v>6504.81</v>
          </cell>
          <cell r="I254">
            <v>6209.13</v>
          </cell>
          <cell r="J254">
            <v>6504.8</v>
          </cell>
          <cell r="K254">
            <v>6504.81</v>
          </cell>
          <cell r="L254">
            <v>6504.81</v>
          </cell>
          <cell r="M254">
            <v>6504.8</v>
          </cell>
          <cell r="N254">
            <v>6209.14</v>
          </cell>
          <cell r="O254">
            <v>6504.8</v>
          </cell>
          <cell r="P254">
            <v>6800.48</v>
          </cell>
          <cell r="Q254">
            <v>77170.649999999994</v>
          </cell>
        </row>
        <row r="255">
          <cell r="A255">
            <v>52020</v>
          </cell>
          <cell r="B255" t="str">
            <v>Wages Regular</v>
          </cell>
          <cell r="E255">
            <v>11640.62</v>
          </cell>
          <cell r="F255">
            <v>14929.71</v>
          </cell>
          <cell r="G255">
            <v>14082.73</v>
          </cell>
          <cell r="H255">
            <v>13654.74</v>
          </cell>
          <cell r="I255">
            <v>14918.37</v>
          </cell>
          <cell r="J255">
            <v>14754.95</v>
          </cell>
          <cell r="K255">
            <v>12181.44</v>
          </cell>
          <cell r="L255">
            <v>11315.17</v>
          </cell>
          <cell r="M255">
            <v>11931.83</v>
          </cell>
          <cell r="N255">
            <v>11946.65</v>
          </cell>
          <cell r="O255">
            <v>12371.33</v>
          </cell>
          <cell r="P255">
            <v>15662.7</v>
          </cell>
          <cell r="Q255">
            <v>159390.24</v>
          </cell>
        </row>
        <row r="256">
          <cell r="A256">
            <v>52025</v>
          </cell>
          <cell r="B256" t="str">
            <v>Wages O.T.</v>
          </cell>
          <cell r="E256">
            <v>2614.52</v>
          </cell>
          <cell r="F256">
            <v>2473.63</v>
          </cell>
          <cell r="G256">
            <v>2117.09</v>
          </cell>
          <cell r="H256">
            <v>2164.7199999999998</v>
          </cell>
          <cell r="I256">
            <v>2848.44</v>
          </cell>
          <cell r="J256">
            <v>3075.19</v>
          </cell>
          <cell r="K256">
            <v>3378.52</v>
          </cell>
          <cell r="L256">
            <v>1747.37</v>
          </cell>
          <cell r="M256">
            <v>2402.91</v>
          </cell>
          <cell r="N256">
            <v>2322.34</v>
          </cell>
          <cell r="O256">
            <v>3755.06</v>
          </cell>
          <cell r="P256">
            <v>2288.11</v>
          </cell>
          <cell r="Q256">
            <v>31187.9</v>
          </cell>
        </row>
        <row r="257">
          <cell r="A257">
            <v>52035</v>
          </cell>
          <cell r="B257" t="str">
            <v>Safety Bonuses</v>
          </cell>
          <cell r="E257">
            <v>833</v>
          </cell>
          <cell r="F257">
            <v>833</v>
          </cell>
          <cell r="G257">
            <v>833</v>
          </cell>
          <cell r="H257">
            <v>833</v>
          </cell>
          <cell r="I257">
            <v>1583</v>
          </cell>
          <cell r="J257">
            <v>1583</v>
          </cell>
          <cell r="K257">
            <v>1583</v>
          </cell>
          <cell r="L257">
            <v>1583</v>
          </cell>
          <cell r="M257">
            <v>500</v>
          </cell>
          <cell r="N257">
            <v>500</v>
          </cell>
          <cell r="O257">
            <v>1000</v>
          </cell>
          <cell r="P257">
            <v>0</v>
          </cell>
          <cell r="Q257">
            <v>11664</v>
          </cell>
        </row>
        <row r="258">
          <cell r="A258">
            <v>52036</v>
          </cell>
          <cell r="B258" t="str">
            <v>Other Bonus/Commission - Non-Safety</v>
          </cell>
          <cell r="E258">
            <v>0</v>
          </cell>
          <cell r="F258">
            <v>0</v>
          </cell>
          <cell r="G258">
            <v>0</v>
          </cell>
          <cell r="H258">
            <v>0</v>
          </cell>
          <cell r="I258">
            <v>0</v>
          </cell>
          <cell r="J258">
            <v>0</v>
          </cell>
          <cell r="K258">
            <v>0</v>
          </cell>
          <cell r="L258">
            <v>0</v>
          </cell>
          <cell r="M258">
            <v>0</v>
          </cell>
          <cell r="N258">
            <v>0</v>
          </cell>
          <cell r="O258">
            <v>0</v>
          </cell>
          <cell r="P258">
            <v>0</v>
          </cell>
          <cell r="Q258">
            <v>0</v>
          </cell>
        </row>
        <row r="259">
          <cell r="A259">
            <v>52045</v>
          </cell>
          <cell r="B259" t="str">
            <v>Contract Labor</v>
          </cell>
          <cell r="E259">
            <v>0</v>
          </cell>
          <cell r="F259">
            <v>0</v>
          </cell>
          <cell r="G259">
            <v>0</v>
          </cell>
          <cell r="H259">
            <v>0</v>
          </cell>
          <cell r="I259">
            <v>0</v>
          </cell>
          <cell r="J259">
            <v>0</v>
          </cell>
          <cell r="K259">
            <v>0</v>
          </cell>
          <cell r="L259">
            <v>0</v>
          </cell>
          <cell r="M259">
            <v>0</v>
          </cell>
          <cell r="N259">
            <v>0</v>
          </cell>
          <cell r="O259">
            <v>0</v>
          </cell>
          <cell r="P259">
            <v>0</v>
          </cell>
          <cell r="Q259">
            <v>0</v>
          </cell>
        </row>
        <row r="260">
          <cell r="A260">
            <v>52050</v>
          </cell>
          <cell r="B260" t="str">
            <v>Payroll Taxes</v>
          </cell>
          <cell r="E260">
            <v>2869.35</v>
          </cell>
          <cell r="F260">
            <v>2242.16</v>
          </cell>
          <cell r="G260">
            <v>2468.5100000000002</v>
          </cell>
          <cell r="H260">
            <v>2064.63</v>
          </cell>
          <cell r="I260">
            <v>2186.88</v>
          </cell>
          <cell r="J260">
            <v>2344.56</v>
          </cell>
          <cell r="K260">
            <v>1962.2</v>
          </cell>
          <cell r="L260">
            <v>1763.36</v>
          </cell>
          <cell r="M260">
            <v>1881.81</v>
          </cell>
          <cell r="N260">
            <v>1731.74</v>
          </cell>
          <cell r="O260">
            <v>2453.91</v>
          </cell>
          <cell r="P260">
            <v>1757.74</v>
          </cell>
          <cell r="Q260">
            <v>25726.850000000006</v>
          </cell>
        </row>
        <row r="261">
          <cell r="A261">
            <v>52060</v>
          </cell>
          <cell r="B261" t="str">
            <v>Group Insurance</v>
          </cell>
          <cell r="E261">
            <v>1441</v>
          </cell>
          <cell r="F261">
            <v>1441</v>
          </cell>
          <cell r="G261">
            <v>561.5</v>
          </cell>
          <cell r="H261">
            <v>720.5</v>
          </cell>
          <cell r="I261">
            <v>641</v>
          </cell>
          <cell r="J261">
            <v>641</v>
          </cell>
          <cell r="K261">
            <v>641</v>
          </cell>
          <cell r="L261">
            <v>641</v>
          </cell>
          <cell r="M261">
            <v>561.5</v>
          </cell>
          <cell r="N261">
            <v>720.5</v>
          </cell>
          <cell r="O261">
            <v>641</v>
          </cell>
          <cell r="P261">
            <v>583.48</v>
          </cell>
          <cell r="Q261">
            <v>9234.48</v>
          </cell>
        </row>
        <row r="262">
          <cell r="A262">
            <v>52065</v>
          </cell>
          <cell r="B262" t="str">
            <v>Vacation Pay</v>
          </cell>
          <cell r="E262">
            <v>1511.38</v>
          </cell>
          <cell r="F262">
            <v>-838.54</v>
          </cell>
          <cell r="G262">
            <v>2800.68</v>
          </cell>
          <cell r="H262">
            <v>381.27</v>
          </cell>
          <cell r="I262">
            <v>800.29</v>
          </cell>
          <cell r="J262">
            <v>1912.65</v>
          </cell>
          <cell r="K262">
            <v>745.69</v>
          </cell>
          <cell r="L262">
            <v>1755.74</v>
          </cell>
          <cell r="M262">
            <v>996.88</v>
          </cell>
          <cell r="N262">
            <v>1492.04</v>
          </cell>
          <cell r="O262">
            <v>2476.17</v>
          </cell>
          <cell r="P262">
            <v>1846.32</v>
          </cell>
          <cell r="Q262">
            <v>15880.569999999998</v>
          </cell>
        </row>
        <row r="263">
          <cell r="A263">
            <v>52070</v>
          </cell>
          <cell r="B263" t="str">
            <v>Sick Pay</v>
          </cell>
          <cell r="E263">
            <v>0</v>
          </cell>
          <cell r="F263">
            <v>0</v>
          </cell>
          <cell r="G263">
            <v>0</v>
          </cell>
          <cell r="H263">
            <v>0</v>
          </cell>
          <cell r="I263">
            <v>0</v>
          </cell>
          <cell r="J263">
            <v>0</v>
          </cell>
          <cell r="K263">
            <v>0</v>
          </cell>
          <cell r="L263">
            <v>0</v>
          </cell>
          <cell r="M263">
            <v>0</v>
          </cell>
          <cell r="N263">
            <v>0</v>
          </cell>
          <cell r="O263">
            <v>0</v>
          </cell>
          <cell r="P263">
            <v>0</v>
          </cell>
          <cell r="Q263">
            <v>0</v>
          </cell>
        </row>
        <row r="264">
          <cell r="A264">
            <v>52086</v>
          </cell>
          <cell r="B264" t="str">
            <v>Safety and Training</v>
          </cell>
          <cell r="E264">
            <v>104.55</v>
          </cell>
          <cell r="F264">
            <v>112.64</v>
          </cell>
          <cell r="G264">
            <v>154.71</v>
          </cell>
          <cell r="H264">
            <v>299.60000000000002</v>
          </cell>
          <cell r="I264">
            <v>846.98</v>
          </cell>
          <cell r="J264">
            <v>185.38</v>
          </cell>
          <cell r="K264">
            <v>78.989999999999995</v>
          </cell>
          <cell r="L264">
            <v>145.65</v>
          </cell>
          <cell r="M264">
            <v>0</v>
          </cell>
          <cell r="N264">
            <v>876.33</v>
          </cell>
          <cell r="O264">
            <v>-395.59</v>
          </cell>
          <cell r="P264">
            <v>1720.49</v>
          </cell>
          <cell r="Q264">
            <v>4129.7300000000005</v>
          </cell>
        </row>
        <row r="265">
          <cell r="A265">
            <v>52087</v>
          </cell>
          <cell r="B265" t="str">
            <v>Drug Screening</v>
          </cell>
          <cell r="E265">
            <v>0</v>
          </cell>
          <cell r="F265">
            <v>0</v>
          </cell>
          <cell r="G265">
            <v>0</v>
          </cell>
          <cell r="H265">
            <v>0</v>
          </cell>
          <cell r="I265">
            <v>0</v>
          </cell>
          <cell r="J265">
            <v>0</v>
          </cell>
          <cell r="K265">
            <v>0</v>
          </cell>
          <cell r="L265">
            <v>0</v>
          </cell>
          <cell r="M265">
            <v>0</v>
          </cell>
          <cell r="N265">
            <v>0</v>
          </cell>
          <cell r="O265">
            <v>0</v>
          </cell>
          <cell r="P265">
            <v>0</v>
          </cell>
          <cell r="Q265">
            <v>0</v>
          </cell>
        </row>
        <row r="266">
          <cell r="A266">
            <v>52090</v>
          </cell>
          <cell r="B266" t="str">
            <v>Uniforms</v>
          </cell>
          <cell r="E266">
            <v>1040.42</v>
          </cell>
          <cell r="F266">
            <v>1033.9000000000001</v>
          </cell>
          <cell r="G266">
            <v>1397.48</v>
          </cell>
          <cell r="H266">
            <v>1377.31</v>
          </cell>
          <cell r="I266">
            <v>475.1</v>
          </cell>
          <cell r="J266">
            <v>1617.7</v>
          </cell>
          <cell r="K266">
            <v>910.5</v>
          </cell>
          <cell r="L266">
            <v>1633.6</v>
          </cell>
          <cell r="M266">
            <v>1021.73</v>
          </cell>
          <cell r="N266">
            <v>756.54</v>
          </cell>
          <cell r="O266">
            <v>828.81</v>
          </cell>
          <cell r="P266">
            <v>987.61</v>
          </cell>
          <cell r="Q266">
            <v>13080.699999999999</v>
          </cell>
        </row>
        <row r="267">
          <cell r="A267">
            <v>52115</v>
          </cell>
          <cell r="B267" t="str">
            <v>Pension and Profit Sharing</v>
          </cell>
          <cell r="E267">
            <v>2995.29</v>
          </cell>
          <cell r="F267">
            <v>2862.61</v>
          </cell>
          <cell r="G267">
            <v>3299.63</v>
          </cell>
          <cell r="H267">
            <v>2999.06</v>
          </cell>
          <cell r="I267">
            <v>2963.05</v>
          </cell>
          <cell r="J267">
            <v>2934</v>
          </cell>
          <cell r="K267">
            <v>2846.98</v>
          </cell>
          <cell r="L267">
            <v>2774.57</v>
          </cell>
          <cell r="M267">
            <v>2785.85</v>
          </cell>
          <cell r="N267">
            <v>2807.65</v>
          </cell>
          <cell r="O267">
            <v>2756.7</v>
          </cell>
          <cell r="P267">
            <v>2412.85</v>
          </cell>
          <cell r="Q267">
            <v>34438.239999999998</v>
          </cell>
        </row>
        <row r="268">
          <cell r="A268">
            <v>52116</v>
          </cell>
          <cell r="B268" t="str">
            <v>Union Benefit Expense</v>
          </cell>
          <cell r="E268">
            <v>7876.76</v>
          </cell>
          <cell r="F268">
            <v>7880.62</v>
          </cell>
          <cell r="G268">
            <v>7872.8</v>
          </cell>
          <cell r="H268">
            <v>7884.58</v>
          </cell>
          <cell r="I268">
            <v>7878.69</v>
          </cell>
          <cell r="J268">
            <v>7878.69</v>
          </cell>
          <cell r="K268">
            <v>7881.97</v>
          </cell>
          <cell r="L268">
            <v>6752.1</v>
          </cell>
          <cell r="M268">
            <v>6747.85</v>
          </cell>
          <cell r="N268">
            <v>6756.35</v>
          </cell>
          <cell r="O268">
            <v>7182.94</v>
          </cell>
          <cell r="P268">
            <v>7779.69</v>
          </cell>
          <cell r="Q268">
            <v>90373.040000000023</v>
          </cell>
        </row>
        <row r="269">
          <cell r="A269">
            <v>52117</v>
          </cell>
          <cell r="B269" t="str">
            <v>Union Pension</v>
          </cell>
          <cell r="E269">
            <v>0</v>
          </cell>
          <cell r="F269">
            <v>0</v>
          </cell>
          <cell r="G269">
            <v>0</v>
          </cell>
          <cell r="H269">
            <v>0</v>
          </cell>
          <cell r="I269">
            <v>0</v>
          </cell>
          <cell r="J269">
            <v>0</v>
          </cell>
          <cell r="K269">
            <v>0</v>
          </cell>
          <cell r="L269">
            <v>0</v>
          </cell>
          <cell r="M269">
            <v>0</v>
          </cell>
          <cell r="N269">
            <v>0</v>
          </cell>
          <cell r="O269">
            <v>0</v>
          </cell>
          <cell r="P269">
            <v>0</v>
          </cell>
          <cell r="Q269">
            <v>0</v>
          </cell>
        </row>
        <row r="270">
          <cell r="A270">
            <v>52120</v>
          </cell>
          <cell r="B270" t="str">
            <v>Parts and Materials</v>
          </cell>
          <cell r="E270">
            <v>13715.59</v>
          </cell>
          <cell r="F270">
            <v>21102.71</v>
          </cell>
          <cell r="G270">
            <v>18678.920000000006</v>
          </cell>
          <cell r="H270">
            <v>30064.99</v>
          </cell>
          <cell r="I270">
            <v>11133.51</v>
          </cell>
          <cell r="J270">
            <v>9706.94</v>
          </cell>
          <cell r="K270">
            <v>12873.069999999998</v>
          </cell>
          <cell r="L270">
            <v>12811.720000000001</v>
          </cell>
          <cell r="M270">
            <v>13514.23</v>
          </cell>
          <cell r="N270">
            <v>8953.7200000000012</v>
          </cell>
          <cell r="O270">
            <v>16547.27</v>
          </cell>
          <cell r="P270">
            <v>15817.25</v>
          </cell>
          <cell r="Q270">
            <v>184919.91999999998</v>
          </cell>
        </row>
        <row r="271">
          <cell r="A271">
            <v>52125</v>
          </cell>
          <cell r="B271" t="str">
            <v>Operating Supplies</v>
          </cell>
          <cell r="E271">
            <v>568.15</v>
          </cell>
          <cell r="F271">
            <v>288.02999999999997</v>
          </cell>
          <cell r="G271">
            <v>385.62</v>
          </cell>
          <cell r="H271">
            <v>179.18</v>
          </cell>
          <cell r="I271">
            <v>339.98</v>
          </cell>
          <cell r="J271">
            <v>264.08</v>
          </cell>
          <cell r="K271">
            <v>131.13</v>
          </cell>
          <cell r="L271">
            <v>13.55</v>
          </cell>
          <cell r="M271">
            <v>9.8699999999999992</v>
          </cell>
          <cell r="N271">
            <v>372.92</v>
          </cell>
          <cell r="O271">
            <v>819.61</v>
          </cell>
          <cell r="P271">
            <v>414.71</v>
          </cell>
          <cell r="Q271">
            <v>3786.8300000000004</v>
          </cell>
        </row>
        <row r="272">
          <cell r="A272">
            <v>52135</v>
          </cell>
          <cell r="B272" t="str">
            <v>Equipment and Maint Repair</v>
          </cell>
          <cell r="E272">
            <v>0</v>
          </cell>
          <cell r="F272">
            <v>0</v>
          </cell>
          <cell r="G272">
            <v>149.16</v>
          </cell>
          <cell r="H272">
            <v>681.98</v>
          </cell>
          <cell r="I272">
            <v>545.25</v>
          </cell>
          <cell r="J272">
            <v>332.59</v>
          </cell>
          <cell r="K272">
            <v>984.37</v>
          </cell>
          <cell r="L272">
            <v>173.37</v>
          </cell>
          <cell r="M272">
            <v>0</v>
          </cell>
          <cell r="N272">
            <v>156.19999999999999</v>
          </cell>
          <cell r="O272">
            <v>-156.19999999999999</v>
          </cell>
          <cell r="P272">
            <v>27.01</v>
          </cell>
          <cell r="Q272">
            <v>2893.73</v>
          </cell>
        </row>
        <row r="273">
          <cell r="A273">
            <v>52140</v>
          </cell>
          <cell r="B273" t="str">
            <v>Tires</v>
          </cell>
          <cell r="E273">
            <v>11282.69</v>
          </cell>
          <cell r="F273">
            <v>1664.63</v>
          </cell>
          <cell r="G273">
            <v>5175.3999999999996</v>
          </cell>
          <cell r="H273">
            <v>8753.43</v>
          </cell>
          <cell r="I273">
            <v>9084.64</v>
          </cell>
          <cell r="J273">
            <v>1370.04</v>
          </cell>
          <cell r="K273">
            <v>8864.5</v>
          </cell>
          <cell r="L273">
            <v>438.2</v>
          </cell>
          <cell r="M273">
            <v>5010.1400000000003</v>
          </cell>
          <cell r="N273">
            <v>1896.06</v>
          </cell>
          <cell r="O273">
            <v>7161.25</v>
          </cell>
          <cell r="P273">
            <v>3395.56</v>
          </cell>
          <cell r="Q273">
            <v>64096.539999999994</v>
          </cell>
        </row>
        <row r="274">
          <cell r="A274">
            <v>52142</v>
          </cell>
          <cell r="B274" t="str">
            <v>Fuel Expense</v>
          </cell>
          <cell r="E274">
            <v>54158.289999999994</v>
          </cell>
          <cell r="F274">
            <v>50956.94</v>
          </cell>
          <cell r="G274">
            <v>60111.49</v>
          </cell>
          <cell r="H274">
            <v>62505</v>
          </cell>
          <cell r="I274">
            <v>58155.18</v>
          </cell>
          <cell r="J274">
            <v>61304.36</v>
          </cell>
          <cell r="K274">
            <v>60908.59</v>
          </cell>
          <cell r="L274">
            <v>64096.240000000005</v>
          </cell>
          <cell r="M274">
            <v>63144.08</v>
          </cell>
          <cell r="N274">
            <v>63868.340000000004</v>
          </cell>
          <cell r="O274">
            <v>56605.93</v>
          </cell>
          <cell r="P274">
            <v>67191.64</v>
          </cell>
          <cell r="Q274">
            <v>723006.08</v>
          </cell>
        </row>
        <row r="275">
          <cell r="A275">
            <v>52143</v>
          </cell>
          <cell r="B275" t="str">
            <v>Transmontagne Fuel</v>
          </cell>
          <cell r="E275">
            <v>0</v>
          </cell>
          <cell r="F275">
            <v>0</v>
          </cell>
          <cell r="G275">
            <v>0</v>
          </cell>
          <cell r="H275">
            <v>0</v>
          </cell>
          <cell r="I275">
            <v>0</v>
          </cell>
          <cell r="J275">
            <v>0</v>
          </cell>
          <cell r="K275">
            <v>0</v>
          </cell>
          <cell r="L275">
            <v>0</v>
          </cell>
          <cell r="M275">
            <v>0</v>
          </cell>
          <cell r="N275">
            <v>0</v>
          </cell>
          <cell r="O275">
            <v>0</v>
          </cell>
          <cell r="P275">
            <v>0</v>
          </cell>
          <cell r="Q275">
            <v>0</v>
          </cell>
        </row>
        <row r="276">
          <cell r="A276">
            <v>52144</v>
          </cell>
          <cell r="B276" t="str">
            <v>Urea Expense</v>
          </cell>
          <cell r="E276">
            <v>0</v>
          </cell>
          <cell r="F276">
            <v>0</v>
          </cell>
          <cell r="G276">
            <v>0</v>
          </cell>
          <cell r="H276">
            <v>0</v>
          </cell>
          <cell r="I276">
            <v>0</v>
          </cell>
          <cell r="J276">
            <v>0</v>
          </cell>
          <cell r="K276">
            <v>0</v>
          </cell>
          <cell r="L276">
            <v>0</v>
          </cell>
          <cell r="M276">
            <v>0</v>
          </cell>
          <cell r="N276">
            <v>0</v>
          </cell>
          <cell r="O276">
            <v>0</v>
          </cell>
          <cell r="P276">
            <v>0</v>
          </cell>
          <cell r="Q276">
            <v>0</v>
          </cell>
        </row>
        <row r="277">
          <cell r="A277">
            <v>52146</v>
          </cell>
          <cell r="B277" t="str">
            <v>Oil and Grease</v>
          </cell>
          <cell r="E277">
            <v>3179.71</v>
          </cell>
          <cell r="F277">
            <v>7401.66</v>
          </cell>
          <cell r="G277">
            <v>5696.15</v>
          </cell>
          <cell r="H277">
            <v>6990.25</v>
          </cell>
          <cell r="I277">
            <v>4918.58</v>
          </cell>
          <cell r="J277">
            <v>3341.27</v>
          </cell>
          <cell r="K277">
            <v>1599.94</v>
          </cell>
          <cell r="L277">
            <v>9095.31</v>
          </cell>
          <cell r="M277">
            <v>5629.35</v>
          </cell>
          <cell r="N277">
            <v>4937.97</v>
          </cell>
          <cell r="O277">
            <v>5285.37</v>
          </cell>
          <cell r="P277">
            <v>5402.36</v>
          </cell>
          <cell r="Q277">
            <v>63477.919999999998</v>
          </cell>
        </row>
        <row r="278">
          <cell r="A278">
            <v>52147</v>
          </cell>
          <cell r="B278" t="str">
            <v>Outside Repairs</v>
          </cell>
          <cell r="E278">
            <v>2520.1099999999997</v>
          </cell>
          <cell r="F278">
            <v>148.44</v>
          </cell>
          <cell r="G278">
            <v>4753.75</v>
          </cell>
          <cell r="H278">
            <v>2049.4</v>
          </cell>
          <cell r="I278">
            <v>568.04999999999995</v>
          </cell>
          <cell r="J278">
            <v>4319.34</v>
          </cell>
          <cell r="K278">
            <v>3088.65</v>
          </cell>
          <cell r="L278">
            <v>4131.92</v>
          </cell>
          <cell r="M278">
            <v>939.12</v>
          </cell>
          <cell r="N278">
            <v>4227.5600000000004</v>
          </cell>
          <cell r="O278">
            <v>38.909999999999997</v>
          </cell>
          <cell r="P278">
            <v>448.88</v>
          </cell>
          <cell r="Q278">
            <v>27234.129999999997</v>
          </cell>
        </row>
        <row r="279">
          <cell r="A279">
            <v>52148</v>
          </cell>
          <cell r="B279" t="str">
            <v>Allocated Exp In - District</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A280">
            <v>52149</v>
          </cell>
          <cell r="B280" t="str">
            <v>Allocated Exp In Out - District</v>
          </cell>
          <cell r="E280">
            <v>0</v>
          </cell>
          <cell r="F280">
            <v>0</v>
          </cell>
          <cell r="G280">
            <v>0</v>
          </cell>
          <cell r="H280">
            <v>0</v>
          </cell>
          <cell r="I280">
            <v>0</v>
          </cell>
          <cell r="J280">
            <v>0</v>
          </cell>
          <cell r="K280">
            <v>0</v>
          </cell>
          <cell r="L280">
            <v>0</v>
          </cell>
          <cell r="M280">
            <v>0</v>
          </cell>
          <cell r="N280">
            <v>0</v>
          </cell>
          <cell r="O280">
            <v>0</v>
          </cell>
          <cell r="P280">
            <v>0</v>
          </cell>
          <cell r="Q280">
            <v>0</v>
          </cell>
        </row>
        <row r="281">
          <cell r="A281">
            <v>52150</v>
          </cell>
          <cell r="B281" t="str">
            <v>Utilities</v>
          </cell>
          <cell r="E281">
            <v>1060.3800000000001</v>
          </cell>
          <cell r="F281">
            <v>764.22</v>
          </cell>
          <cell r="G281">
            <v>713.08</v>
          </cell>
          <cell r="H281">
            <v>617.6</v>
          </cell>
          <cell r="I281">
            <v>412.22</v>
          </cell>
          <cell r="J281">
            <v>355.41</v>
          </cell>
          <cell r="K281">
            <v>1187.46</v>
          </cell>
          <cell r="L281">
            <v>314.74</v>
          </cell>
          <cell r="M281">
            <v>291.92</v>
          </cell>
          <cell r="N281">
            <v>296.52999999999997</v>
          </cell>
          <cell r="O281">
            <v>545.01</v>
          </cell>
          <cell r="P281">
            <v>997.3</v>
          </cell>
          <cell r="Q281">
            <v>7555.87</v>
          </cell>
        </row>
        <row r="282">
          <cell r="A282">
            <v>52165</v>
          </cell>
          <cell r="B282" t="str">
            <v>Communications</v>
          </cell>
          <cell r="E282">
            <v>497.52</v>
          </cell>
          <cell r="F282">
            <v>509.58</v>
          </cell>
          <cell r="G282">
            <v>521.71</v>
          </cell>
          <cell r="H282">
            <v>497.47</v>
          </cell>
          <cell r="I282">
            <v>622.69000000000005</v>
          </cell>
          <cell r="J282">
            <v>534.09</v>
          </cell>
          <cell r="K282">
            <v>-388.32</v>
          </cell>
          <cell r="L282">
            <v>662.93</v>
          </cell>
          <cell r="M282">
            <v>678.76</v>
          </cell>
          <cell r="N282">
            <v>509.78</v>
          </cell>
          <cell r="O282">
            <v>678.67</v>
          </cell>
          <cell r="P282">
            <v>546.71</v>
          </cell>
          <cell r="Q282">
            <v>5871.59</v>
          </cell>
        </row>
        <row r="283">
          <cell r="A283">
            <v>52170</v>
          </cell>
          <cell r="B283" t="str">
            <v>Real Estate Rentals</v>
          </cell>
          <cell r="E283">
            <v>0</v>
          </cell>
          <cell r="F283">
            <v>0</v>
          </cell>
          <cell r="G283">
            <v>0</v>
          </cell>
          <cell r="H283">
            <v>0</v>
          </cell>
          <cell r="I283">
            <v>0</v>
          </cell>
          <cell r="J283">
            <v>0</v>
          </cell>
          <cell r="K283">
            <v>0</v>
          </cell>
          <cell r="L283">
            <v>0</v>
          </cell>
          <cell r="M283">
            <v>0</v>
          </cell>
          <cell r="N283">
            <v>0</v>
          </cell>
          <cell r="O283">
            <v>0</v>
          </cell>
          <cell r="P283">
            <v>0</v>
          </cell>
          <cell r="Q283">
            <v>0</v>
          </cell>
        </row>
        <row r="284">
          <cell r="A284">
            <v>52172</v>
          </cell>
          <cell r="B284" t="str">
            <v>Chassis Lease Expense</v>
          </cell>
          <cell r="E284">
            <v>0</v>
          </cell>
          <cell r="F284">
            <v>0</v>
          </cell>
          <cell r="G284">
            <v>0</v>
          </cell>
          <cell r="H284">
            <v>0</v>
          </cell>
          <cell r="I284">
            <v>0</v>
          </cell>
          <cell r="J284">
            <v>0</v>
          </cell>
          <cell r="K284">
            <v>0</v>
          </cell>
          <cell r="L284">
            <v>0</v>
          </cell>
          <cell r="M284">
            <v>0</v>
          </cell>
          <cell r="N284">
            <v>0</v>
          </cell>
          <cell r="O284">
            <v>0</v>
          </cell>
          <cell r="P284">
            <v>0</v>
          </cell>
          <cell r="Q284">
            <v>0</v>
          </cell>
        </row>
        <row r="285">
          <cell r="A285">
            <v>52175</v>
          </cell>
          <cell r="B285" t="str">
            <v>Equip/Vehicle Rental</v>
          </cell>
          <cell r="E285">
            <v>0</v>
          </cell>
          <cell r="F285">
            <v>0</v>
          </cell>
          <cell r="G285">
            <v>0</v>
          </cell>
          <cell r="H285">
            <v>0</v>
          </cell>
          <cell r="I285">
            <v>0</v>
          </cell>
          <cell r="J285">
            <v>0</v>
          </cell>
          <cell r="K285">
            <v>0</v>
          </cell>
          <cell r="L285">
            <v>0</v>
          </cell>
          <cell r="M285">
            <v>0</v>
          </cell>
          <cell r="N285">
            <v>0</v>
          </cell>
          <cell r="O285">
            <v>0</v>
          </cell>
          <cell r="P285">
            <v>0</v>
          </cell>
          <cell r="Q285">
            <v>0</v>
          </cell>
        </row>
        <row r="286">
          <cell r="A286">
            <v>52181</v>
          </cell>
          <cell r="B286" t="str">
            <v>Freight</v>
          </cell>
          <cell r="E286">
            <v>0</v>
          </cell>
          <cell r="F286">
            <v>0</v>
          </cell>
          <cell r="G286">
            <v>0</v>
          </cell>
          <cell r="H286">
            <v>0</v>
          </cell>
          <cell r="I286">
            <v>0</v>
          </cell>
          <cell r="J286">
            <v>0</v>
          </cell>
          <cell r="K286">
            <v>0</v>
          </cell>
          <cell r="L286">
            <v>0</v>
          </cell>
          <cell r="M286">
            <v>0</v>
          </cell>
          <cell r="N286">
            <v>0</v>
          </cell>
          <cell r="O286">
            <v>0</v>
          </cell>
          <cell r="P286">
            <v>0</v>
          </cell>
          <cell r="Q286">
            <v>0</v>
          </cell>
        </row>
        <row r="287">
          <cell r="A287">
            <v>52182</v>
          </cell>
          <cell r="B287" t="str">
            <v>Towing Expense</v>
          </cell>
          <cell r="E287">
            <v>243.9</v>
          </cell>
          <cell r="F287">
            <v>678.32</v>
          </cell>
          <cell r="G287">
            <v>518.41999999999996</v>
          </cell>
          <cell r="H287">
            <v>0</v>
          </cell>
          <cell r="I287">
            <v>0</v>
          </cell>
          <cell r="J287">
            <v>271</v>
          </cell>
          <cell r="K287">
            <v>0</v>
          </cell>
          <cell r="L287">
            <v>211.38</v>
          </cell>
          <cell r="M287">
            <v>563.67999999999995</v>
          </cell>
          <cell r="N287">
            <v>0</v>
          </cell>
          <cell r="O287">
            <v>0</v>
          </cell>
          <cell r="P287">
            <v>243.9</v>
          </cell>
          <cell r="Q287">
            <v>2730.6</v>
          </cell>
        </row>
        <row r="288">
          <cell r="A288">
            <v>52185</v>
          </cell>
          <cell r="B288" t="str">
            <v>Travel</v>
          </cell>
          <cell r="E288">
            <v>0</v>
          </cell>
          <cell r="F288">
            <v>0</v>
          </cell>
          <cell r="G288">
            <v>0</v>
          </cell>
          <cell r="H288">
            <v>0</v>
          </cell>
          <cell r="I288">
            <v>0</v>
          </cell>
          <cell r="J288">
            <v>0</v>
          </cell>
          <cell r="K288">
            <v>0</v>
          </cell>
          <cell r="L288">
            <v>0</v>
          </cell>
          <cell r="M288">
            <v>0</v>
          </cell>
          <cell r="N288">
            <v>397.98</v>
          </cell>
          <cell r="O288">
            <v>-397.98</v>
          </cell>
          <cell r="P288">
            <v>0</v>
          </cell>
          <cell r="Q288">
            <v>0</v>
          </cell>
        </row>
        <row r="289">
          <cell r="A289">
            <v>52200</v>
          </cell>
          <cell r="B289" t="str">
            <v>Office Supply and Equip</v>
          </cell>
          <cell r="E289">
            <v>100.76</v>
          </cell>
          <cell r="F289">
            <v>168.31</v>
          </cell>
          <cell r="G289">
            <v>81.760000000000005</v>
          </cell>
          <cell r="H289">
            <v>538.53</v>
          </cell>
          <cell r="I289">
            <v>50.95</v>
          </cell>
          <cell r="J289">
            <v>51.81</v>
          </cell>
          <cell r="K289">
            <v>0</v>
          </cell>
          <cell r="L289">
            <v>226.01</v>
          </cell>
          <cell r="M289">
            <v>51.5</v>
          </cell>
          <cell r="N289">
            <v>0</v>
          </cell>
          <cell r="O289">
            <v>556.91</v>
          </cell>
          <cell r="P289">
            <v>324.24</v>
          </cell>
          <cell r="Q289">
            <v>2150.7799999999997</v>
          </cell>
        </row>
        <row r="290">
          <cell r="A290">
            <v>52275</v>
          </cell>
          <cell r="B290" t="str">
            <v>Property Taxes</v>
          </cell>
          <cell r="E290">
            <v>0</v>
          </cell>
          <cell r="F290">
            <v>0</v>
          </cell>
          <cell r="G290">
            <v>0</v>
          </cell>
          <cell r="H290">
            <v>0</v>
          </cell>
          <cell r="I290">
            <v>0</v>
          </cell>
          <cell r="J290">
            <v>0</v>
          </cell>
          <cell r="K290">
            <v>0</v>
          </cell>
          <cell r="L290">
            <v>0</v>
          </cell>
          <cell r="M290">
            <v>0</v>
          </cell>
          <cell r="N290">
            <v>0</v>
          </cell>
          <cell r="O290">
            <v>0</v>
          </cell>
          <cell r="P290">
            <v>0</v>
          </cell>
          <cell r="Q290">
            <v>0</v>
          </cell>
        </row>
        <row r="291">
          <cell r="A291">
            <v>52335</v>
          </cell>
          <cell r="B291" t="str">
            <v>Miscellaneous</v>
          </cell>
          <cell r="E291">
            <v>9</v>
          </cell>
          <cell r="F291">
            <v>0</v>
          </cell>
          <cell r="G291">
            <v>4.5</v>
          </cell>
          <cell r="H291">
            <v>0</v>
          </cell>
          <cell r="I291">
            <v>0</v>
          </cell>
          <cell r="J291">
            <v>0</v>
          </cell>
          <cell r="K291">
            <v>0</v>
          </cell>
          <cell r="L291">
            <v>0</v>
          </cell>
          <cell r="M291">
            <v>0</v>
          </cell>
          <cell r="N291">
            <v>0</v>
          </cell>
          <cell r="O291">
            <v>0</v>
          </cell>
          <cell r="P291">
            <v>0</v>
          </cell>
          <cell r="Q291">
            <v>13.5</v>
          </cell>
        </row>
        <row r="292">
          <cell r="A292">
            <v>52900</v>
          </cell>
          <cell r="B292" t="str">
            <v>Capitalized Costs</v>
          </cell>
          <cell r="E292">
            <v>0</v>
          </cell>
          <cell r="F292">
            <v>0</v>
          </cell>
          <cell r="G292">
            <v>0</v>
          </cell>
          <cell r="H292">
            <v>0</v>
          </cell>
          <cell r="I292">
            <v>0</v>
          </cell>
          <cell r="J292">
            <v>0</v>
          </cell>
          <cell r="K292">
            <v>0</v>
          </cell>
          <cell r="L292">
            <v>0</v>
          </cell>
          <cell r="M292">
            <v>0</v>
          </cell>
          <cell r="N292">
            <v>0</v>
          </cell>
          <cell r="O292">
            <v>0</v>
          </cell>
          <cell r="P292">
            <v>0</v>
          </cell>
          <cell r="Q292">
            <v>0</v>
          </cell>
        </row>
        <row r="293">
          <cell r="A293">
            <v>52901</v>
          </cell>
          <cell r="B293" t="str">
            <v>Costs Awaiting Capitilization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A294">
            <v>52998</v>
          </cell>
          <cell r="B294" t="str">
            <v>Allocation Out - District</v>
          </cell>
          <cell r="E294">
            <v>0</v>
          </cell>
          <cell r="F294">
            <v>0</v>
          </cell>
          <cell r="G294">
            <v>0</v>
          </cell>
          <cell r="H294">
            <v>0</v>
          </cell>
          <cell r="I294">
            <v>0</v>
          </cell>
          <cell r="J294">
            <v>0</v>
          </cell>
          <cell r="K294">
            <v>0</v>
          </cell>
          <cell r="L294">
            <v>0</v>
          </cell>
          <cell r="M294">
            <v>0</v>
          </cell>
          <cell r="N294">
            <v>0</v>
          </cell>
          <cell r="O294">
            <v>0</v>
          </cell>
          <cell r="P294">
            <v>0</v>
          </cell>
          <cell r="Q294">
            <v>0</v>
          </cell>
        </row>
        <row r="295">
          <cell r="A295">
            <v>52999</v>
          </cell>
          <cell r="B295" t="str">
            <v>Allocation Out - Out District</v>
          </cell>
          <cell r="E295">
            <v>0</v>
          </cell>
          <cell r="F295">
            <v>0</v>
          </cell>
          <cell r="G295">
            <v>0</v>
          </cell>
          <cell r="H295">
            <v>0</v>
          </cell>
          <cell r="I295">
            <v>0</v>
          </cell>
          <cell r="J295">
            <v>0</v>
          </cell>
          <cell r="K295">
            <v>0</v>
          </cell>
          <cell r="L295">
            <v>0</v>
          </cell>
          <cell r="M295">
            <v>0</v>
          </cell>
          <cell r="N295">
            <v>0</v>
          </cell>
          <cell r="O295">
            <v>0</v>
          </cell>
          <cell r="P295">
            <v>0</v>
          </cell>
          <cell r="Q295">
            <v>0</v>
          </cell>
        </row>
        <row r="296">
          <cell r="A296" t="str">
            <v>Total Truck Variable</v>
          </cell>
          <cell r="E296">
            <v>126472.12</v>
          </cell>
          <cell r="F296">
            <v>122567.03000000001</v>
          </cell>
          <cell r="G296">
            <v>139178.57</v>
          </cell>
          <cell r="H296">
            <v>151762.04999999999</v>
          </cell>
          <cell r="I296">
            <v>127181.98000000001</v>
          </cell>
          <cell r="J296">
            <v>125282.85</v>
          </cell>
          <cell r="K296">
            <v>127964.48999999999</v>
          </cell>
          <cell r="L296">
            <v>128791.74</v>
          </cell>
          <cell r="M296">
            <v>125167.81</v>
          </cell>
          <cell r="N296">
            <v>121736.34</v>
          </cell>
          <cell r="O296">
            <v>127259.88000000002</v>
          </cell>
          <cell r="P296">
            <v>136649.02999999997</v>
          </cell>
          <cell r="Q296">
            <v>1560013.8900000001</v>
          </cell>
        </row>
        <row r="298">
          <cell r="A298" t="str">
            <v>Container</v>
          </cell>
        </row>
        <row r="299">
          <cell r="A299">
            <v>54148</v>
          </cell>
          <cell r="B299" t="str">
            <v>Allocation In - District</v>
          </cell>
          <cell r="E299">
            <v>0</v>
          </cell>
          <cell r="F299">
            <v>0</v>
          </cell>
          <cell r="G299">
            <v>0</v>
          </cell>
          <cell r="H299">
            <v>0</v>
          </cell>
          <cell r="I299">
            <v>0</v>
          </cell>
          <cell r="J299">
            <v>0</v>
          </cell>
          <cell r="K299">
            <v>0</v>
          </cell>
          <cell r="L299">
            <v>0</v>
          </cell>
          <cell r="M299">
            <v>0</v>
          </cell>
          <cell r="N299">
            <v>0</v>
          </cell>
          <cell r="O299">
            <v>0</v>
          </cell>
          <cell r="P299">
            <v>0</v>
          </cell>
          <cell r="Q299">
            <v>0</v>
          </cell>
        </row>
        <row r="300">
          <cell r="A300">
            <v>54149</v>
          </cell>
          <cell r="B300" t="str">
            <v>Allocation In - Out District</v>
          </cell>
          <cell r="E300">
            <v>0</v>
          </cell>
          <cell r="F300">
            <v>0</v>
          </cell>
          <cell r="G300">
            <v>0</v>
          </cell>
          <cell r="H300">
            <v>0</v>
          </cell>
          <cell r="I300">
            <v>0</v>
          </cell>
          <cell r="J300">
            <v>0</v>
          </cell>
          <cell r="K300">
            <v>0</v>
          </cell>
          <cell r="L300">
            <v>0</v>
          </cell>
          <cell r="M300">
            <v>0</v>
          </cell>
          <cell r="N300">
            <v>0</v>
          </cell>
          <cell r="O300">
            <v>0</v>
          </cell>
          <cell r="P300">
            <v>0</v>
          </cell>
          <cell r="Q300">
            <v>0</v>
          </cell>
        </row>
        <row r="301">
          <cell r="A301">
            <v>54175</v>
          </cell>
          <cell r="B301" t="str">
            <v>Equipment/Vehicle Rental</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v>54275</v>
          </cell>
          <cell r="B302" t="str">
            <v>Property Taxes</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v>54335</v>
          </cell>
          <cell r="B303" t="str">
            <v>Miscellaneous</v>
          </cell>
          <cell r="E303">
            <v>0</v>
          </cell>
          <cell r="F303">
            <v>0</v>
          </cell>
          <cell r="G303">
            <v>0</v>
          </cell>
          <cell r="H303">
            <v>0</v>
          </cell>
          <cell r="I303">
            <v>0</v>
          </cell>
          <cell r="J303">
            <v>0</v>
          </cell>
          <cell r="K303">
            <v>0</v>
          </cell>
          <cell r="L303">
            <v>0</v>
          </cell>
          <cell r="M303">
            <v>0</v>
          </cell>
          <cell r="N303">
            <v>0</v>
          </cell>
          <cell r="O303">
            <v>0</v>
          </cell>
          <cell r="P303">
            <v>0</v>
          </cell>
          <cell r="Q303">
            <v>0</v>
          </cell>
        </row>
        <row r="304">
          <cell r="A304">
            <v>54998</v>
          </cell>
          <cell r="B304" t="str">
            <v>Allocation Out - District</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A305">
            <v>54999</v>
          </cell>
          <cell r="B305" t="str">
            <v>Allocation Out - Out District</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v>55010</v>
          </cell>
          <cell r="B306" t="str">
            <v>Salaries</v>
          </cell>
          <cell r="E306">
            <v>0</v>
          </cell>
          <cell r="F306">
            <v>0</v>
          </cell>
          <cell r="G306">
            <v>0</v>
          </cell>
          <cell r="H306">
            <v>0</v>
          </cell>
          <cell r="I306">
            <v>0</v>
          </cell>
          <cell r="J306">
            <v>0</v>
          </cell>
          <cell r="K306">
            <v>0</v>
          </cell>
          <cell r="L306">
            <v>0</v>
          </cell>
          <cell r="M306">
            <v>0</v>
          </cell>
          <cell r="N306">
            <v>0</v>
          </cell>
          <cell r="O306">
            <v>0</v>
          </cell>
          <cell r="P306">
            <v>0</v>
          </cell>
          <cell r="Q306">
            <v>0</v>
          </cell>
        </row>
        <row r="307">
          <cell r="A307">
            <v>55020</v>
          </cell>
          <cell r="B307" t="str">
            <v>Wages Regular</v>
          </cell>
          <cell r="E307">
            <v>10121.69</v>
          </cell>
          <cell r="F307">
            <v>8242.4699999999993</v>
          </cell>
          <cell r="G307">
            <v>12061.67</v>
          </cell>
          <cell r="H307">
            <v>10915.7</v>
          </cell>
          <cell r="I307">
            <v>8008.44</v>
          </cell>
          <cell r="J307">
            <v>8531.7900000000009</v>
          </cell>
          <cell r="K307">
            <v>9525.08</v>
          </cell>
          <cell r="L307">
            <v>11641.49</v>
          </cell>
          <cell r="M307">
            <v>9358.9</v>
          </cell>
          <cell r="N307">
            <v>9463.3700000000008</v>
          </cell>
          <cell r="O307">
            <v>10355.24</v>
          </cell>
          <cell r="P307">
            <v>9802.01</v>
          </cell>
          <cell r="Q307">
            <v>118027.84999999999</v>
          </cell>
        </row>
        <row r="308">
          <cell r="A308">
            <v>55025</v>
          </cell>
          <cell r="B308" t="str">
            <v>Wages O.T.</v>
          </cell>
          <cell r="E308">
            <v>636.62</v>
          </cell>
          <cell r="F308">
            <v>425.9</v>
          </cell>
          <cell r="G308">
            <v>278.45999999999998</v>
          </cell>
          <cell r="H308">
            <v>1269.6099999999999</v>
          </cell>
          <cell r="I308">
            <v>580.07000000000005</v>
          </cell>
          <cell r="J308">
            <v>803.54</v>
          </cell>
          <cell r="K308">
            <v>467.98</v>
          </cell>
          <cell r="L308">
            <v>832.02</v>
          </cell>
          <cell r="M308">
            <v>17.989999999999998</v>
          </cell>
          <cell r="N308">
            <v>412.16</v>
          </cell>
          <cell r="O308">
            <v>650.38</v>
          </cell>
          <cell r="P308">
            <v>65.599999999999994</v>
          </cell>
          <cell r="Q308">
            <v>6440.3300000000008</v>
          </cell>
        </row>
        <row r="309">
          <cell r="A309">
            <v>55035</v>
          </cell>
          <cell r="B309" t="str">
            <v>Safety Bonuses</v>
          </cell>
          <cell r="E309">
            <v>0</v>
          </cell>
          <cell r="F309">
            <v>0</v>
          </cell>
          <cell r="G309">
            <v>0</v>
          </cell>
          <cell r="H309">
            <v>0</v>
          </cell>
          <cell r="I309">
            <v>0</v>
          </cell>
          <cell r="J309">
            <v>0</v>
          </cell>
          <cell r="K309">
            <v>0</v>
          </cell>
          <cell r="L309">
            <v>0</v>
          </cell>
          <cell r="M309">
            <v>0</v>
          </cell>
          <cell r="N309">
            <v>0</v>
          </cell>
          <cell r="O309">
            <v>0</v>
          </cell>
          <cell r="P309">
            <v>0</v>
          </cell>
          <cell r="Q309">
            <v>0</v>
          </cell>
        </row>
        <row r="310">
          <cell r="A310">
            <v>55036</v>
          </cell>
          <cell r="B310" t="str">
            <v>Other Bonus/Commission - Non-Safety</v>
          </cell>
          <cell r="E310">
            <v>0</v>
          </cell>
          <cell r="F310">
            <v>0</v>
          </cell>
          <cell r="G310">
            <v>0</v>
          </cell>
          <cell r="H310">
            <v>0</v>
          </cell>
          <cell r="I310">
            <v>0</v>
          </cell>
          <cell r="J310">
            <v>0</v>
          </cell>
          <cell r="K310">
            <v>0</v>
          </cell>
          <cell r="L310">
            <v>0</v>
          </cell>
          <cell r="M310">
            <v>0</v>
          </cell>
          <cell r="N310">
            <v>0</v>
          </cell>
          <cell r="O310">
            <v>0</v>
          </cell>
          <cell r="P310">
            <v>0</v>
          </cell>
          <cell r="Q310">
            <v>0</v>
          </cell>
        </row>
        <row r="311">
          <cell r="A311">
            <v>55045</v>
          </cell>
          <cell r="B311" t="str">
            <v>Contract Labor</v>
          </cell>
          <cell r="E311">
            <v>0</v>
          </cell>
          <cell r="F311">
            <v>0</v>
          </cell>
          <cell r="G311">
            <v>0</v>
          </cell>
          <cell r="H311">
            <v>0</v>
          </cell>
          <cell r="I311">
            <v>0</v>
          </cell>
          <cell r="J311">
            <v>0</v>
          </cell>
          <cell r="K311">
            <v>0</v>
          </cell>
          <cell r="L311">
            <v>0</v>
          </cell>
          <cell r="M311">
            <v>0</v>
          </cell>
          <cell r="N311">
            <v>0</v>
          </cell>
          <cell r="O311">
            <v>0</v>
          </cell>
          <cell r="P311">
            <v>0</v>
          </cell>
          <cell r="Q311">
            <v>0</v>
          </cell>
        </row>
        <row r="312">
          <cell r="A312">
            <v>55050</v>
          </cell>
          <cell r="B312" t="str">
            <v>Payroll Taxes</v>
          </cell>
          <cell r="E312">
            <v>1302.32</v>
          </cell>
          <cell r="F312">
            <v>934.4</v>
          </cell>
          <cell r="G312">
            <v>1150.47</v>
          </cell>
          <cell r="H312">
            <v>1167.9000000000001</v>
          </cell>
          <cell r="I312">
            <v>860.19</v>
          </cell>
          <cell r="J312">
            <v>884.97</v>
          </cell>
          <cell r="K312">
            <v>1058.24</v>
          </cell>
          <cell r="L312">
            <v>1180.19</v>
          </cell>
          <cell r="M312">
            <v>1055.3399999999999</v>
          </cell>
          <cell r="N312">
            <v>1038.93</v>
          </cell>
          <cell r="O312">
            <v>1185.43</v>
          </cell>
          <cell r="P312">
            <v>525.12</v>
          </cell>
          <cell r="Q312">
            <v>12343.500000000002</v>
          </cell>
        </row>
        <row r="313">
          <cell r="A313">
            <v>55060</v>
          </cell>
          <cell r="B313" t="str">
            <v>Group Insurance</v>
          </cell>
          <cell r="E313">
            <v>2215</v>
          </cell>
          <cell r="F313">
            <v>2215</v>
          </cell>
          <cell r="G313">
            <v>1935</v>
          </cell>
          <cell r="H313">
            <v>2495</v>
          </cell>
          <cell r="I313">
            <v>2215</v>
          </cell>
          <cell r="J313">
            <v>1919</v>
          </cell>
          <cell r="K313">
            <v>1919</v>
          </cell>
          <cell r="L313">
            <v>1919</v>
          </cell>
          <cell r="M313">
            <v>1691</v>
          </cell>
          <cell r="N313">
            <v>2147</v>
          </cell>
          <cell r="O313">
            <v>1711</v>
          </cell>
          <cell r="P313">
            <v>2215</v>
          </cell>
          <cell r="Q313">
            <v>24596</v>
          </cell>
        </row>
        <row r="314">
          <cell r="A314">
            <v>55065</v>
          </cell>
          <cell r="B314" t="str">
            <v>Vacation Pay</v>
          </cell>
          <cell r="E314">
            <v>303.81</v>
          </cell>
          <cell r="F314">
            <v>1016.29</v>
          </cell>
          <cell r="G314">
            <v>-198.06</v>
          </cell>
          <cell r="H314">
            <v>1145.3599999999999</v>
          </cell>
          <cell r="I314">
            <v>1042.8699999999999</v>
          </cell>
          <cell r="J314">
            <v>-719.54</v>
          </cell>
          <cell r="K314">
            <v>1222.3399999999999</v>
          </cell>
          <cell r="L314">
            <v>925.15</v>
          </cell>
          <cell r="M314">
            <v>1907.53</v>
          </cell>
          <cell r="N314">
            <v>789.75</v>
          </cell>
          <cell r="O314">
            <v>394.38</v>
          </cell>
          <cell r="P314">
            <v>930.27</v>
          </cell>
          <cell r="Q314">
            <v>8760.15</v>
          </cell>
        </row>
        <row r="315">
          <cell r="A315">
            <v>55070</v>
          </cell>
          <cell r="B315" t="str">
            <v>Sick Pay</v>
          </cell>
          <cell r="E315">
            <v>255.74</v>
          </cell>
          <cell r="F315">
            <v>163.92</v>
          </cell>
          <cell r="G315">
            <v>253.25</v>
          </cell>
          <cell r="H315">
            <v>-42.31</v>
          </cell>
          <cell r="I315">
            <v>0</v>
          </cell>
          <cell r="J315">
            <v>317.39999999999998</v>
          </cell>
          <cell r="K315">
            <v>165.6</v>
          </cell>
          <cell r="L315">
            <v>-138</v>
          </cell>
          <cell r="M315">
            <v>138</v>
          </cell>
          <cell r="N315">
            <v>216.36</v>
          </cell>
          <cell r="O315">
            <v>0</v>
          </cell>
          <cell r="P315">
            <v>317.60000000000002</v>
          </cell>
          <cell r="Q315">
            <v>1647.56</v>
          </cell>
        </row>
        <row r="316">
          <cell r="A316">
            <v>55086</v>
          </cell>
          <cell r="B316" t="str">
            <v>Safety and Training</v>
          </cell>
          <cell r="E316">
            <v>0</v>
          </cell>
          <cell r="F316">
            <v>0</v>
          </cell>
          <cell r="G316">
            <v>0</v>
          </cell>
          <cell r="H316">
            <v>34.299999999999997</v>
          </cell>
          <cell r="I316">
            <v>29.01</v>
          </cell>
          <cell r="J316">
            <v>0</v>
          </cell>
          <cell r="K316">
            <v>0</v>
          </cell>
          <cell r="L316">
            <v>1292.83</v>
          </cell>
          <cell r="M316">
            <v>425.23</v>
          </cell>
          <cell r="N316">
            <v>50</v>
          </cell>
          <cell r="O316">
            <v>0</v>
          </cell>
          <cell r="P316">
            <v>0</v>
          </cell>
          <cell r="Q316">
            <v>1831.37</v>
          </cell>
        </row>
        <row r="317">
          <cell r="A317">
            <v>55090</v>
          </cell>
          <cell r="B317" t="str">
            <v>Uniforms</v>
          </cell>
          <cell r="E317">
            <v>711.08</v>
          </cell>
          <cell r="F317">
            <v>516.91999999999996</v>
          </cell>
          <cell r="G317">
            <v>548.66</v>
          </cell>
          <cell r="H317">
            <v>420.37</v>
          </cell>
          <cell r="I317">
            <v>237.53</v>
          </cell>
          <cell r="J317">
            <v>620.41999999999996</v>
          </cell>
          <cell r="K317">
            <v>488.2</v>
          </cell>
          <cell r="L317">
            <v>1071.5999999999999</v>
          </cell>
          <cell r="M317">
            <v>360.8</v>
          </cell>
          <cell r="N317">
            <v>378.21</v>
          </cell>
          <cell r="O317">
            <v>414.33</v>
          </cell>
          <cell r="P317">
            <v>378.31</v>
          </cell>
          <cell r="Q317">
            <v>6146.43</v>
          </cell>
        </row>
        <row r="318">
          <cell r="A318">
            <v>55115</v>
          </cell>
          <cell r="B318" t="str">
            <v>Pension and Profit Sharing</v>
          </cell>
          <cell r="E318">
            <v>75.61</v>
          </cell>
          <cell r="F318">
            <v>80.2</v>
          </cell>
          <cell r="G318">
            <v>115.17</v>
          </cell>
          <cell r="H318">
            <v>81.77</v>
          </cell>
          <cell r="I318">
            <v>90.46</v>
          </cell>
          <cell r="J318">
            <v>86.97</v>
          </cell>
          <cell r="K318">
            <v>86.46</v>
          </cell>
          <cell r="L318">
            <v>85.09</v>
          </cell>
          <cell r="M318">
            <v>75.69</v>
          </cell>
          <cell r="N318">
            <v>120.4</v>
          </cell>
          <cell r="O318">
            <v>78.64</v>
          </cell>
          <cell r="P318">
            <v>73.08</v>
          </cell>
          <cell r="Q318">
            <v>1049.54</v>
          </cell>
        </row>
        <row r="319">
          <cell r="A319">
            <v>55116</v>
          </cell>
          <cell r="B319" t="str">
            <v>Union Benefit Expense</v>
          </cell>
          <cell r="E319">
            <v>0</v>
          </cell>
          <cell r="F319">
            <v>0</v>
          </cell>
          <cell r="G319">
            <v>0</v>
          </cell>
          <cell r="H319">
            <v>0</v>
          </cell>
          <cell r="I319">
            <v>0</v>
          </cell>
          <cell r="J319">
            <v>0</v>
          </cell>
          <cell r="K319">
            <v>0</v>
          </cell>
          <cell r="L319">
            <v>0</v>
          </cell>
          <cell r="M319">
            <v>0</v>
          </cell>
          <cell r="N319">
            <v>0</v>
          </cell>
          <cell r="O319">
            <v>0</v>
          </cell>
          <cell r="P319">
            <v>0</v>
          </cell>
          <cell r="Q319">
            <v>0</v>
          </cell>
        </row>
        <row r="320">
          <cell r="A320">
            <v>55117</v>
          </cell>
          <cell r="B320" t="str">
            <v>Union Pension</v>
          </cell>
          <cell r="E320">
            <v>0</v>
          </cell>
          <cell r="F320">
            <v>0</v>
          </cell>
          <cell r="G320">
            <v>0</v>
          </cell>
          <cell r="H320">
            <v>0</v>
          </cell>
          <cell r="I320">
            <v>0</v>
          </cell>
          <cell r="J320">
            <v>0</v>
          </cell>
          <cell r="K320">
            <v>0</v>
          </cell>
          <cell r="L320">
            <v>0</v>
          </cell>
          <cell r="M320">
            <v>0</v>
          </cell>
          <cell r="N320">
            <v>0</v>
          </cell>
          <cell r="O320">
            <v>0</v>
          </cell>
          <cell r="P320">
            <v>0</v>
          </cell>
          <cell r="Q320">
            <v>0</v>
          </cell>
        </row>
        <row r="321">
          <cell r="A321">
            <v>55120</v>
          </cell>
          <cell r="B321" t="str">
            <v>Parts and Materials</v>
          </cell>
          <cell r="E321">
            <v>6822.4</v>
          </cell>
          <cell r="F321">
            <v>7408.98</v>
          </cell>
          <cell r="G321">
            <v>6676.59</v>
          </cell>
          <cell r="H321">
            <v>10883.54</v>
          </cell>
          <cell r="I321">
            <v>6756.74</v>
          </cell>
          <cell r="J321">
            <v>6992.66</v>
          </cell>
          <cell r="K321">
            <v>7598.15</v>
          </cell>
          <cell r="L321">
            <v>6124.07</v>
          </cell>
          <cell r="M321">
            <v>6075.32</v>
          </cell>
          <cell r="N321">
            <v>1985.95</v>
          </cell>
          <cell r="O321">
            <v>4110.71</v>
          </cell>
          <cell r="P321">
            <v>5007.25</v>
          </cell>
          <cell r="Q321">
            <v>76442.360000000015</v>
          </cell>
        </row>
        <row r="322">
          <cell r="A322">
            <v>55125</v>
          </cell>
          <cell r="B322" t="str">
            <v>Operating Supplies</v>
          </cell>
          <cell r="E322">
            <v>208.43</v>
          </cell>
          <cell r="F322">
            <v>96</v>
          </cell>
          <cell r="G322">
            <v>0</v>
          </cell>
          <cell r="H322">
            <v>269.91000000000003</v>
          </cell>
          <cell r="I322">
            <v>134.9</v>
          </cell>
          <cell r="J322">
            <v>0</v>
          </cell>
          <cell r="K322">
            <v>0</v>
          </cell>
          <cell r="L322">
            <v>242.16</v>
          </cell>
          <cell r="M322">
            <v>0</v>
          </cell>
          <cell r="N322">
            <v>0</v>
          </cell>
          <cell r="O322">
            <v>0</v>
          </cell>
          <cell r="P322">
            <v>0</v>
          </cell>
          <cell r="Q322">
            <v>951.4</v>
          </cell>
        </row>
        <row r="323">
          <cell r="A323">
            <v>55135</v>
          </cell>
          <cell r="B323" t="str">
            <v>Equipment and Maint Repair</v>
          </cell>
          <cell r="E323">
            <v>0</v>
          </cell>
          <cell r="F323">
            <v>107.12</v>
          </cell>
          <cell r="G323">
            <v>103.06</v>
          </cell>
          <cell r="H323">
            <v>127.6</v>
          </cell>
          <cell r="I323">
            <v>177.2</v>
          </cell>
          <cell r="J323">
            <v>0</v>
          </cell>
          <cell r="K323">
            <v>402.9</v>
          </cell>
          <cell r="L323">
            <v>0</v>
          </cell>
          <cell r="M323">
            <v>1045.6400000000001</v>
          </cell>
          <cell r="N323">
            <v>613.79999999999995</v>
          </cell>
          <cell r="O323">
            <v>0.01</v>
          </cell>
          <cell r="P323">
            <v>0</v>
          </cell>
          <cell r="Q323">
            <v>2577.33</v>
          </cell>
        </row>
        <row r="324">
          <cell r="A324">
            <v>55140</v>
          </cell>
          <cell r="B324" t="str">
            <v>Tires</v>
          </cell>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A325">
            <v>55142</v>
          </cell>
          <cell r="B325" t="str">
            <v>Fuel Expense</v>
          </cell>
          <cell r="E325">
            <v>0</v>
          </cell>
          <cell r="F325">
            <v>0</v>
          </cell>
          <cell r="G325">
            <v>0</v>
          </cell>
          <cell r="H325">
            <v>0</v>
          </cell>
          <cell r="I325">
            <v>0</v>
          </cell>
          <cell r="J325">
            <v>0</v>
          </cell>
          <cell r="K325">
            <v>0</v>
          </cell>
          <cell r="L325">
            <v>0</v>
          </cell>
          <cell r="M325">
            <v>0</v>
          </cell>
          <cell r="N325">
            <v>0</v>
          </cell>
          <cell r="O325">
            <v>0</v>
          </cell>
          <cell r="P325">
            <v>0</v>
          </cell>
          <cell r="Q325">
            <v>0</v>
          </cell>
        </row>
        <row r="326">
          <cell r="A326">
            <v>55143</v>
          </cell>
          <cell r="B326" t="str">
            <v>Corporate Medical Waste Supplies</v>
          </cell>
          <cell r="E326">
            <v>0</v>
          </cell>
          <cell r="F326">
            <v>0</v>
          </cell>
          <cell r="G326">
            <v>0</v>
          </cell>
          <cell r="H326">
            <v>0</v>
          </cell>
          <cell r="I326">
            <v>0</v>
          </cell>
          <cell r="J326">
            <v>0</v>
          </cell>
          <cell r="K326">
            <v>0</v>
          </cell>
          <cell r="L326">
            <v>0</v>
          </cell>
          <cell r="M326">
            <v>0</v>
          </cell>
          <cell r="N326">
            <v>0</v>
          </cell>
          <cell r="O326">
            <v>0</v>
          </cell>
          <cell r="P326">
            <v>0</v>
          </cell>
          <cell r="Q326">
            <v>0</v>
          </cell>
        </row>
        <row r="327">
          <cell r="A327">
            <v>55146</v>
          </cell>
          <cell r="B327" t="str">
            <v>Oil and Grease</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A328">
            <v>55147</v>
          </cell>
          <cell r="B328" t="str">
            <v>Outside Repairs</v>
          </cell>
          <cell r="E328">
            <v>0</v>
          </cell>
          <cell r="F328">
            <v>0</v>
          </cell>
          <cell r="G328">
            <v>0</v>
          </cell>
          <cell r="H328">
            <v>0</v>
          </cell>
          <cell r="I328">
            <v>0</v>
          </cell>
          <cell r="J328">
            <v>0</v>
          </cell>
          <cell r="K328">
            <v>0</v>
          </cell>
          <cell r="L328">
            <v>0</v>
          </cell>
          <cell r="M328">
            <v>0</v>
          </cell>
          <cell r="N328">
            <v>0</v>
          </cell>
          <cell r="O328">
            <v>0</v>
          </cell>
          <cell r="P328">
            <v>0</v>
          </cell>
          <cell r="Q328">
            <v>0</v>
          </cell>
        </row>
        <row r="329">
          <cell r="A329">
            <v>55148</v>
          </cell>
          <cell r="B329" t="str">
            <v>Allocated Exp In - District</v>
          </cell>
          <cell r="E329">
            <v>0</v>
          </cell>
          <cell r="F329">
            <v>0</v>
          </cell>
          <cell r="G329">
            <v>0</v>
          </cell>
          <cell r="H329">
            <v>0</v>
          </cell>
          <cell r="I329">
            <v>0</v>
          </cell>
          <cell r="J329">
            <v>0</v>
          </cell>
          <cell r="K329">
            <v>0</v>
          </cell>
          <cell r="L329">
            <v>0</v>
          </cell>
          <cell r="M329">
            <v>0</v>
          </cell>
          <cell r="N329">
            <v>0</v>
          </cell>
          <cell r="O329">
            <v>0</v>
          </cell>
          <cell r="P329">
            <v>0</v>
          </cell>
          <cell r="Q329">
            <v>0</v>
          </cell>
        </row>
        <row r="330">
          <cell r="A330">
            <v>55149</v>
          </cell>
          <cell r="B330" t="str">
            <v>Allocated Exp In Out - District</v>
          </cell>
          <cell r="E330">
            <v>0</v>
          </cell>
          <cell r="F330">
            <v>0</v>
          </cell>
          <cell r="G330">
            <v>0</v>
          </cell>
          <cell r="H330">
            <v>0</v>
          </cell>
          <cell r="I330">
            <v>0</v>
          </cell>
          <cell r="J330">
            <v>0</v>
          </cell>
          <cell r="K330">
            <v>0</v>
          </cell>
          <cell r="L330">
            <v>0</v>
          </cell>
          <cell r="M330">
            <v>0</v>
          </cell>
          <cell r="N330">
            <v>0</v>
          </cell>
          <cell r="O330">
            <v>0</v>
          </cell>
          <cell r="P330">
            <v>0</v>
          </cell>
          <cell r="Q330">
            <v>0</v>
          </cell>
        </row>
        <row r="331">
          <cell r="A331">
            <v>55150</v>
          </cell>
          <cell r="B331" t="str">
            <v>Utilities</v>
          </cell>
          <cell r="E331">
            <v>145.91</v>
          </cell>
          <cell r="F331">
            <v>170</v>
          </cell>
          <cell r="G331">
            <v>160.13999999999999</v>
          </cell>
          <cell r="H331">
            <v>153.57</v>
          </cell>
          <cell r="I331">
            <v>132.77000000000001</v>
          </cell>
          <cell r="J331">
            <v>124.01</v>
          </cell>
          <cell r="K331">
            <v>109.77</v>
          </cell>
          <cell r="L331">
            <v>522.32000000000005</v>
          </cell>
          <cell r="M331">
            <v>123.5</v>
          </cell>
          <cell r="N331">
            <v>114.69</v>
          </cell>
          <cell r="O331">
            <v>122.68</v>
          </cell>
          <cell r="P331">
            <v>122.68</v>
          </cell>
          <cell r="Q331">
            <v>2002.04</v>
          </cell>
        </row>
        <row r="332">
          <cell r="A332">
            <v>55181</v>
          </cell>
          <cell r="B332" t="str">
            <v>Freight</v>
          </cell>
          <cell r="E332">
            <v>0</v>
          </cell>
          <cell r="F332">
            <v>0</v>
          </cell>
          <cell r="G332">
            <v>0</v>
          </cell>
          <cell r="H332">
            <v>0</v>
          </cell>
          <cell r="I332">
            <v>0</v>
          </cell>
          <cell r="J332">
            <v>0</v>
          </cell>
          <cell r="K332">
            <v>0</v>
          </cell>
          <cell r="L332">
            <v>0</v>
          </cell>
          <cell r="M332">
            <v>0</v>
          </cell>
          <cell r="N332">
            <v>0</v>
          </cell>
          <cell r="O332">
            <v>0</v>
          </cell>
          <cell r="P332">
            <v>0</v>
          </cell>
          <cell r="Q332">
            <v>0</v>
          </cell>
        </row>
        <row r="333">
          <cell r="A333">
            <v>55335</v>
          </cell>
          <cell r="B333" t="str">
            <v>Miscellaneous</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v>55900</v>
          </cell>
          <cell r="B334" t="str">
            <v>Capitalized Costs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v>55998</v>
          </cell>
          <cell r="B335" t="str">
            <v>Allocation Out - District</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v>55999</v>
          </cell>
          <cell r="B336" t="str">
            <v>Allocation Out - Out District</v>
          </cell>
          <cell r="E336">
            <v>0</v>
          </cell>
          <cell r="F336">
            <v>0</v>
          </cell>
          <cell r="G336">
            <v>0</v>
          </cell>
          <cell r="H336">
            <v>0</v>
          </cell>
          <cell r="I336">
            <v>0</v>
          </cell>
          <cell r="J336">
            <v>0</v>
          </cell>
          <cell r="K336">
            <v>0</v>
          </cell>
          <cell r="L336">
            <v>0</v>
          </cell>
          <cell r="M336">
            <v>0</v>
          </cell>
          <cell r="N336">
            <v>0</v>
          </cell>
          <cell r="O336">
            <v>0</v>
          </cell>
          <cell r="P336">
            <v>0</v>
          </cell>
          <cell r="Q336">
            <v>0</v>
          </cell>
        </row>
        <row r="337">
          <cell r="A337" t="str">
            <v>Total Container</v>
          </cell>
          <cell r="E337">
            <v>22798.61</v>
          </cell>
          <cell r="F337">
            <v>21377.199999999997</v>
          </cell>
          <cell r="G337">
            <v>23084.41</v>
          </cell>
          <cell r="H337">
            <v>28922.319999999996</v>
          </cell>
          <cell r="I337">
            <v>20265.18</v>
          </cell>
          <cell r="J337">
            <v>19561.219999999998</v>
          </cell>
          <cell r="K337">
            <v>23043.72</v>
          </cell>
          <cell r="L337">
            <v>25697.919999999998</v>
          </cell>
          <cell r="M337">
            <v>22274.94</v>
          </cell>
          <cell r="N337">
            <v>17330.62</v>
          </cell>
          <cell r="O337">
            <v>19022.799999999996</v>
          </cell>
          <cell r="P337">
            <v>19436.920000000002</v>
          </cell>
          <cell r="Q337">
            <v>262815.86</v>
          </cell>
        </row>
        <row r="339">
          <cell r="A339" t="str">
            <v>Supervisor</v>
          </cell>
        </row>
        <row r="340">
          <cell r="A340">
            <v>56010</v>
          </cell>
          <cell r="B340" t="str">
            <v>Salaries</v>
          </cell>
          <cell r="E340">
            <v>21484.6</v>
          </cell>
          <cell r="F340">
            <v>20461.52</v>
          </cell>
          <cell r="G340">
            <v>23530.74</v>
          </cell>
          <cell r="H340">
            <v>22507.68</v>
          </cell>
          <cell r="I340">
            <v>21484.6</v>
          </cell>
          <cell r="J340">
            <v>22507.66</v>
          </cell>
          <cell r="K340">
            <v>22636.52</v>
          </cell>
          <cell r="L340">
            <v>22649.4</v>
          </cell>
          <cell r="M340">
            <v>22649.39</v>
          </cell>
          <cell r="N340">
            <v>21768.59</v>
          </cell>
          <cell r="O340">
            <v>22733.7</v>
          </cell>
          <cell r="P340">
            <v>23898.34</v>
          </cell>
          <cell r="Q340">
            <v>268312.74</v>
          </cell>
        </row>
        <row r="341">
          <cell r="A341">
            <v>56020</v>
          </cell>
          <cell r="B341" t="str">
            <v>Wages Regular</v>
          </cell>
          <cell r="E341">
            <v>4948.7299999999996</v>
          </cell>
          <cell r="F341">
            <v>4243.8599999999997</v>
          </cell>
          <cell r="G341">
            <v>5249.43</v>
          </cell>
          <cell r="H341">
            <v>5618.66</v>
          </cell>
          <cell r="I341">
            <v>4920.93</v>
          </cell>
          <cell r="J341">
            <v>5799.39</v>
          </cell>
          <cell r="K341">
            <v>5404.71</v>
          </cell>
          <cell r="L341">
            <v>5365.56</v>
          </cell>
          <cell r="M341">
            <v>4903.59</v>
          </cell>
          <cell r="N341">
            <v>5263.01</v>
          </cell>
          <cell r="O341">
            <v>5800.6</v>
          </cell>
          <cell r="P341">
            <v>5428.54</v>
          </cell>
          <cell r="Q341">
            <v>62947.01</v>
          </cell>
        </row>
        <row r="342">
          <cell r="A342">
            <v>56025</v>
          </cell>
          <cell r="B342" t="str">
            <v>Wages O.T.</v>
          </cell>
          <cell r="E342">
            <v>515.38</v>
          </cell>
          <cell r="F342">
            <v>23.34</v>
          </cell>
          <cell r="G342">
            <v>199.47</v>
          </cell>
          <cell r="H342">
            <v>439.74</v>
          </cell>
          <cell r="I342">
            <v>937.69</v>
          </cell>
          <cell r="J342">
            <v>676.04</v>
          </cell>
          <cell r="K342">
            <v>89.23</v>
          </cell>
          <cell r="L342">
            <v>691.05</v>
          </cell>
          <cell r="M342">
            <v>707.32</v>
          </cell>
          <cell r="N342">
            <v>322.20999999999998</v>
          </cell>
          <cell r="O342">
            <v>737.63</v>
          </cell>
          <cell r="P342">
            <v>791.29</v>
          </cell>
          <cell r="Q342">
            <v>6130.3899999999994</v>
          </cell>
        </row>
        <row r="343">
          <cell r="A343">
            <v>56035</v>
          </cell>
          <cell r="B343" t="str">
            <v>Safety Bonuses</v>
          </cell>
          <cell r="E343">
            <v>0</v>
          </cell>
          <cell r="F343">
            <v>0</v>
          </cell>
          <cell r="G343">
            <v>0</v>
          </cell>
          <cell r="H343">
            <v>0</v>
          </cell>
          <cell r="I343">
            <v>0</v>
          </cell>
          <cell r="J343">
            <v>0</v>
          </cell>
          <cell r="K343">
            <v>0</v>
          </cell>
          <cell r="L343">
            <v>0</v>
          </cell>
          <cell r="M343">
            <v>0</v>
          </cell>
          <cell r="N343">
            <v>0</v>
          </cell>
          <cell r="O343">
            <v>0</v>
          </cell>
          <cell r="P343">
            <v>0</v>
          </cell>
          <cell r="Q343">
            <v>0</v>
          </cell>
        </row>
        <row r="344">
          <cell r="A344">
            <v>56036</v>
          </cell>
          <cell r="B344" t="str">
            <v>Other Bonus/Commission - Non-Safety</v>
          </cell>
          <cell r="E344">
            <v>0</v>
          </cell>
          <cell r="F344">
            <v>0</v>
          </cell>
          <cell r="G344">
            <v>0</v>
          </cell>
          <cell r="H344">
            <v>0</v>
          </cell>
          <cell r="I344">
            <v>0</v>
          </cell>
          <cell r="J344">
            <v>0</v>
          </cell>
          <cell r="K344">
            <v>0</v>
          </cell>
          <cell r="L344">
            <v>0</v>
          </cell>
          <cell r="M344">
            <v>0</v>
          </cell>
          <cell r="N344">
            <v>0</v>
          </cell>
          <cell r="O344">
            <v>0</v>
          </cell>
          <cell r="P344">
            <v>0</v>
          </cell>
          <cell r="Q344">
            <v>0</v>
          </cell>
        </row>
        <row r="345">
          <cell r="A345">
            <v>56037</v>
          </cell>
          <cell r="B345" t="str">
            <v>Termination Pay</v>
          </cell>
          <cell r="E345">
            <v>0</v>
          </cell>
          <cell r="F345">
            <v>0</v>
          </cell>
          <cell r="G345">
            <v>0</v>
          </cell>
          <cell r="H345">
            <v>0</v>
          </cell>
          <cell r="I345">
            <v>0</v>
          </cell>
          <cell r="J345">
            <v>0</v>
          </cell>
          <cell r="K345">
            <v>0</v>
          </cell>
          <cell r="L345">
            <v>0</v>
          </cell>
          <cell r="M345">
            <v>0</v>
          </cell>
          <cell r="N345">
            <v>0</v>
          </cell>
          <cell r="O345">
            <v>0</v>
          </cell>
          <cell r="P345">
            <v>0</v>
          </cell>
          <cell r="Q345">
            <v>0</v>
          </cell>
        </row>
        <row r="346">
          <cell r="A346">
            <v>56045</v>
          </cell>
          <cell r="B346" t="str">
            <v>Contract Labor</v>
          </cell>
          <cell r="E346">
            <v>0</v>
          </cell>
          <cell r="F346">
            <v>0</v>
          </cell>
          <cell r="G346">
            <v>0</v>
          </cell>
          <cell r="H346">
            <v>0</v>
          </cell>
          <cell r="I346">
            <v>0</v>
          </cell>
          <cell r="J346">
            <v>0</v>
          </cell>
          <cell r="K346">
            <v>0</v>
          </cell>
          <cell r="L346">
            <v>0</v>
          </cell>
          <cell r="M346">
            <v>0</v>
          </cell>
          <cell r="N346">
            <v>0</v>
          </cell>
          <cell r="O346">
            <v>0</v>
          </cell>
          <cell r="P346">
            <v>0</v>
          </cell>
          <cell r="Q346">
            <v>0</v>
          </cell>
        </row>
        <row r="347">
          <cell r="A347">
            <v>56050</v>
          </cell>
          <cell r="B347" t="str">
            <v>Payroll Taxes</v>
          </cell>
          <cell r="E347">
            <v>3178.64</v>
          </cell>
          <cell r="F347">
            <v>2251.66</v>
          </cell>
          <cell r="G347">
            <v>2524.9499999999998</v>
          </cell>
          <cell r="H347">
            <v>2497.5100000000002</v>
          </cell>
          <cell r="I347">
            <v>2309.15</v>
          </cell>
          <cell r="J347">
            <v>2588.5</v>
          </cell>
          <cell r="K347">
            <v>2219.94</v>
          </cell>
          <cell r="L347">
            <v>1586.57</v>
          </cell>
          <cell r="M347">
            <v>1804.92</v>
          </cell>
          <cell r="N347">
            <v>1787.26</v>
          </cell>
          <cell r="O347">
            <v>1971.2</v>
          </cell>
          <cell r="P347">
            <v>1725.76</v>
          </cell>
          <cell r="Q347">
            <v>26446.059999999994</v>
          </cell>
        </row>
        <row r="348">
          <cell r="A348">
            <v>56060</v>
          </cell>
          <cell r="B348" t="str">
            <v>Group Insurance</v>
          </cell>
          <cell r="E348">
            <v>2508.5</v>
          </cell>
          <cell r="F348">
            <v>2315.5</v>
          </cell>
          <cell r="G348">
            <v>2043</v>
          </cell>
          <cell r="H348">
            <v>2781</v>
          </cell>
          <cell r="I348">
            <v>2412</v>
          </cell>
          <cell r="J348">
            <v>1237</v>
          </cell>
          <cell r="K348">
            <v>1237</v>
          </cell>
          <cell r="L348">
            <v>1237</v>
          </cell>
          <cell r="M348">
            <v>868</v>
          </cell>
          <cell r="N348">
            <v>1606</v>
          </cell>
          <cell r="O348">
            <v>1237</v>
          </cell>
          <cell r="P348">
            <v>1237</v>
          </cell>
          <cell r="Q348">
            <v>20719</v>
          </cell>
        </row>
        <row r="349">
          <cell r="A349">
            <v>56065</v>
          </cell>
          <cell r="B349" t="str">
            <v>Vacation Pay</v>
          </cell>
          <cell r="E349">
            <v>2015.83</v>
          </cell>
          <cell r="F349">
            <v>1112.7</v>
          </cell>
          <cell r="G349">
            <v>1240.4000000000001</v>
          </cell>
          <cell r="H349">
            <v>1221.3699999999999</v>
          </cell>
          <cell r="I349">
            <v>1789.21</v>
          </cell>
          <cell r="J349">
            <v>2096.9899999999998</v>
          </cell>
          <cell r="K349">
            <v>-3773.2</v>
          </cell>
          <cell r="L349">
            <v>-940.29</v>
          </cell>
          <cell r="M349">
            <v>2549.7399999999998</v>
          </cell>
          <cell r="N349">
            <v>360.95</v>
          </cell>
          <cell r="O349">
            <v>2162.4499999999998</v>
          </cell>
          <cell r="P349">
            <v>2200.5700000000002</v>
          </cell>
          <cell r="Q349">
            <v>12036.72</v>
          </cell>
        </row>
        <row r="350">
          <cell r="A350">
            <v>56070</v>
          </cell>
          <cell r="B350" t="str">
            <v>Sick Pay</v>
          </cell>
          <cell r="E350">
            <v>-88.92</v>
          </cell>
          <cell r="F350">
            <v>208.16</v>
          </cell>
          <cell r="G350">
            <v>-102.08</v>
          </cell>
          <cell r="H350">
            <v>0</v>
          </cell>
          <cell r="I350">
            <v>487.17</v>
          </cell>
          <cell r="J350">
            <v>-182.69</v>
          </cell>
          <cell r="K350">
            <v>304.48</v>
          </cell>
          <cell r="L350">
            <v>182.69</v>
          </cell>
          <cell r="M350">
            <v>124.67</v>
          </cell>
          <cell r="N350">
            <v>66.48</v>
          </cell>
          <cell r="O350">
            <v>0</v>
          </cell>
          <cell r="P350">
            <v>0</v>
          </cell>
          <cell r="Q350">
            <v>999.96000000000015</v>
          </cell>
        </row>
        <row r="351">
          <cell r="A351">
            <v>56086</v>
          </cell>
          <cell r="B351" t="str">
            <v>Safety and Training</v>
          </cell>
          <cell r="E351">
            <v>86.34</v>
          </cell>
          <cell r="F351">
            <v>16.23</v>
          </cell>
          <cell r="G351">
            <v>31.23</v>
          </cell>
          <cell r="H351">
            <v>21.48</v>
          </cell>
          <cell r="I351">
            <v>0</v>
          </cell>
          <cell r="J351">
            <v>64.92</v>
          </cell>
          <cell r="K351">
            <v>0</v>
          </cell>
          <cell r="L351">
            <v>80.650000000000006</v>
          </cell>
          <cell r="M351">
            <v>0</v>
          </cell>
          <cell r="N351">
            <v>121.71</v>
          </cell>
          <cell r="O351">
            <v>0</v>
          </cell>
          <cell r="P351">
            <v>0</v>
          </cell>
          <cell r="Q351">
            <v>422.56</v>
          </cell>
        </row>
        <row r="352">
          <cell r="A352">
            <v>56090</v>
          </cell>
          <cell r="B352" t="str">
            <v>Uniforms</v>
          </cell>
          <cell r="E352">
            <v>356.19</v>
          </cell>
          <cell r="F352">
            <v>519.97</v>
          </cell>
          <cell r="G352">
            <v>1421.43</v>
          </cell>
          <cell r="H352">
            <v>967.63</v>
          </cell>
          <cell r="I352">
            <v>1153.95</v>
          </cell>
          <cell r="J352">
            <v>1314.26</v>
          </cell>
          <cell r="K352">
            <v>1629.69</v>
          </cell>
          <cell r="L352">
            <v>1082.08</v>
          </cell>
          <cell r="M352">
            <v>1087.67</v>
          </cell>
          <cell r="N352">
            <v>1240.51</v>
          </cell>
          <cell r="O352">
            <v>1230.1199999999999</v>
          </cell>
          <cell r="P352">
            <v>1719.85</v>
          </cell>
          <cell r="Q352">
            <v>13723.35</v>
          </cell>
        </row>
        <row r="353">
          <cell r="A353">
            <v>56095</v>
          </cell>
          <cell r="B353" t="str">
            <v>Empl &amp; Commun Activ</v>
          </cell>
          <cell r="E353">
            <v>242.51</v>
          </cell>
          <cell r="F353">
            <v>-88.98</v>
          </cell>
          <cell r="G353">
            <v>0</v>
          </cell>
          <cell r="H353">
            <v>30.82</v>
          </cell>
          <cell r="I353">
            <v>161.91999999999999</v>
          </cell>
          <cell r="J353">
            <v>154.44999999999999</v>
          </cell>
          <cell r="K353">
            <v>0</v>
          </cell>
          <cell r="L353">
            <v>81.739999999999995</v>
          </cell>
          <cell r="M353">
            <v>97.68</v>
          </cell>
          <cell r="N353">
            <v>250.97</v>
          </cell>
          <cell r="O353">
            <v>-60.35</v>
          </cell>
          <cell r="P353">
            <v>0</v>
          </cell>
          <cell r="Q353">
            <v>870.75999999999988</v>
          </cell>
        </row>
        <row r="354">
          <cell r="A354">
            <v>56105</v>
          </cell>
          <cell r="B354" t="str">
            <v>Employee Relocation</v>
          </cell>
          <cell r="E354">
            <v>0</v>
          </cell>
          <cell r="F354">
            <v>0</v>
          </cell>
          <cell r="G354">
            <v>0</v>
          </cell>
          <cell r="H354">
            <v>0</v>
          </cell>
          <cell r="I354">
            <v>0</v>
          </cell>
          <cell r="J354">
            <v>0</v>
          </cell>
          <cell r="K354">
            <v>0</v>
          </cell>
          <cell r="L354">
            <v>0</v>
          </cell>
          <cell r="M354">
            <v>0</v>
          </cell>
          <cell r="N354">
            <v>0</v>
          </cell>
          <cell r="O354">
            <v>0</v>
          </cell>
          <cell r="P354">
            <v>0</v>
          </cell>
          <cell r="Q354">
            <v>0</v>
          </cell>
        </row>
        <row r="355">
          <cell r="A355">
            <v>56108</v>
          </cell>
          <cell r="B355" t="str">
            <v>School Tuition</v>
          </cell>
          <cell r="E355">
            <v>0</v>
          </cell>
          <cell r="F355">
            <v>0</v>
          </cell>
          <cell r="G355">
            <v>0</v>
          </cell>
          <cell r="H355">
            <v>0</v>
          </cell>
          <cell r="I355">
            <v>0</v>
          </cell>
          <cell r="J355">
            <v>0</v>
          </cell>
          <cell r="K355">
            <v>0</v>
          </cell>
          <cell r="L355">
            <v>0</v>
          </cell>
          <cell r="M355">
            <v>0</v>
          </cell>
          <cell r="N355">
            <v>0</v>
          </cell>
          <cell r="O355">
            <v>0</v>
          </cell>
          <cell r="P355">
            <v>0</v>
          </cell>
          <cell r="Q355">
            <v>0</v>
          </cell>
        </row>
        <row r="356">
          <cell r="A356">
            <v>56115</v>
          </cell>
          <cell r="B356" t="str">
            <v>Pension and Profit Sharing</v>
          </cell>
          <cell r="E356">
            <v>259.32</v>
          </cell>
          <cell r="F356">
            <v>257.68</v>
          </cell>
          <cell r="G356">
            <v>386.43</v>
          </cell>
          <cell r="H356">
            <v>258.10000000000002</v>
          </cell>
          <cell r="I356">
            <v>332.41</v>
          </cell>
          <cell r="J356">
            <v>433.93</v>
          </cell>
          <cell r="K356">
            <v>427.05</v>
          </cell>
          <cell r="L356">
            <v>424.39</v>
          </cell>
          <cell r="M356">
            <v>428.34</v>
          </cell>
          <cell r="N356">
            <v>657.37</v>
          </cell>
          <cell r="O356">
            <v>545.69000000000005</v>
          </cell>
          <cell r="P356">
            <v>433.37</v>
          </cell>
          <cell r="Q356">
            <v>4844.0800000000008</v>
          </cell>
        </row>
        <row r="357">
          <cell r="A357">
            <v>56116</v>
          </cell>
          <cell r="B357" t="str">
            <v>Union Benefit Expense</v>
          </cell>
          <cell r="E357">
            <v>0</v>
          </cell>
          <cell r="F357">
            <v>0</v>
          </cell>
          <cell r="G357">
            <v>0</v>
          </cell>
          <cell r="H357">
            <v>0</v>
          </cell>
          <cell r="I357">
            <v>0</v>
          </cell>
          <cell r="J357">
            <v>0</v>
          </cell>
          <cell r="K357">
            <v>0</v>
          </cell>
          <cell r="L357">
            <v>0</v>
          </cell>
          <cell r="M357">
            <v>0</v>
          </cell>
          <cell r="N357">
            <v>0</v>
          </cell>
          <cell r="O357">
            <v>0</v>
          </cell>
          <cell r="P357">
            <v>0</v>
          </cell>
          <cell r="Q357">
            <v>0</v>
          </cell>
        </row>
        <row r="358">
          <cell r="A358">
            <v>56117</v>
          </cell>
          <cell r="B358" t="str">
            <v>Union Pension</v>
          </cell>
          <cell r="E358">
            <v>0</v>
          </cell>
          <cell r="F358">
            <v>0</v>
          </cell>
          <cell r="G358">
            <v>0</v>
          </cell>
          <cell r="H358">
            <v>0</v>
          </cell>
          <cell r="I358">
            <v>0</v>
          </cell>
          <cell r="J358">
            <v>0</v>
          </cell>
          <cell r="K358">
            <v>0</v>
          </cell>
          <cell r="L358">
            <v>0</v>
          </cell>
          <cell r="M358">
            <v>0</v>
          </cell>
          <cell r="N358">
            <v>0</v>
          </cell>
          <cell r="O358">
            <v>0</v>
          </cell>
          <cell r="P358">
            <v>0</v>
          </cell>
          <cell r="Q358">
            <v>0</v>
          </cell>
        </row>
        <row r="359">
          <cell r="A359">
            <v>56125</v>
          </cell>
          <cell r="B359" t="str">
            <v>Operating Supplies</v>
          </cell>
          <cell r="E359">
            <v>391.66</v>
          </cell>
          <cell r="F359">
            <v>526.79999999999995</v>
          </cell>
          <cell r="G359">
            <v>580.32000000000005</v>
          </cell>
          <cell r="H359">
            <v>1039.98</v>
          </cell>
          <cell r="I359">
            <v>-623.28</v>
          </cell>
          <cell r="J359">
            <v>102.55</v>
          </cell>
          <cell r="K359">
            <v>582.14</v>
          </cell>
          <cell r="L359">
            <v>366.9</v>
          </cell>
          <cell r="M359">
            <v>350.1</v>
          </cell>
          <cell r="N359">
            <v>0</v>
          </cell>
          <cell r="O359">
            <v>255.27</v>
          </cell>
          <cell r="P359">
            <v>127.61</v>
          </cell>
          <cell r="Q359">
            <v>3700.05</v>
          </cell>
        </row>
        <row r="360">
          <cell r="A360">
            <v>56140</v>
          </cell>
          <cell r="B360" t="str">
            <v>Tires</v>
          </cell>
          <cell r="E360">
            <v>0</v>
          </cell>
          <cell r="F360">
            <v>0</v>
          </cell>
          <cell r="G360">
            <v>0</v>
          </cell>
          <cell r="H360">
            <v>0</v>
          </cell>
          <cell r="I360">
            <v>0</v>
          </cell>
          <cell r="J360">
            <v>0</v>
          </cell>
          <cell r="K360">
            <v>0</v>
          </cell>
          <cell r="L360">
            <v>0</v>
          </cell>
          <cell r="M360">
            <v>0</v>
          </cell>
          <cell r="N360">
            <v>0</v>
          </cell>
          <cell r="O360">
            <v>0</v>
          </cell>
          <cell r="P360">
            <v>0</v>
          </cell>
          <cell r="Q360">
            <v>0</v>
          </cell>
        </row>
        <row r="361">
          <cell r="A361">
            <v>56142</v>
          </cell>
          <cell r="B361" t="str">
            <v>Fuel Expense</v>
          </cell>
          <cell r="E361">
            <v>0</v>
          </cell>
          <cell r="F361">
            <v>0</v>
          </cell>
          <cell r="G361">
            <v>0</v>
          </cell>
          <cell r="H361">
            <v>0</v>
          </cell>
          <cell r="I361">
            <v>0</v>
          </cell>
          <cell r="J361">
            <v>0</v>
          </cell>
          <cell r="K361">
            <v>0</v>
          </cell>
          <cell r="L361">
            <v>0</v>
          </cell>
          <cell r="M361">
            <v>0</v>
          </cell>
          <cell r="N361">
            <v>0</v>
          </cell>
          <cell r="O361">
            <v>0</v>
          </cell>
          <cell r="P361">
            <v>0</v>
          </cell>
          <cell r="Q361">
            <v>0</v>
          </cell>
        </row>
        <row r="362">
          <cell r="A362">
            <v>56148</v>
          </cell>
          <cell r="B362" t="str">
            <v>Allocated Exp In - District</v>
          </cell>
          <cell r="E362">
            <v>0</v>
          </cell>
          <cell r="F362">
            <v>0</v>
          </cell>
          <cell r="G362">
            <v>0</v>
          </cell>
          <cell r="H362">
            <v>0</v>
          </cell>
          <cell r="I362">
            <v>0</v>
          </cell>
          <cell r="J362">
            <v>0</v>
          </cell>
          <cell r="K362">
            <v>0</v>
          </cell>
          <cell r="L362">
            <v>0</v>
          </cell>
          <cell r="M362">
            <v>0</v>
          </cell>
          <cell r="N362">
            <v>0</v>
          </cell>
          <cell r="O362">
            <v>0</v>
          </cell>
          <cell r="P362">
            <v>0</v>
          </cell>
          <cell r="Q362">
            <v>0</v>
          </cell>
        </row>
        <row r="363">
          <cell r="A363">
            <v>56149</v>
          </cell>
          <cell r="B363" t="str">
            <v>Allocated Exp In Out - District</v>
          </cell>
          <cell r="E363">
            <v>0</v>
          </cell>
          <cell r="F363">
            <v>0</v>
          </cell>
          <cell r="G363">
            <v>0</v>
          </cell>
          <cell r="H363">
            <v>0</v>
          </cell>
          <cell r="I363">
            <v>0</v>
          </cell>
          <cell r="J363">
            <v>0</v>
          </cell>
          <cell r="K363">
            <v>0</v>
          </cell>
          <cell r="L363">
            <v>0</v>
          </cell>
          <cell r="M363">
            <v>0</v>
          </cell>
          <cell r="N363">
            <v>0</v>
          </cell>
          <cell r="O363">
            <v>0</v>
          </cell>
          <cell r="P363">
            <v>0</v>
          </cell>
          <cell r="Q363">
            <v>0</v>
          </cell>
        </row>
        <row r="364">
          <cell r="A364">
            <v>56165</v>
          </cell>
          <cell r="B364" t="str">
            <v>Communications</v>
          </cell>
          <cell r="E364">
            <v>1519.45</v>
          </cell>
          <cell r="F364">
            <v>1450.07</v>
          </cell>
          <cell r="G364">
            <v>1554.65</v>
          </cell>
          <cell r="H364">
            <v>4434.3500000000004</v>
          </cell>
          <cell r="I364">
            <v>-1597.73</v>
          </cell>
          <cell r="J364">
            <v>1513.67</v>
          </cell>
          <cell r="K364">
            <v>1505.33</v>
          </cell>
          <cell r="L364">
            <v>5156.7</v>
          </cell>
          <cell r="M364">
            <v>1422.01</v>
          </cell>
          <cell r="N364">
            <v>1404.71</v>
          </cell>
          <cell r="O364">
            <v>4969.07</v>
          </cell>
          <cell r="P364">
            <v>2885.81</v>
          </cell>
          <cell r="Q364">
            <v>26218.09</v>
          </cell>
        </row>
        <row r="365">
          <cell r="A365">
            <v>56200</v>
          </cell>
          <cell r="B365" t="str">
            <v>Travel</v>
          </cell>
          <cell r="E365">
            <v>0</v>
          </cell>
          <cell r="F365">
            <v>23</v>
          </cell>
          <cell r="G365">
            <v>32.75</v>
          </cell>
          <cell r="H365">
            <v>17.62</v>
          </cell>
          <cell r="I365">
            <v>0</v>
          </cell>
          <cell r="J365">
            <v>0</v>
          </cell>
          <cell r="K365">
            <v>0</v>
          </cell>
          <cell r="L365">
            <v>0</v>
          </cell>
          <cell r="M365">
            <v>0</v>
          </cell>
          <cell r="N365">
            <v>14.84</v>
          </cell>
          <cell r="O365">
            <v>-12.97</v>
          </cell>
          <cell r="P365">
            <v>0</v>
          </cell>
          <cell r="Q365">
            <v>75.240000000000009</v>
          </cell>
        </row>
        <row r="366">
          <cell r="A366">
            <v>56201</v>
          </cell>
          <cell r="B366" t="str">
            <v>Meal and Entertainment</v>
          </cell>
          <cell r="E366">
            <v>0</v>
          </cell>
          <cell r="F366">
            <v>0</v>
          </cell>
          <cell r="G366">
            <v>0</v>
          </cell>
          <cell r="H366">
            <v>0</v>
          </cell>
          <cell r="I366">
            <v>0</v>
          </cell>
          <cell r="J366">
            <v>34.36</v>
          </cell>
          <cell r="K366">
            <v>0</v>
          </cell>
          <cell r="L366">
            <v>0</v>
          </cell>
          <cell r="M366">
            <v>0</v>
          </cell>
          <cell r="N366">
            <v>348.63</v>
          </cell>
          <cell r="O366">
            <v>-333.79</v>
          </cell>
          <cell r="P366">
            <v>0</v>
          </cell>
          <cell r="Q366">
            <v>49.199999999999989</v>
          </cell>
        </row>
        <row r="367">
          <cell r="A367">
            <v>56210</v>
          </cell>
          <cell r="B367" t="str">
            <v>Office Supply and Equip</v>
          </cell>
          <cell r="E367">
            <v>302.63</v>
          </cell>
          <cell r="F367">
            <v>422.29</v>
          </cell>
          <cell r="G367">
            <v>391.69</v>
          </cell>
          <cell r="H367">
            <v>179.55</v>
          </cell>
          <cell r="I367">
            <v>722.74</v>
          </cell>
          <cell r="J367">
            <v>352.24</v>
          </cell>
          <cell r="K367">
            <v>0</v>
          </cell>
          <cell r="L367">
            <v>741.46</v>
          </cell>
          <cell r="M367">
            <v>364.82</v>
          </cell>
          <cell r="N367">
            <v>0</v>
          </cell>
          <cell r="O367">
            <v>886.4</v>
          </cell>
          <cell r="P367">
            <v>0</v>
          </cell>
          <cell r="Q367">
            <v>4363.8200000000006</v>
          </cell>
        </row>
        <row r="368">
          <cell r="A368">
            <v>56335</v>
          </cell>
          <cell r="B368" t="str">
            <v>Miscellaneous</v>
          </cell>
          <cell r="E368">
            <v>0</v>
          </cell>
          <cell r="F368">
            <v>0</v>
          </cell>
          <cell r="G368">
            <v>0</v>
          </cell>
          <cell r="H368">
            <v>0</v>
          </cell>
          <cell r="I368">
            <v>0</v>
          </cell>
          <cell r="J368">
            <v>0</v>
          </cell>
          <cell r="K368">
            <v>0</v>
          </cell>
          <cell r="L368">
            <v>0</v>
          </cell>
          <cell r="M368">
            <v>0</v>
          </cell>
          <cell r="N368">
            <v>0</v>
          </cell>
          <cell r="O368">
            <v>0</v>
          </cell>
          <cell r="P368">
            <v>0</v>
          </cell>
          <cell r="Q368">
            <v>0</v>
          </cell>
        </row>
        <row r="369">
          <cell r="A369">
            <v>56998</v>
          </cell>
          <cell r="B369" t="str">
            <v>Allocation Out - District</v>
          </cell>
          <cell r="E369">
            <v>0</v>
          </cell>
          <cell r="F369">
            <v>0</v>
          </cell>
          <cell r="G369">
            <v>0</v>
          </cell>
          <cell r="H369">
            <v>0</v>
          </cell>
          <cell r="I369">
            <v>0</v>
          </cell>
          <cell r="J369">
            <v>0</v>
          </cell>
          <cell r="K369">
            <v>0</v>
          </cell>
          <cell r="L369">
            <v>0</v>
          </cell>
          <cell r="M369">
            <v>0</v>
          </cell>
          <cell r="N369">
            <v>0</v>
          </cell>
          <cell r="O369">
            <v>0</v>
          </cell>
          <cell r="P369">
            <v>0</v>
          </cell>
          <cell r="Q369">
            <v>0</v>
          </cell>
        </row>
        <row r="370">
          <cell r="A370">
            <v>56999</v>
          </cell>
          <cell r="B370" t="str">
            <v>Allocation Out - Out District</v>
          </cell>
          <cell r="E370">
            <v>0</v>
          </cell>
          <cell r="F370">
            <v>0</v>
          </cell>
          <cell r="G370">
            <v>0</v>
          </cell>
          <cell r="H370">
            <v>0</v>
          </cell>
          <cell r="I370">
            <v>0</v>
          </cell>
          <cell r="J370">
            <v>0</v>
          </cell>
          <cell r="K370">
            <v>0</v>
          </cell>
          <cell r="L370">
            <v>0</v>
          </cell>
          <cell r="M370">
            <v>0</v>
          </cell>
          <cell r="N370">
            <v>0</v>
          </cell>
          <cell r="O370">
            <v>0</v>
          </cell>
          <cell r="P370">
            <v>0</v>
          </cell>
          <cell r="Q370">
            <v>0</v>
          </cell>
        </row>
        <row r="371">
          <cell r="A371" t="str">
            <v>Total Supervisor</v>
          </cell>
          <cell r="E371">
            <v>37720.86</v>
          </cell>
          <cell r="F371">
            <v>33743.800000000003</v>
          </cell>
          <cell r="G371">
            <v>39084.410000000011</v>
          </cell>
          <cell r="H371">
            <v>42015.490000000013</v>
          </cell>
          <cell r="I371">
            <v>34490.759999999995</v>
          </cell>
          <cell r="J371">
            <v>38693.26999999999</v>
          </cell>
          <cell r="K371">
            <v>32262.889999999992</v>
          </cell>
          <cell r="L371">
            <v>38705.899999999994</v>
          </cell>
          <cell r="M371">
            <v>37358.249999999993</v>
          </cell>
          <cell r="N371">
            <v>35213.239999999991</v>
          </cell>
          <cell r="O371">
            <v>42122.020000000004</v>
          </cell>
          <cell r="P371">
            <v>40448.14</v>
          </cell>
          <cell r="Q371">
            <v>451859.03</v>
          </cell>
        </row>
        <row r="373">
          <cell r="A373" t="str">
            <v>Other Operating Expense</v>
          </cell>
        </row>
        <row r="374">
          <cell r="A374">
            <v>46020</v>
          </cell>
          <cell r="B374" t="str">
            <v>Post Closure Amortization</v>
          </cell>
          <cell r="E374">
            <v>0</v>
          </cell>
          <cell r="F374">
            <v>0</v>
          </cell>
          <cell r="G374">
            <v>0</v>
          </cell>
          <cell r="H374">
            <v>0</v>
          </cell>
          <cell r="I374">
            <v>0</v>
          </cell>
          <cell r="J374">
            <v>0</v>
          </cell>
          <cell r="K374">
            <v>0</v>
          </cell>
          <cell r="L374">
            <v>0</v>
          </cell>
          <cell r="M374">
            <v>0</v>
          </cell>
          <cell r="N374">
            <v>0</v>
          </cell>
          <cell r="O374">
            <v>0</v>
          </cell>
          <cell r="P374">
            <v>0</v>
          </cell>
          <cell r="Q374">
            <v>0</v>
          </cell>
        </row>
        <row r="375">
          <cell r="A375">
            <v>57051</v>
          </cell>
          <cell r="B375" t="str">
            <v>AA Premiums</v>
          </cell>
          <cell r="E375">
            <v>0</v>
          </cell>
          <cell r="F375">
            <v>0</v>
          </cell>
          <cell r="G375">
            <v>0</v>
          </cell>
          <cell r="H375">
            <v>0</v>
          </cell>
          <cell r="I375">
            <v>0</v>
          </cell>
          <cell r="J375">
            <v>0</v>
          </cell>
          <cell r="K375">
            <v>0</v>
          </cell>
          <cell r="L375">
            <v>0</v>
          </cell>
          <cell r="M375">
            <v>0</v>
          </cell>
          <cell r="N375">
            <v>0</v>
          </cell>
          <cell r="O375">
            <v>0</v>
          </cell>
          <cell r="P375">
            <v>0</v>
          </cell>
          <cell r="Q375">
            <v>0</v>
          </cell>
        </row>
        <row r="376">
          <cell r="A376">
            <v>57125</v>
          </cell>
          <cell r="B376" t="str">
            <v>Operating Supplies</v>
          </cell>
          <cell r="E376">
            <v>0</v>
          </cell>
          <cell r="F376">
            <v>0</v>
          </cell>
          <cell r="G376">
            <v>0</v>
          </cell>
          <cell r="H376">
            <v>142.55000000000001</v>
          </cell>
          <cell r="I376">
            <v>0</v>
          </cell>
          <cell r="J376">
            <v>0</v>
          </cell>
          <cell r="K376">
            <v>0</v>
          </cell>
          <cell r="L376">
            <v>0</v>
          </cell>
          <cell r="M376">
            <v>0</v>
          </cell>
          <cell r="N376">
            <v>1177.5899999999999</v>
          </cell>
          <cell r="O376">
            <v>-1102.77</v>
          </cell>
          <cell r="P376">
            <v>0</v>
          </cell>
          <cell r="Q376">
            <v>217.36999999999989</v>
          </cell>
        </row>
        <row r="377">
          <cell r="A377">
            <v>57147</v>
          </cell>
          <cell r="B377" t="str">
            <v>Bldg &amp; Property</v>
          </cell>
          <cell r="E377">
            <v>5273.81</v>
          </cell>
          <cell r="F377">
            <v>1312.43</v>
          </cell>
          <cell r="G377">
            <v>1899.21</v>
          </cell>
          <cell r="H377">
            <v>1309.79</v>
          </cell>
          <cell r="I377">
            <v>1872.61</v>
          </cell>
          <cell r="J377">
            <v>1128</v>
          </cell>
          <cell r="K377">
            <v>1740.26</v>
          </cell>
          <cell r="L377">
            <v>3083.68</v>
          </cell>
          <cell r="M377">
            <v>2114.81</v>
          </cell>
          <cell r="N377">
            <v>1811.92</v>
          </cell>
          <cell r="O377">
            <v>3002.6</v>
          </cell>
          <cell r="P377">
            <v>2169.63</v>
          </cell>
          <cell r="Q377">
            <v>26718.750000000004</v>
          </cell>
        </row>
        <row r="378">
          <cell r="A378">
            <v>57148</v>
          </cell>
          <cell r="B378" t="str">
            <v>Allocated In - District</v>
          </cell>
          <cell r="E378">
            <v>0</v>
          </cell>
          <cell r="F378">
            <v>0</v>
          </cell>
          <cell r="G378">
            <v>0</v>
          </cell>
          <cell r="H378">
            <v>0</v>
          </cell>
          <cell r="I378">
            <v>0</v>
          </cell>
          <cell r="J378">
            <v>0</v>
          </cell>
          <cell r="K378">
            <v>0</v>
          </cell>
          <cell r="L378">
            <v>0</v>
          </cell>
          <cell r="M378">
            <v>0</v>
          </cell>
          <cell r="N378">
            <v>0</v>
          </cell>
          <cell r="O378">
            <v>0</v>
          </cell>
          <cell r="P378">
            <v>0</v>
          </cell>
          <cell r="Q378">
            <v>0</v>
          </cell>
        </row>
        <row r="379">
          <cell r="A379">
            <v>57149</v>
          </cell>
          <cell r="B379" t="str">
            <v>Allocated In - Out District</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v>57150</v>
          </cell>
          <cell r="B380" t="str">
            <v>Utilities</v>
          </cell>
          <cell r="E380">
            <v>461.43</v>
          </cell>
          <cell r="F380">
            <v>96.57</v>
          </cell>
          <cell r="G380">
            <v>117.6</v>
          </cell>
          <cell r="H380">
            <v>83.43</v>
          </cell>
          <cell r="I380">
            <v>90.9</v>
          </cell>
          <cell r="J380">
            <v>57.15</v>
          </cell>
          <cell r="K380">
            <v>89.42</v>
          </cell>
          <cell r="L380">
            <v>52.59</v>
          </cell>
          <cell r="M380">
            <v>307.08</v>
          </cell>
          <cell r="N380">
            <v>59.56</v>
          </cell>
          <cell r="O380">
            <v>541.69000000000005</v>
          </cell>
          <cell r="P380">
            <v>104.21</v>
          </cell>
          <cell r="Q380">
            <v>2061.6299999999997</v>
          </cell>
        </row>
        <row r="381">
          <cell r="A381">
            <v>57165</v>
          </cell>
          <cell r="B381" t="str">
            <v>Communications</v>
          </cell>
          <cell r="E381">
            <v>0</v>
          </cell>
          <cell r="F381">
            <v>0</v>
          </cell>
          <cell r="G381">
            <v>0</v>
          </cell>
          <cell r="H381">
            <v>0</v>
          </cell>
          <cell r="I381">
            <v>0</v>
          </cell>
          <cell r="J381">
            <v>0</v>
          </cell>
          <cell r="K381">
            <v>0</v>
          </cell>
          <cell r="L381">
            <v>0</v>
          </cell>
          <cell r="M381">
            <v>0</v>
          </cell>
          <cell r="N381">
            <v>0</v>
          </cell>
          <cell r="O381">
            <v>0</v>
          </cell>
          <cell r="P381">
            <v>0</v>
          </cell>
          <cell r="Q381">
            <v>0</v>
          </cell>
        </row>
        <row r="382">
          <cell r="A382">
            <v>57166</v>
          </cell>
          <cell r="B382" t="str">
            <v>Leachate Treatment</v>
          </cell>
          <cell r="E382">
            <v>0</v>
          </cell>
          <cell r="F382">
            <v>0</v>
          </cell>
          <cell r="G382">
            <v>0</v>
          </cell>
          <cell r="H382">
            <v>0</v>
          </cell>
          <cell r="I382">
            <v>0</v>
          </cell>
          <cell r="J382">
            <v>0</v>
          </cell>
          <cell r="K382">
            <v>0</v>
          </cell>
          <cell r="L382">
            <v>0</v>
          </cell>
          <cell r="M382">
            <v>0</v>
          </cell>
          <cell r="N382">
            <v>0</v>
          </cell>
          <cell r="O382">
            <v>0</v>
          </cell>
          <cell r="P382">
            <v>0</v>
          </cell>
          <cell r="Q382">
            <v>0</v>
          </cell>
        </row>
        <row r="383">
          <cell r="A383">
            <v>57170</v>
          </cell>
          <cell r="B383" t="str">
            <v>Real Estate Rentals</v>
          </cell>
          <cell r="E383">
            <v>5891.03</v>
          </cell>
          <cell r="F383">
            <v>6528.62</v>
          </cell>
          <cell r="G383">
            <v>5891.03</v>
          </cell>
          <cell r="H383">
            <v>5800.95</v>
          </cell>
          <cell r="I383">
            <v>5800.95</v>
          </cell>
          <cell r="J383">
            <v>5800.95</v>
          </cell>
          <cell r="K383">
            <v>5800.95</v>
          </cell>
          <cell r="L383">
            <v>5800.95</v>
          </cell>
          <cell r="M383">
            <v>4412</v>
          </cell>
          <cell r="N383">
            <v>4412</v>
          </cell>
          <cell r="O383">
            <v>5800.95</v>
          </cell>
          <cell r="P383">
            <v>13259</v>
          </cell>
          <cell r="Q383">
            <v>75199.37999999999</v>
          </cell>
        </row>
        <row r="384">
          <cell r="A384">
            <v>57175</v>
          </cell>
          <cell r="B384" t="str">
            <v>Equipment Vehicle Rental</v>
          </cell>
          <cell r="E384">
            <v>0</v>
          </cell>
          <cell r="F384">
            <v>0</v>
          </cell>
          <cell r="G384">
            <v>0</v>
          </cell>
          <cell r="H384">
            <v>0</v>
          </cell>
          <cell r="I384">
            <v>0</v>
          </cell>
          <cell r="J384">
            <v>0</v>
          </cell>
          <cell r="K384">
            <v>0</v>
          </cell>
          <cell r="L384">
            <v>0</v>
          </cell>
          <cell r="M384">
            <v>0</v>
          </cell>
          <cell r="N384">
            <v>0</v>
          </cell>
          <cell r="O384">
            <v>0</v>
          </cell>
          <cell r="P384">
            <v>0</v>
          </cell>
          <cell r="Q384">
            <v>0</v>
          </cell>
        </row>
        <row r="385">
          <cell r="A385">
            <v>57185</v>
          </cell>
          <cell r="B385" t="str">
            <v>Postage</v>
          </cell>
          <cell r="E385">
            <v>0</v>
          </cell>
          <cell r="F385">
            <v>0</v>
          </cell>
          <cell r="G385">
            <v>0</v>
          </cell>
          <cell r="H385">
            <v>0</v>
          </cell>
          <cell r="I385">
            <v>0</v>
          </cell>
          <cell r="J385">
            <v>0</v>
          </cell>
          <cell r="K385">
            <v>0</v>
          </cell>
          <cell r="L385">
            <v>0</v>
          </cell>
          <cell r="M385">
            <v>0</v>
          </cell>
          <cell r="N385">
            <v>0</v>
          </cell>
          <cell r="O385">
            <v>0</v>
          </cell>
          <cell r="P385">
            <v>0</v>
          </cell>
          <cell r="Q385">
            <v>0</v>
          </cell>
        </row>
        <row r="386">
          <cell r="A386">
            <v>57252</v>
          </cell>
          <cell r="B386" t="str">
            <v>Subcontract Expense</v>
          </cell>
          <cell r="E386">
            <v>0</v>
          </cell>
          <cell r="F386">
            <v>0</v>
          </cell>
          <cell r="G386">
            <v>0</v>
          </cell>
          <cell r="H386">
            <v>0</v>
          </cell>
          <cell r="I386">
            <v>0</v>
          </cell>
          <cell r="J386">
            <v>0</v>
          </cell>
          <cell r="K386">
            <v>0</v>
          </cell>
          <cell r="L386">
            <v>0</v>
          </cell>
          <cell r="M386">
            <v>0</v>
          </cell>
          <cell r="N386">
            <v>0</v>
          </cell>
          <cell r="O386">
            <v>0</v>
          </cell>
          <cell r="P386">
            <v>0</v>
          </cell>
          <cell r="Q386">
            <v>0</v>
          </cell>
        </row>
        <row r="387">
          <cell r="A387">
            <v>57254</v>
          </cell>
          <cell r="B387" t="str">
            <v>Drive Cam Fees</v>
          </cell>
          <cell r="E387">
            <v>1912.5</v>
          </cell>
          <cell r="F387">
            <v>1912.5</v>
          </cell>
          <cell r="G387">
            <v>1912.5</v>
          </cell>
          <cell r="H387">
            <v>1912.5</v>
          </cell>
          <cell r="I387">
            <v>2520</v>
          </cell>
          <cell r="J387">
            <v>2520</v>
          </cell>
          <cell r="K387">
            <v>2678.73</v>
          </cell>
          <cell r="L387">
            <v>2580.4699999999998</v>
          </cell>
          <cell r="M387">
            <v>2576.33</v>
          </cell>
          <cell r="N387">
            <v>2636.37</v>
          </cell>
          <cell r="O387">
            <v>2511.33</v>
          </cell>
          <cell r="P387">
            <v>2531.54</v>
          </cell>
          <cell r="Q387">
            <v>28204.769999999997</v>
          </cell>
        </row>
        <row r="388">
          <cell r="A388">
            <v>57255</v>
          </cell>
          <cell r="B388" t="str">
            <v>Other Prof Fees</v>
          </cell>
          <cell r="E388">
            <v>0</v>
          </cell>
          <cell r="F388">
            <v>0</v>
          </cell>
          <cell r="G388">
            <v>4.5</v>
          </cell>
          <cell r="H388">
            <v>4.5</v>
          </cell>
          <cell r="I388">
            <v>4.5</v>
          </cell>
          <cell r="J388">
            <v>4.5</v>
          </cell>
          <cell r="K388">
            <v>18</v>
          </cell>
          <cell r="L388">
            <v>4.5</v>
          </cell>
          <cell r="M388">
            <v>4.5</v>
          </cell>
          <cell r="N388">
            <v>4.5</v>
          </cell>
          <cell r="O388">
            <v>4.5</v>
          </cell>
          <cell r="P388">
            <v>0</v>
          </cell>
          <cell r="Q388">
            <v>54</v>
          </cell>
        </row>
        <row r="389">
          <cell r="A389">
            <v>57256</v>
          </cell>
          <cell r="B389" t="str">
            <v>Laboratory Fees</v>
          </cell>
          <cell r="E389">
            <v>0</v>
          </cell>
          <cell r="F389">
            <v>0</v>
          </cell>
          <cell r="G389">
            <v>0</v>
          </cell>
          <cell r="H389">
            <v>0</v>
          </cell>
          <cell r="I389">
            <v>0</v>
          </cell>
          <cell r="J389">
            <v>0</v>
          </cell>
          <cell r="K389">
            <v>0</v>
          </cell>
          <cell r="L389">
            <v>0</v>
          </cell>
          <cell r="M389">
            <v>0</v>
          </cell>
          <cell r="N389">
            <v>0</v>
          </cell>
          <cell r="O389">
            <v>0</v>
          </cell>
          <cell r="P389">
            <v>0</v>
          </cell>
          <cell r="Q389">
            <v>0</v>
          </cell>
        </row>
        <row r="390">
          <cell r="A390">
            <v>57257</v>
          </cell>
          <cell r="B390" t="str">
            <v>Engineering Fees</v>
          </cell>
          <cell r="E390">
            <v>0</v>
          </cell>
          <cell r="F390">
            <v>0</v>
          </cell>
          <cell r="G390">
            <v>0</v>
          </cell>
          <cell r="H390">
            <v>0</v>
          </cell>
          <cell r="I390">
            <v>0</v>
          </cell>
          <cell r="J390">
            <v>18100.03</v>
          </cell>
          <cell r="K390">
            <v>1254.3699999999999</v>
          </cell>
          <cell r="L390">
            <v>1448.12</v>
          </cell>
          <cell r="M390">
            <v>-11585</v>
          </cell>
          <cell r="N390">
            <v>0</v>
          </cell>
          <cell r="O390">
            <v>0</v>
          </cell>
          <cell r="P390">
            <v>0</v>
          </cell>
          <cell r="Q390">
            <v>9217.5199999999968</v>
          </cell>
        </row>
        <row r="391">
          <cell r="A391">
            <v>57275</v>
          </cell>
          <cell r="B391" t="str">
            <v>Property Taxes</v>
          </cell>
          <cell r="E391">
            <v>0</v>
          </cell>
          <cell r="F391">
            <v>0</v>
          </cell>
          <cell r="G391">
            <v>0</v>
          </cell>
          <cell r="H391">
            <v>0</v>
          </cell>
          <cell r="I391">
            <v>0</v>
          </cell>
          <cell r="J391">
            <v>0</v>
          </cell>
          <cell r="K391">
            <v>0</v>
          </cell>
          <cell r="L391">
            <v>0</v>
          </cell>
          <cell r="M391">
            <v>0</v>
          </cell>
          <cell r="N391">
            <v>0</v>
          </cell>
          <cell r="O391">
            <v>0</v>
          </cell>
          <cell r="P391">
            <v>0</v>
          </cell>
          <cell r="Q391">
            <v>0</v>
          </cell>
        </row>
        <row r="392">
          <cell r="A392">
            <v>57280</v>
          </cell>
          <cell r="B392" t="str">
            <v>Other Taxes</v>
          </cell>
          <cell r="E392">
            <v>459</v>
          </cell>
          <cell r="F392">
            <v>459</v>
          </cell>
          <cell r="G392">
            <v>459</v>
          </cell>
          <cell r="H392">
            <v>459</v>
          </cell>
          <cell r="I392">
            <v>459</v>
          </cell>
          <cell r="J392">
            <v>459</v>
          </cell>
          <cell r="K392">
            <v>459</v>
          </cell>
          <cell r="L392">
            <v>459</v>
          </cell>
          <cell r="M392">
            <v>459</v>
          </cell>
          <cell r="N392">
            <v>459</v>
          </cell>
          <cell r="O392">
            <v>459</v>
          </cell>
          <cell r="P392">
            <v>459</v>
          </cell>
          <cell r="Q392">
            <v>5508</v>
          </cell>
        </row>
        <row r="393">
          <cell r="A393">
            <v>57324</v>
          </cell>
          <cell r="B393" t="str">
            <v>Penalties and Violations</v>
          </cell>
          <cell r="E393">
            <v>0</v>
          </cell>
          <cell r="F393">
            <v>0</v>
          </cell>
          <cell r="G393">
            <v>0</v>
          </cell>
          <cell r="H393">
            <v>0</v>
          </cell>
          <cell r="I393">
            <v>0</v>
          </cell>
          <cell r="J393">
            <v>0</v>
          </cell>
          <cell r="K393">
            <v>0</v>
          </cell>
          <cell r="L393">
            <v>0</v>
          </cell>
          <cell r="M393">
            <v>0</v>
          </cell>
          <cell r="N393">
            <v>266.95</v>
          </cell>
          <cell r="O393">
            <v>0</v>
          </cell>
          <cell r="P393">
            <v>631.95000000000005</v>
          </cell>
          <cell r="Q393">
            <v>898.90000000000009</v>
          </cell>
        </row>
        <row r="394">
          <cell r="A394">
            <v>57335</v>
          </cell>
          <cell r="B394" t="str">
            <v>Miscellaneous</v>
          </cell>
          <cell r="E394">
            <v>0</v>
          </cell>
          <cell r="F394">
            <v>0</v>
          </cell>
          <cell r="G394">
            <v>0</v>
          </cell>
          <cell r="H394">
            <v>0</v>
          </cell>
          <cell r="I394">
            <v>0</v>
          </cell>
          <cell r="J394">
            <v>0</v>
          </cell>
          <cell r="K394">
            <v>0</v>
          </cell>
          <cell r="L394">
            <v>0</v>
          </cell>
          <cell r="M394">
            <v>0</v>
          </cell>
          <cell r="N394">
            <v>0</v>
          </cell>
          <cell r="O394">
            <v>0</v>
          </cell>
          <cell r="P394">
            <v>0</v>
          </cell>
          <cell r="Q394">
            <v>0</v>
          </cell>
        </row>
        <row r="395">
          <cell r="A395">
            <v>57345</v>
          </cell>
          <cell r="B395" t="str">
            <v>Secruity Services</v>
          </cell>
          <cell r="E395">
            <v>62.5</v>
          </cell>
          <cell r="F395">
            <v>62.5</v>
          </cell>
          <cell r="G395">
            <v>62.5</v>
          </cell>
          <cell r="H395">
            <v>62.5</v>
          </cell>
          <cell r="I395">
            <v>62.5</v>
          </cell>
          <cell r="J395">
            <v>62.5</v>
          </cell>
          <cell r="K395">
            <v>62.5</v>
          </cell>
          <cell r="L395">
            <v>62.5</v>
          </cell>
          <cell r="M395">
            <v>62.5</v>
          </cell>
          <cell r="N395">
            <v>0</v>
          </cell>
          <cell r="O395">
            <v>125</v>
          </cell>
          <cell r="P395">
            <v>0</v>
          </cell>
          <cell r="Q395">
            <v>687.5</v>
          </cell>
        </row>
        <row r="396">
          <cell r="A396">
            <v>57353</v>
          </cell>
          <cell r="B396" t="str">
            <v>Monitoring and Maint</v>
          </cell>
          <cell r="E396">
            <v>0</v>
          </cell>
          <cell r="F396">
            <v>0</v>
          </cell>
          <cell r="G396">
            <v>0</v>
          </cell>
          <cell r="H396">
            <v>0</v>
          </cell>
          <cell r="I396">
            <v>0</v>
          </cell>
          <cell r="J396">
            <v>0</v>
          </cell>
          <cell r="K396">
            <v>0</v>
          </cell>
          <cell r="L396">
            <v>0</v>
          </cell>
          <cell r="M396">
            <v>0</v>
          </cell>
          <cell r="N396">
            <v>0</v>
          </cell>
          <cell r="O396">
            <v>0</v>
          </cell>
          <cell r="P396">
            <v>0</v>
          </cell>
          <cell r="Q396">
            <v>0</v>
          </cell>
        </row>
        <row r="397">
          <cell r="A397">
            <v>57356</v>
          </cell>
          <cell r="B397" t="str">
            <v>Cover Cost</v>
          </cell>
          <cell r="E397">
            <v>0</v>
          </cell>
          <cell r="F397">
            <v>0</v>
          </cell>
          <cell r="G397">
            <v>0</v>
          </cell>
          <cell r="H397">
            <v>0</v>
          </cell>
          <cell r="I397">
            <v>0</v>
          </cell>
          <cell r="J397">
            <v>0</v>
          </cell>
          <cell r="K397">
            <v>0</v>
          </cell>
          <cell r="L397">
            <v>0</v>
          </cell>
          <cell r="M397">
            <v>0</v>
          </cell>
          <cell r="N397">
            <v>0</v>
          </cell>
          <cell r="O397">
            <v>0</v>
          </cell>
          <cell r="P397">
            <v>0</v>
          </cell>
          <cell r="Q397">
            <v>0</v>
          </cell>
        </row>
        <row r="398">
          <cell r="A398">
            <v>57357</v>
          </cell>
          <cell r="B398" t="str">
            <v>Permits</v>
          </cell>
          <cell r="E398">
            <v>0</v>
          </cell>
          <cell r="F398">
            <v>0</v>
          </cell>
          <cell r="G398">
            <v>0</v>
          </cell>
          <cell r="H398">
            <v>0</v>
          </cell>
          <cell r="I398">
            <v>0</v>
          </cell>
          <cell r="J398">
            <v>0</v>
          </cell>
          <cell r="K398">
            <v>0</v>
          </cell>
          <cell r="L398">
            <v>0</v>
          </cell>
          <cell r="M398">
            <v>0</v>
          </cell>
          <cell r="N398">
            <v>15</v>
          </cell>
          <cell r="O398">
            <v>0</v>
          </cell>
          <cell r="P398">
            <v>80</v>
          </cell>
          <cell r="Q398">
            <v>95</v>
          </cell>
        </row>
        <row r="399">
          <cell r="A399">
            <v>57360</v>
          </cell>
          <cell r="B399" t="str">
            <v>Royalties</v>
          </cell>
          <cell r="E399">
            <v>0</v>
          </cell>
          <cell r="F399">
            <v>0</v>
          </cell>
          <cell r="G399">
            <v>0</v>
          </cell>
          <cell r="H399">
            <v>0</v>
          </cell>
          <cell r="I399">
            <v>0</v>
          </cell>
          <cell r="J399">
            <v>0</v>
          </cell>
          <cell r="K399">
            <v>0</v>
          </cell>
          <cell r="L399">
            <v>0</v>
          </cell>
          <cell r="M399">
            <v>0</v>
          </cell>
          <cell r="N399">
            <v>0</v>
          </cell>
          <cell r="O399">
            <v>0</v>
          </cell>
          <cell r="P399">
            <v>0</v>
          </cell>
          <cell r="Q399">
            <v>0</v>
          </cell>
        </row>
        <row r="400">
          <cell r="A400">
            <v>57370</v>
          </cell>
          <cell r="B400" t="str">
            <v>Bonds Expense</v>
          </cell>
          <cell r="E400">
            <v>79.209999999999994</v>
          </cell>
          <cell r="F400">
            <v>79.209999999999994</v>
          </cell>
          <cell r="G400">
            <v>79.209999999999994</v>
          </cell>
          <cell r="H400">
            <v>129.57</v>
          </cell>
          <cell r="I400">
            <v>342.55</v>
          </cell>
          <cell r="J400">
            <v>129.55000000000001</v>
          </cell>
          <cell r="K400">
            <v>129.55000000000001</v>
          </cell>
          <cell r="L400">
            <v>129.55000000000001</v>
          </cell>
          <cell r="M400">
            <v>129.55000000000001</v>
          </cell>
          <cell r="N400">
            <v>129.55000000000001</v>
          </cell>
          <cell r="O400">
            <v>129.55000000000001</v>
          </cell>
          <cell r="P400">
            <v>39.549999999999997</v>
          </cell>
          <cell r="Q400">
            <v>1526.5999999999997</v>
          </cell>
        </row>
        <row r="401">
          <cell r="A401">
            <v>57900</v>
          </cell>
          <cell r="B401" t="str">
            <v>Capitalized Costs</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v>57998</v>
          </cell>
          <cell r="B402" t="str">
            <v>Allocation Out - District</v>
          </cell>
          <cell r="E402">
            <v>0</v>
          </cell>
          <cell r="F402">
            <v>0</v>
          </cell>
          <cell r="G402">
            <v>0</v>
          </cell>
          <cell r="H402">
            <v>0</v>
          </cell>
          <cell r="I402">
            <v>0</v>
          </cell>
          <cell r="J402">
            <v>0</v>
          </cell>
          <cell r="K402">
            <v>0</v>
          </cell>
          <cell r="L402">
            <v>0</v>
          </cell>
          <cell r="M402">
            <v>0</v>
          </cell>
          <cell r="N402">
            <v>0</v>
          </cell>
          <cell r="O402">
            <v>0</v>
          </cell>
          <cell r="P402">
            <v>0</v>
          </cell>
          <cell r="Q402">
            <v>0</v>
          </cell>
        </row>
        <row r="403">
          <cell r="A403">
            <v>57999</v>
          </cell>
          <cell r="B403" t="str">
            <v>Allocation Out - Out District</v>
          </cell>
          <cell r="E403">
            <v>0</v>
          </cell>
          <cell r="F403">
            <v>0</v>
          </cell>
          <cell r="G403">
            <v>0</v>
          </cell>
          <cell r="H403">
            <v>0</v>
          </cell>
          <cell r="I403">
            <v>0</v>
          </cell>
          <cell r="J403">
            <v>0</v>
          </cell>
          <cell r="K403">
            <v>0</v>
          </cell>
          <cell r="L403">
            <v>0</v>
          </cell>
          <cell r="M403">
            <v>0</v>
          </cell>
          <cell r="N403">
            <v>0</v>
          </cell>
          <cell r="O403">
            <v>0</v>
          </cell>
          <cell r="P403">
            <v>0</v>
          </cell>
          <cell r="Q403">
            <v>0</v>
          </cell>
        </row>
        <row r="404">
          <cell r="A404">
            <v>70265</v>
          </cell>
          <cell r="B404" t="str">
            <v>Amortization of Long Term Contracts</v>
          </cell>
          <cell r="E404">
            <v>0</v>
          </cell>
          <cell r="F404">
            <v>0</v>
          </cell>
          <cell r="G404">
            <v>0</v>
          </cell>
          <cell r="H404">
            <v>0</v>
          </cell>
          <cell r="I404">
            <v>0</v>
          </cell>
          <cell r="J404">
            <v>0</v>
          </cell>
          <cell r="K404">
            <v>0</v>
          </cell>
          <cell r="L404">
            <v>0</v>
          </cell>
          <cell r="M404">
            <v>0</v>
          </cell>
          <cell r="N404">
            <v>0</v>
          </cell>
          <cell r="O404">
            <v>0</v>
          </cell>
          <cell r="P404">
            <v>0</v>
          </cell>
          <cell r="Q404">
            <v>0</v>
          </cell>
        </row>
        <row r="405">
          <cell r="A405">
            <v>80050</v>
          </cell>
          <cell r="B405" t="str">
            <v>Interest Expense Closure/Post Closure</v>
          </cell>
          <cell r="E405">
            <v>0</v>
          </cell>
          <cell r="F405">
            <v>0</v>
          </cell>
          <cell r="G405">
            <v>0</v>
          </cell>
          <cell r="H405">
            <v>0</v>
          </cell>
          <cell r="I405">
            <v>0</v>
          </cell>
          <cell r="J405">
            <v>0</v>
          </cell>
          <cell r="K405">
            <v>0</v>
          </cell>
          <cell r="L405">
            <v>0</v>
          </cell>
          <cell r="M405">
            <v>0</v>
          </cell>
          <cell r="N405">
            <v>0</v>
          </cell>
          <cell r="O405">
            <v>0</v>
          </cell>
          <cell r="P405">
            <v>0</v>
          </cell>
          <cell r="Q405">
            <v>0</v>
          </cell>
        </row>
        <row r="406">
          <cell r="A406" t="str">
            <v>Total Other Operating Expense</v>
          </cell>
          <cell r="E406">
            <v>14139.48</v>
          </cell>
          <cell r="F406">
            <v>10450.829999999998</v>
          </cell>
          <cell r="G406">
            <v>10425.549999999999</v>
          </cell>
          <cell r="H406">
            <v>9904.7899999999991</v>
          </cell>
          <cell r="I406">
            <v>11153.009999999998</v>
          </cell>
          <cell r="J406">
            <v>28261.679999999997</v>
          </cell>
          <cell r="K406">
            <v>12232.779999999999</v>
          </cell>
          <cell r="L406">
            <v>13621.359999999997</v>
          </cell>
          <cell r="M406">
            <v>-1519.2300000000007</v>
          </cell>
          <cell r="N406">
            <v>10972.439999999999</v>
          </cell>
          <cell r="O406">
            <v>11471.849999999999</v>
          </cell>
          <cell r="P406">
            <v>19274.88</v>
          </cell>
          <cell r="Q406">
            <v>150389.41999999998</v>
          </cell>
        </row>
        <row r="408">
          <cell r="A408" t="str">
            <v>Insurance</v>
          </cell>
        </row>
        <row r="409">
          <cell r="A409">
            <v>59148</v>
          </cell>
          <cell r="B409" t="str">
            <v>Allocation In - District</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v>59149</v>
          </cell>
          <cell r="B410" t="str">
            <v>Allocation In - Out District</v>
          </cell>
          <cell r="E410">
            <v>0</v>
          </cell>
          <cell r="F410">
            <v>0</v>
          </cell>
          <cell r="G410">
            <v>0</v>
          </cell>
          <cell r="H410">
            <v>0</v>
          </cell>
          <cell r="I410">
            <v>0</v>
          </cell>
          <cell r="J410">
            <v>0</v>
          </cell>
          <cell r="K410">
            <v>0</v>
          </cell>
          <cell r="L410">
            <v>0</v>
          </cell>
          <cell r="M410">
            <v>0</v>
          </cell>
          <cell r="N410">
            <v>0</v>
          </cell>
          <cell r="O410">
            <v>0</v>
          </cell>
          <cell r="P410">
            <v>0</v>
          </cell>
          <cell r="Q410">
            <v>0</v>
          </cell>
        </row>
        <row r="411">
          <cell r="A411">
            <v>59271</v>
          </cell>
          <cell r="B411" t="str">
            <v>Property and Liability Insurance</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v>59326</v>
          </cell>
          <cell r="B412" t="str">
            <v>Deductible - Current</v>
          </cell>
          <cell r="E412">
            <v>0</v>
          </cell>
          <cell r="F412">
            <v>0</v>
          </cell>
          <cell r="G412">
            <v>0</v>
          </cell>
          <cell r="H412">
            <v>0</v>
          </cell>
          <cell r="I412">
            <v>0</v>
          </cell>
          <cell r="J412">
            <v>0</v>
          </cell>
          <cell r="K412">
            <v>0</v>
          </cell>
          <cell r="L412">
            <v>0</v>
          </cell>
          <cell r="M412">
            <v>0</v>
          </cell>
          <cell r="N412">
            <v>0</v>
          </cell>
          <cell r="O412">
            <v>0</v>
          </cell>
          <cell r="P412">
            <v>0</v>
          </cell>
          <cell r="Q412">
            <v>0</v>
          </cell>
        </row>
        <row r="413">
          <cell r="A413">
            <v>59327</v>
          </cell>
          <cell r="B413" t="str">
            <v>Deductible - Damage</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v>59328</v>
          </cell>
          <cell r="B414" t="str">
            <v>Claim Recoveries</v>
          </cell>
          <cell r="E414">
            <v>0</v>
          </cell>
          <cell r="F414">
            <v>0</v>
          </cell>
          <cell r="G414">
            <v>-2328.46</v>
          </cell>
          <cell r="H414">
            <v>0</v>
          </cell>
          <cell r="I414">
            <v>0</v>
          </cell>
          <cell r="J414">
            <v>0</v>
          </cell>
          <cell r="K414">
            <v>0</v>
          </cell>
          <cell r="L414">
            <v>0</v>
          </cell>
          <cell r="M414">
            <v>0</v>
          </cell>
          <cell r="N414">
            <v>0</v>
          </cell>
          <cell r="O414">
            <v>0</v>
          </cell>
          <cell r="P414">
            <v>0</v>
          </cell>
          <cell r="Q414">
            <v>-2328.46</v>
          </cell>
        </row>
        <row r="415">
          <cell r="A415">
            <v>59330</v>
          </cell>
          <cell r="B415" t="str">
            <v>Deduct - Prior Year</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v>59331</v>
          </cell>
          <cell r="B416" t="str">
            <v>RM Fixed Costs</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v>59340</v>
          </cell>
          <cell r="B417" t="str">
            <v>Self Insurance Premium</v>
          </cell>
          <cell r="E417">
            <v>6884.94</v>
          </cell>
          <cell r="F417">
            <v>6884.94</v>
          </cell>
          <cell r="G417">
            <v>6884.94</v>
          </cell>
          <cell r="H417">
            <v>6884.94</v>
          </cell>
          <cell r="I417">
            <v>6884.94</v>
          </cell>
          <cell r="J417">
            <v>6884.94</v>
          </cell>
          <cell r="K417">
            <v>6884.94</v>
          </cell>
          <cell r="L417">
            <v>6884.94</v>
          </cell>
          <cell r="M417">
            <v>6884.94</v>
          </cell>
          <cell r="N417">
            <v>6884.94</v>
          </cell>
          <cell r="O417">
            <v>6884.94</v>
          </cell>
          <cell r="P417">
            <v>6884.94</v>
          </cell>
          <cell r="Q417">
            <v>82619.280000000013</v>
          </cell>
        </row>
        <row r="418">
          <cell r="A418">
            <v>59341</v>
          </cell>
          <cell r="B418" t="str">
            <v>A&amp;L - Current Year Claims</v>
          </cell>
          <cell r="E418">
            <v>0</v>
          </cell>
          <cell r="F418">
            <v>0</v>
          </cell>
          <cell r="G418">
            <v>0</v>
          </cell>
          <cell r="H418">
            <v>0</v>
          </cell>
          <cell r="I418">
            <v>0</v>
          </cell>
          <cell r="J418">
            <v>0</v>
          </cell>
          <cell r="K418">
            <v>0</v>
          </cell>
          <cell r="L418">
            <v>0</v>
          </cell>
          <cell r="M418">
            <v>0</v>
          </cell>
          <cell r="N418">
            <v>0</v>
          </cell>
          <cell r="O418">
            <v>0</v>
          </cell>
          <cell r="P418">
            <v>2600</v>
          </cell>
          <cell r="Q418">
            <v>2600</v>
          </cell>
        </row>
        <row r="419">
          <cell r="A419">
            <v>59342</v>
          </cell>
          <cell r="B419" t="str">
            <v>A&amp;L - Prior Year Claims</v>
          </cell>
          <cell r="E419">
            <v>0</v>
          </cell>
          <cell r="F419">
            <v>0</v>
          </cell>
          <cell r="G419">
            <v>0</v>
          </cell>
          <cell r="H419">
            <v>0</v>
          </cell>
          <cell r="I419">
            <v>0.3</v>
          </cell>
          <cell r="J419">
            <v>-0.15</v>
          </cell>
          <cell r="K419">
            <v>1577.07</v>
          </cell>
          <cell r="L419">
            <v>0.05</v>
          </cell>
          <cell r="M419">
            <v>0</v>
          </cell>
          <cell r="N419">
            <v>0</v>
          </cell>
          <cell r="O419">
            <v>0</v>
          </cell>
          <cell r="P419">
            <v>0</v>
          </cell>
          <cell r="Q419">
            <v>1577.27</v>
          </cell>
        </row>
        <row r="420">
          <cell r="A420">
            <v>59343</v>
          </cell>
          <cell r="B420" t="str">
            <v>WC - Current Year Claims</v>
          </cell>
          <cell r="E420">
            <v>53330.6</v>
          </cell>
          <cell r="F420">
            <v>13301</v>
          </cell>
          <cell r="G420">
            <v>13532.93</v>
          </cell>
          <cell r="H420">
            <v>-35945.980000000003</v>
          </cell>
          <cell r="I420">
            <v>151.47999999999999</v>
          </cell>
          <cell r="J420">
            <v>0</v>
          </cell>
          <cell r="K420">
            <v>-5630.29</v>
          </cell>
          <cell r="L420">
            <v>19.420000000000002</v>
          </cell>
          <cell r="M420">
            <v>28.64</v>
          </cell>
          <cell r="N420">
            <v>6955.88</v>
          </cell>
          <cell r="O420">
            <v>11900</v>
          </cell>
          <cell r="P420">
            <v>2180.23</v>
          </cell>
          <cell r="Q420">
            <v>59823.909999999996</v>
          </cell>
        </row>
        <row r="421">
          <cell r="A421">
            <v>59344</v>
          </cell>
          <cell r="B421" t="str">
            <v>WC - Prior Year Claims</v>
          </cell>
          <cell r="E421">
            <v>0</v>
          </cell>
          <cell r="F421">
            <v>0</v>
          </cell>
          <cell r="G421">
            <v>0</v>
          </cell>
          <cell r="H421">
            <v>66006.16</v>
          </cell>
          <cell r="I421">
            <v>2800</v>
          </cell>
          <cell r="J421">
            <v>-3742.81</v>
          </cell>
          <cell r="K421">
            <v>36406.36</v>
          </cell>
          <cell r="L421">
            <v>0</v>
          </cell>
          <cell r="M421">
            <v>28.28</v>
          </cell>
          <cell r="N421">
            <v>4000</v>
          </cell>
          <cell r="O421">
            <v>-547</v>
          </cell>
          <cell r="P421">
            <v>12729.61</v>
          </cell>
          <cell r="Q421">
            <v>117680.6</v>
          </cell>
        </row>
        <row r="422">
          <cell r="A422">
            <v>59350</v>
          </cell>
          <cell r="B422" t="str">
            <v>Self Isurance IBNR Estimates</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v>59400</v>
          </cell>
          <cell r="B423" t="str">
            <v>Damages paid by District</v>
          </cell>
          <cell r="E423">
            <v>-3539</v>
          </cell>
          <cell r="F423">
            <v>0</v>
          </cell>
          <cell r="G423">
            <v>0</v>
          </cell>
          <cell r="H423">
            <v>0</v>
          </cell>
          <cell r="I423">
            <v>0</v>
          </cell>
          <cell r="J423">
            <v>0</v>
          </cell>
          <cell r="K423">
            <v>0</v>
          </cell>
          <cell r="L423">
            <v>0</v>
          </cell>
          <cell r="M423">
            <v>0</v>
          </cell>
          <cell r="N423">
            <v>0</v>
          </cell>
          <cell r="O423">
            <v>0</v>
          </cell>
          <cell r="P423">
            <v>2099.67</v>
          </cell>
          <cell r="Q423">
            <v>-1439.33</v>
          </cell>
        </row>
        <row r="424">
          <cell r="A424">
            <v>59401</v>
          </cell>
          <cell r="B424" t="str">
            <v>Insurance claim repairs</v>
          </cell>
          <cell r="E424">
            <v>0</v>
          </cell>
          <cell r="F424">
            <v>0</v>
          </cell>
          <cell r="G424">
            <v>0</v>
          </cell>
          <cell r="H424">
            <v>0</v>
          </cell>
          <cell r="I424">
            <v>0</v>
          </cell>
          <cell r="J424">
            <v>0</v>
          </cell>
          <cell r="K424">
            <v>0</v>
          </cell>
          <cell r="L424">
            <v>0</v>
          </cell>
          <cell r="M424">
            <v>0</v>
          </cell>
          <cell r="N424">
            <v>0</v>
          </cell>
          <cell r="O424">
            <v>0</v>
          </cell>
          <cell r="P424">
            <v>0</v>
          </cell>
          <cell r="Q424">
            <v>0</v>
          </cell>
        </row>
        <row r="425">
          <cell r="A425">
            <v>59500</v>
          </cell>
          <cell r="B425" t="str">
            <v>Workers Comp Prem</v>
          </cell>
          <cell r="E425">
            <v>1104</v>
          </cell>
          <cell r="F425">
            <v>4000</v>
          </cell>
          <cell r="G425">
            <v>4000</v>
          </cell>
          <cell r="H425">
            <v>2000</v>
          </cell>
          <cell r="I425">
            <v>1000</v>
          </cell>
          <cell r="J425">
            <v>2000</v>
          </cell>
          <cell r="K425">
            <v>2000</v>
          </cell>
          <cell r="L425">
            <v>2000</v>
          </cell>
          <cell r="M425">
            <v>3000</v>
          </cell>
          <cell r="N425">
            <v>3000</v>
          </cell>
          <cell r="O425">
            <v>3000</v>
          </cell>
          <cell r="P425">
            <v>0</v>
          </cell>
          <cell r="Q425">
            <v>27104</v>
          </cell>
        </row>
        <row r="426">
          <cell r="A426">
            <v>59998</v>
          </cell>
          <cell r="B426" t="str">
            <v>Allocation Out - District</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v>59999</v>
          </cell>
          <cell r="B427" t="str">
            <v>Allocation Out - Out District</v>
          </cell>
          <cell r="E427">
            <v>0</v>
          </cell>
          <cell r="F427">
            <v>0</v>
          </cell>
          <cell r="G427">
            <v>0</v>
          </cell>
          <cell r="H427">
            <v>0</v>
          </cell>
          <cell r="I427">
            <v>0</v>
          </cell>
          <cell r="J427">
            <v>0</v>
          </cell>
          <cell r="K427">
            <v>0</v>
          </cell>
          <cell r="L427">
            <v>0</v>
          </cell>
          <cell r="M427">
            <v>0</v>
          </cell>
          <cell r="N427">
            <v>0</v>
          </cell>
          <cell r="O427">
            <v>0</v>
          </cell>
          <cell r="P427">
            <v>0</v>
          </cell>
          <cell r="Q427">
            <v>0</v>
          </cell>
        </row>
        <row r="428">
          <cell r="A428" t="str">
            <v>Total Insurance</v>
          </cell>
          <cell r="E428">
            <v>57780.54</v>
          </cell>
          <cell r="F428">
            <v>24185.94</v>
          </cell>
          <cell r="G428">
            <v>22089.41</v>
          </cell>
          <cell r="H428">
            <v>38945.119999999995</v>
          </cell>
          <cell r="I428">
            <v>10836.72</v>
          </cell>
          <cell r="J428">
            <v>5141.9799999999996</v>
          </cell>
          <cell r="K428">
            <v>41238.080000000002</v>
          </cell>
          <cell r="L428">
            <v>8904.41</v>
          </cell>
          <cell r="M428">
            <v>9941.86</v>
          </cell>
          <cell r="N428">
            <v>20840.82</v>
          </cell>
          <cell r="O428">
            <v>21237.94</v>
          </cell>
          <cell r="P428">
            <v>26494.449999999997</v>
          </cell>
          <cell r="Q428">
            <v>287637.27</v>
          </cell>
        </row>
        <row r="430">
          <cell r="A430" t="str">
            <v>Disposal of Assets and Operations</v>
          </cell>
        </row>
        <row r="431">
          <cell r="A431">
            <v>72000</v>
          </cell>
          <cell r="B431" t="str">
            <v>Gain/Loss on Disposal of Operations</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v>91010</v>
          </cell>
          <cell r="B432" t="str">
            <v>Gain/Loss on Sale of Asset</v>
          </cell>
          <cell r="E432">
            <v>0</v>
          </cell>
          <cell r="F432">
            <v>0</v>
          </cell>
          <cell r="G432">
            <v>0</v>
          </cell>
          <cell r="H432">
            <v>145.82</v>
          </cell>
          <cell r="I432">
            <v>0</v>
          </cell>
          <cell r="J432">
            <v>0</v>
          </cell>
          <cell r="K432">
            <v>0</v>
          </cell>
          <cell r="L432">
            <v>0</v>
          </cell>
          <cell r="M432">
            <v>0</v>
          </cell>
          <cell r="N432">
            <v>0</v>
          </cell>
          <cell r="O432">
            <v>0</v>
          </cell>
          <cell r="P432">
            <v>0</v>
          </cell>
          <cell r="Q432">
            <v>145.82</v>
          </cell>
        </row>
        <row r="433">
          <cell r="A433" t="str">
            <v>Total Disposal of Assets and Operations</v>
          </cell>
          <cell r="E433">
            <v>0</v>
          </cell>
          <cell r="F433">
            <v>0</v>
          </cell>
          <cell r="G433">
            <v>0</v>
          </cell>
          <cell r="H433">
            <v>145.82</v>
          </cell>
          <cell r="I433">
            <v>0</v>
          </cell>
          <cell r="J433">
            <v>0</v>
          </cell>
          <cell r="K433">
            <v>0</v>
          </cell>
          <cell r="L433">
            <v>0</v>
          </cell>
          <cell r="M433">
            <v>0</v>
          </cell>
          <cell r="N433">
            <v>0</v>
          </cell>
          <cell r="O433">
            <v>0</v>
          </cell>
          <cell r="P433">
            <v>0</v>
          </cell>
          <cell r="Q433">
            <v>145.82</v>
          </cell>
        </row>
        <row r="435">
          <cell r="A435" t="str">
            <v>Total Operating Costs</v>
          </cell>
          <cell r="E435">
            <v>556322.18999999994</v>
          </cell>
          <cell r="F435">
            <v>483088.13</v>
          </cell>
          <cell r="G435">
            <v>533902.79</v>
          </cell>
          <cell r="H435">
            <v>564081.47</v>
          </cell>
          <cell r="I435">
            <v>483474.26</v>
          </cell>
          <cell r="J435">
            <v>500744.69999999995</v>
          </cell>
          <cell r="K435">
            <v>514379.49999999994</v>
          </cell>
          <cell r="L435">
            <v>499533.73</v>
          </cell>
          <cell r="M435">
            <v>480587.02</v>
          </cell>
          <cell r="N435">
            <v>468427.15999999992</v>
          </cell>
          <cell r="O435">
            <v>510740</v>
          </cell>
          <cell r="P435">
            <v>507649</v>
          </cell>
          <cell r="Q435">
            <v>6102929.9500000002</v>
          </cell>
        </row>
        <row r="437">
          <cell r="A437" t="str">
            <v>Gross Profit</v>
          </cell>
          <cell r="E437">
            <v>283635.74000000011</v>
          </cell>
          <cell r="F437">
            <v>397011.87</v>
          </cell>
          <cell r="G437">
            <v>293409.25999999989</v>
          </cell>
          <cell r="H437">
            <v>295183.43000000005</v>
          </cell>
          <cell r="I437">
            <v>372092.71999999974</v>
          </cell>
          <cell r="J437">
            <v>350748.59000000008</v>
          </cell>
          <cell r="K437">
            <v>347516.12000000005</v>
          </cell>
          <cell r="L437">
            <v>388020.01</v>
          </cell>
          <cell r="M437">
            <v>377828.52</v>
          </cell>
          <cell r="N437">
            <v>382225.52999999991</v>
          </cell>
          <cell r="O437">
            <v>311431.2100000002</v>
          </cell>
          <cell r="P437">
            <v>306754.91999999981</v>
          </cell>
          <cell r="Q437">
            <v>4105857.9199999953</v>
          </cell>
        </row>
        <row r="439">
          <cell r="A439" t="str">
            <v>SG&amp;A</v>
          </cell>
        </row>
        <row r="440">
          <cell r="A440" t="str">
            <v>Sales</v>
          </cell>
        </row>
        <row r="441">
          <cell r="A441">
            <v>60010</v>
          </cell>
          <cell r="B441" t="str">
            <v>Salaries</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v>60020</v>
          </cell>
          <cell r="B442" t="str">
            <v>Wages Regular</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v>60025</v>
          </cell>
          <cell r="B443" t="str">
            <v>Wages O.T.</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v>60030</v>
          </cell>
          <cell r="B444" t="str">
            <v>Bonuses and Commissions</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v>60035</v>
          </cell>
          <cell r="B445" t="str">
            <v>Safety Bonuses</v>
          </cell>
          <cell r="E445">
            <v>0</v>
          </cell>
          <cell r="F445">
            <v>0</v>
          </cell>
          <cell r="G445">
            <v>0</v>
          </cell>
          <cell r="H445">
            <v>0</v>
          </cell>
          <cell r="I445">
            <v>0</v>
          </cell>
          <cell r="J445">
            <v>0</v>
          </cell>
          <cell r="K445">
            <v>0</v>
          </cell>
          <cell r="L445">
            <v>0</v>
          </cell>
          <cell r="M445">
            <v>0</v>
          </cell>
          <cell r="N445">
            <v>0</v>
          </cell>
          <cell r="O445">
            <v>0</v>
          </cell>
          <cell r="P445">
            <v>0</v>
          </cell>
          <cell r="Q445">
            <v>0</v>
          </cell>
        </row>
        <row r="446">
          <cell r="A446">
            <v>60037</v>
          </cell>
          <cell r="B446" t="str">
            <v>Termination Pay</v>
          </cell>
          <cell r="E446">
            <v>0</v>
          </cell>
          <cell r="F446">
            <v>0</v>
          </cell>
          <cell r="G446">
            <v>0</v>
          </cell>
          <cell r="H446">
            <v>0</v>
          </cell>
          <cell r="I446">
            <v>0</v>
          </cell>
          <cell r="J446">
            <v>0</v>
          </cell>
          <cell r="K446">
            <v>0</v>
          </cell>
          <cell r="L446">
            <v>0</v>
          </cell>
          <cell r="M446">
            <v>0</v>
          </cell>
          <cell r="N446">
            <v>0</v>
          </cell>
          <cell r="O446">
            <v>0</v>
          </cell>
          <cell r="P446">
            <v>0</v>
          </cell>
          <cell r="Q446">
            <v>0</v>
          </cell>
        </row>
        <row r="447">
          <cell r="A447">
            <v>60045</v>
          </cell>
          <cell r="B447" t="str">
            <v>Contract Labor</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v>60050</v>
          </cell>
          <cell r="B448" t="str">
            <v>Payroll Taxes</v>
          </cell>
          <cell r="E448">
            <v>0</v>
          </cell>
          <cell r="F448">
            <v>0</v>
          </cell>
          <cell r="G448">
            <v>0</v>
          </cell>
          <cell r="H448">
            <v>0</v>
          </cell>
          <cell r="I448">
            <v>0</v>
          </cell>
          <cell r="J448">
            <v>0</v>
          </cell>
          <cell r="K448">
            <v>0</v>
          </cell>
          <cell r="L448">
            <v>0</v>
          </cell>
          <cell r="M448">
            <v>0</v>
          </cell>
          <cell r="N448">
            <v>0</v>
          </cell>
          <cell r="O448">
            <v>0</v>
          </cell>
          <cell r="P448">
            <v>0</v>
          </cell>
          <cell r="Q448">
            <v>0</v>
          </cell>
        </row>
        <row r="449">
          <cell r="A449">
            <v>60060</v>
          </cell>
          <cell r="B449" t="str">
            <v>Group Insurance</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v>60065</v>
          </cell>
          <cell r="B450" t="str">
            <v>Vacation Pay</v>
          </cell>
          <cell r="E450">
            <v>0</v>
          </cell>
          <cell r="F450">
            <v>0</v>
          </cell>
          <cell r="G450">
            <v>0</v>
          </cell>
          <cell r="H450">
            <v>0</v>
          </cell>
          <cell r="I450">
            <v>0</v>
          </cell>
          <cell r="J450">
            <v>0</v>
          </cell>
          <cell r="K450">
            <v>0</v>
          </cell>
          <cell r="L450">
            <v>0</v>
          </cell>
          <cell r="M450">
            <v>0</v>
          </cell>
          <cell r="N450">
            <v>0</v>
          </cell>
          <cell r="O450">
            <v>0</v>
          </cell>
          <cell r="P450">
            <v>0</v>
          </cell>
          <cell r="Q450">
            <v>0</v>
          </cell>
        </row>
        <row r="451">
          <cell r="A451">
            <v>60070</v>
          </cell>
          <cell r="B451" t="str">
            <v>Sick Pay</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v>60086</v>
          </cell>
          <cell r="B452" t="str">
            <v>Safety and Training</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v>60095</v>
          </cell>
          <cell r="B453" t="str">
            <v>Empl &amp; Commun Activ</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v>60105</v>
          </cell>
          <cell r="B454" t="str">
            <v>Employee Relocation</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v>60115</v>
          </cell>
          <cell r="B455" t="str">
            <v>School Tuition</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v>60116</v>
          </cell>
          <cell r="B456" t="str">
            <v>Pension and Profit Sharing</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A457">
            <v>60117</v>
          </cell>
          <cell r="B457" t="str">
            <v>Union Pension</v>
          </cell>
          <cell r="E457">
            <v>0</v>
          </cell>
          <cell r="F457">
            <v>0</v>
          </cell>
          <cell r="G457">
            <v>0</v>
          </cell>
          <cell r="H457">
            <v>0</v>
          </cell>
          <cell r="I457">
            <v>0</v>
          </cell>
          <cell r="J457">
            <v>0</v>
          </cell>
          <cell r="K457">
            <v>0</v>
          </cell>
          <cell r="L457">
            <v>0</v>
          </cell>
          <cell r="M457">
            <v>0</v>
          </cell>
          <cell r="N457">
            <v>0</v>
          </cell>
          <cell r="O457">
            <v>0</v>
          </cell>
          <cell r="P457">
            <v>0</v>
          </cell>
          <cell r="Q457">
            <v>0</v>
          </cell>
        </row>
        <row r="458">
          <cell r="A458">
            <v>60148</v>
          </cell>
          <cell r="B458" t="str">
            <v>Allocated Exp In - District</v>
          </cell>
          <cell r="E458">
            <v>0</v>
          </cell>
          <cell r="F458">
            <v>0</v>
          </cell>
          <cell r="G458">
            <v>0</v>
          </cell>
          <cell r="H458">
            <v>0</v>
          </cell>
          <cell r="I458">
            <v>0</v>
          </cell>
          <cell r="J458">
            <v>0</v>
          </cell>
          <cell r="K458">
            <v>0</v>
          </cell>
          <cell r="L458">
            <v>0</v>
          </cell>
          <cell r="M458">
            <v>0</v>
          </cell>
          <cell r="N458">
            <v>0</v>
          </cell>
          <cell r="O458">
            <v>0</v>
          </cell>
          <cell r="P458">
            <v>0</v>
          </cell>
          <cell r="Q458">
            <v>0</v>
          </cell>
        </row>
        <row r="459">
          <cell r="A459">
            <v>60149</v>
          </cell>
          <cell r="B459" t="str">
            <v>Allocated Exp In Out - District</v>
          </cell>
          <cell r="E459">
            <v>0</v>
          </cell>
          <cell r="F459">
            <v>0</v>
          </cell>
          <cell r="G459">
            <v>0</v>
          </cell>
          <cell r="H459">
            <v>0</v>
          </cell>
          <cell r="I459">
            <v>0</v>
          </cell>
          <cell r="J459">
            <v>0</v>
          </cell>
          <cell r="K459">
            <v>0</v>
          </cell>
          <cell r="L459">
            <v>0</v>
          </cell>
          <cell r="M459">
            <v>0</v>
          </cell>
          <cell r="N459">
            <v>0</v>
          </cell>
          <cell r="O459">
            <v>0</v>
          </cell>
          <cell r="P459">
            <v>0</v>
          </cell>
          <cell r="Q459">
            <v>0</v>
          </cell>
        </row>
        <row r="460">
          <cell r="A460">
            <v>60165</v>
          </cell>
          <cell r="B460" t="str">
            <v>Communications</v>
          </cell>
          <cell r="E460">
            <v>0</v>
          </cell>
          <cell r="F460">
            <v>0</v>
          </cell>
          <cell r="G460">
            <v>0</v>
          </cell>
          <cell r="H460">
            <v>0</v>
          </cell>
          <cell r="I460">
            <v>0</v>
          </cell>
          <cell r="J460">
            <v>0</v>
          </cell>
          <cell r="K460">
            <v>0</v>
          </cell>
          <cell r="L460">
            <v>0</v>
          </cell>
          <cell r="M460">
            <v>0</v>
          </cell>
          <cell r="N460">
            <v>0</v>
          </cell>
          <cell r="O460">
            <v>0</v>
          </cell>
          <cell r="P460">
            <v>0</v>
          </cell>
          <cell r="Q460">
            <v>0</v>
          </cell>
        </row>
        <row r="461">
          <cell r="A461">
            <v>60170</v>
          </cell>
          <cell r="B461" t="str">
            <v>Real Estate Rentals</v>
          </cell>
          <cell r="E461">
            <v>0</v>
          </cell>
          <cell r="F461">
            <v>0</v>
          </cell>
          <cell r="G461">
            <v>0</v>
          </cell>
          <cell r="H461">
            <v>0</v>
          </cell>
          <cell r="I461">
            <v>0</v>
          </cell>
          <cell r="J461">
            <v>0</v>
          </cell>
          <cell r="K461">
            <v>0</v>
          </cell>
          <cell r="L461">
            <v>0</v>
          </cell>
          <cell r="M461">
            <v>0</v>
          </cell>
          <cell r="N461">
            <v>0</v>
          </cell>
          <cell r="O461">
            <v>0</v>
          </cell>
          <cell r="P461">
            <v>0</v>
          </cell>
          <cell r="Q461">
            <v>0</v>
          </cell>
        </row>
        <row r="462">
          <cell r="A462">
            <v>60175</v>
          </cell>
          <cell r="B462" t="str">
            <v>Equip/Vehicle Rental</v>
          </cell>
          <cell r="E462">
            <v>0</v>
          </cell>
          <cell r="F462">
            <v>0</v>
          </cell>
          <cell r="G462">
            <v>0</v>
          </cell>
          <cell r="H462">
            <v>0</v>
          </cell>
          <cell r="I462">
            <v>0</v>
          </cell>
          <cell r="J462">
            <v>0</v>
          </cell>
          <cell r="K462">
            <v>0</v>
          </cell>
          <cell r="L462">
            <v>0</v>
          </cell>
          <cell r="M462">
            <v>0</v>
          </cell>
          <cell r="N462">
            <v>0</v>
          </cell>
          <cell r="O462">
            <v>0</v>
          </cell>
          <cell r="P462">
            <v>0</v>
          </cell>
          <cell r="Q462">
            <v>0</v>
          </cell>
        </row>
        <row r="463">
          <cell r="A463">
            <v>60185</v>
          </cell>
          <cell r="B463" t="str">
            <v>Postage</v>
          </cell>
          <cell r="E463">
            <v>0</v>
          </cell>
          <cell r="F463">
            <v>0</v>
          </cell>
          <cell r="G463">
            <v>0</v>
          </cell>
          <cell r="H463">
            <v>0</v>
          </cell>
          <cell r="I463">
            <v>0</v>
          </cell>
          <cell r="J463">
            <v>0</v>
          </cell>
          <cell r="K463">
            <v>0</v>
          </cell>
          <cell r="L463">
            <v>0</v>
          </cell>
          <cell r="M463">
            <v>0</v>
          </cell>
          <cell r="N463">
            <v>0</v>
          </cell>
          <cell r="O463">
            <v>0</v>
          </cell>
          <cell r="P463">
            <v>0</v>
          </cell>
          <cell r="Q463">
            <v>0</v>
          </cell>
        </row>
        <row r="464">
          <cell r="A464">
            <v>60195</v>
          </cell>
          <cell r="B464" t="str">
            <v>Dues and Subscriptions</v>
          </cell>
          <cell r="E464">
            <v>0</v>
          </cell>
          <cell r="F464">
            <v>0</v>
          </cell>
          <cell r="G464">
            <v>0</v>
          </cell>
          <cell r="H464">
            <v>0</v>
          </cell>
          <cell r="I464">
            <v>0</v>
          </cell>
          <cell r="J464">
            <v>0</v>
          </cell>
          <cell r="K464">
            <v>0</v>
          </cell>
          <cell r="L464">
            <v>0</v>
          </cell>
          <cell r="M464">
            <v>0</v>
          </cell>
          <cell r="N464">
            <v>0</v>
          </cell>
          <cell r="O464">
            <v>0</v>
          </cell>
          <cell r="P464">
            <v>0</v>
          </cell>
          <cell r="Q464">
            <v>0</v>
          </cell>
        </row>
        <row r="465">
          <cell r="A465">
            <v>60196</v>
          </cell>
          <cell r="B465" t="str">
            <v>Club Dues</v>
          </cell>
          <cell r="E465">
            <v>0</v>
          </cell>
          <cell r="F465">
            <v>0</v>
          </cell>
          <cell r="G465">
            <v>0</v>
          </cell>
          <cell r="H465">
            <v>0</v>
          </cell>
          <cell r="I465">
            <v>0</v>
          </cell>
          <cell r="J465">
            <v>0</v>
          </cell>
          <cell r="K465">
            <v>0</v>
          </cell>
          <cell r="L465">
            <v>0</v>
          </cell>
          <cell r="M465">
            <v>0</v>
          </cell>
          <cell r="N465">
            <v>0</v>
          </cell>
          <cell r="O465">
            <v>0</v>
          </cell>
          <cell r="P465">
            <v>0</v>
          </cell>
          <cell r="Q465">
            <v>0</v>
          </cell>
        </row>
        <row r="466">
          <cell r="A466">
            <v>60200</v>
          </cell>
          <cell r="B466" t="str">
            <v>Travel</v>
          </cell>
          <cell r="E466">
            <v>0</v>
          </cell>
          <cell r="F466">
            <v>0</v>
          </cell>
          <cell r="G466">
            <v>0</v>
          </cell>
          <cell r="H466">
            <v>0</v>
          </cell>
          <cell r="I466">
            <v>0</v>
          </cell>
          <cell r="J466">
            <v>0</v>
          </cell>
          <cell r="K466">
            <v>0</v>
          </cell>
          <cell r="L466">
            <v>0</v>
          </cell>
          <cell r="M466">
            <v>0</v>
          </cell>
          <cell r="N466">
            <v>0</v>
          </cell>
          <cell r="O466">
            <v>0</v>
          </cell>
          <cell r="P466">
            <v>0</v>
          </cell>
          <cell r="Q466">
            <v>0</v>
          </cell>
        </row>
        <row r="467">
          <cell r="A467">
            <v>60201</v>
          </cell>
          <cell r="B467" t="str">
            <v>Entertainment</v>
          </cell>
          <cell r="E467">
            <v>0</v>
          </cell>
          <cell r="F467">
            <v>0</v>
          </cell>
          <cell r="G467">
            <v>0</v>
          </cell>
          <cell r="H467">
            <v>0</v>
          </cell>
          <cell r="I467">
            <v>0</v>
          </cell>
          <cell r="J467">
            <v>0</v>
          </cell>
          <cell r="K467">
            <v>0</v>
          </cell>
          <cell r="L467">
            <v>0</v>
          </cell>
          <cell r="M467">
            <v>0</v>
          </cell>
          <cell r="N467">
            <v>0</v>
          </cell>
          <cell r="O467">
            <v>0</v>
          </cell>
          <cell r="P467">
            <v>0</v>
          </cell>
          <cell r="Q467">
            <v>0</v>
          </cell>
        </row>
        <row r="468">
          <cell r="A468">
            <v>60205</v>
          </cell>
          <cell r="B468" t="str">
            <v>Travel - Auto</v>
          </cell>
          <cell r="E468">
            <v>0</v>
          </cell>
          <cell r="F468">
            <v>0</v>
          </cell>
          <cell r="G468">
            <v>0</v>
          </cell>
          <cell r="H468">
            <v>0</v>
          </cell>
          <cell r="I468">
            <v>0</v>
          </cell>
          <cell r="J468">
            <v>0</v>
          </cell>
          <cell r="K468">
            <v>0</v>
          </cell>
          <cell r="L468">
            <v>0</v>
          </cell>
          <cell r="M468">
            <v>0</v>
          </cell>
          <cell r="N468">
            <v>0</v>
          </cell>
          <cell r="O468">
            <v>0</v>
          </cell>
          <cell r="P468">
            <v>0</v>
          </cell>
          <cell r="Q468">
            <v>0</v>
          </cell>
        </row>
        <row r="469">
          <cell r="A469">
            <v>60210</v>
          </cell>
          <cell r="B469" t="str">
            <v>Office Supplies and Equip</v>
          </cell>
          <cell r="E469">
            <v>0</v>
          </cell>
          <cell r="F469">
            <v>0</v>
          </cell>
          <cell r="G469">
            <v>0</v>
          </cell>
          <cell r="H469">
            <v>0</v>
          </cell>
          <cell r="I469">
            <v>0</v>
          </cell>
          <cell r="J469">
            <v>0</v>
          </cell>
          <cell r="K469">
            <v>0</v>
          </cell>
          <cell r="L469">
            <v>0</v>
          </cell>
          <cell r="M469">
            <v>0</v>
          </cell>
          <cell r="N469">
            <v>0</v>
          </cell>
          <cell r="O469">
            <v>0</v>
          </cell>
          <cell r="P469">
            <v>0</v>
          </cell>
          <cell r="Q469">
            <v>0</v>
          </cell>
        </row>
        <row r="470">
          <cell r="A470">
            <v>60225</v>
          </cell>
          <cell r="B470" t="str">
            <v>Advertising and Promotions</v>
          </cell>
          <cell r="E470">
            <v>0</v>
          </cell>
          <cell r="F470">
            <v>0</v>
          </cell>
          <cell r="G470">
            <v>0</v>
          </cell>
          <cell r="H470">
            <v>0</v>
          </cell>
          <cell r="I470">
            <v>0</v>
          </cell>
          <cell r="J470">
            <v>0</v>
          </cell>
          <cell r="K470">
            <v>0</v>
          </cell>
          <cell r="L470">
            <v>0</v>
          </cell>
          <cell r="M470">
            <v>0</v>
          </cell>
          <cell r="N470">
            <v>0</v>
          </cell>
          <cell r="O470">
            <v>0</v>
          </cell>
          <cell r="P470">
            <v>3237.6</v>
          </cell>
          <cell r="Q470">
            <v>3237.6</v>
          </cell>
        </row>
        <row r="471">
          <cell r="A471">
            <v>60234</v>
          </cell>
          <cell r="B471" t="str">
            <v>O/S Sales Exp</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v>60255</v>
          </cell>
          <cell r="B472" t="str">
            <v>Other Prof Fees</v>
          </cell>
          <cell r="E472">
            <v>0</v>
          </cell>
          <cell r="F472">
            <v>0</v>
          </cell>
          <cell r="G472">
            <v>0</v>
          </cell>
          <cell r="H472">
            <v>0</v>
          </cell>
          <cell r="I472">
            <v>0</v>
          </cell>
          <cell r="J472">
            <v>0</v>
          </cell>
          <cell r="K472">
            <v>0</v>
          </cell>
          <cell r="L472">
            <v>0</v>
          </cell>
          <cell r="M472">
            <v>0</v>
          </cell>
          <cell r="N472">
            <v>0</v>
          </cell>
          <cell r="O472">
            <v>0</v>
          </cell>
          <cell r="P472">
            <v>0</v>
          </cell>
          <cell r="Q472">
            <v>0</v>
          </cell>
        </row>
        <row r="473">
          <cell r="A473">
            <v>60326</v>
          </cell>
          <cell r="B473" t="str">
            <v>Deduct - Current Yr</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A474">
            <v>60327</v>
          </cell>
          <cell r="B474" t="str">
            <v>Deduct - Damage</v>
          </cell>
          <cell r="E474">
            <v>0</v>
          </cell>
          <cell r="F474">
            <v>0</v>
          </cell>
          <cell r="G474">
            <v>0</v>
          </cell>
          <cell r="H474">
            <v>0</v>
          </cell>
          <cell r="I474">
            <v>0</v>
          </cell>
          <cell r="J474">
            <v>0</v>
          </cell>
          <cell r="K474">
            <v>0</v>
          </cell>
          <cell r="L474">
            <v>0</v>
          </cell>
          <cell r="M474">
            <v>0</v>
          </cell>
          <cell r="N474">
            <v>0</v>
          </cell>
          <cell r="O474">
            <v>0</v>
          </cell>
          <cell r="P474">
            <v>0</v>
          </cell>
          <cell r="Q474">
            <v>0</v>
          </cell>
        </row>
        <row r="475">
          <cell r="A475">
            <v>60328</v>
          </cell>
          <cell r="B475" t="str">
            <v>Claim Recoveries</v>
          </cell>
          <cell r="E475">
            <v>0</v>
          </cell>
          <cell r="F475">
            <v>0</v>
          </cell>
          <cell r="G475">
            <v>0</v>
          </cell>
          <cell r="H475">
            <v>0</v>
          </cell>
          <cell r="I475">
            <v>0</v>
          </cell>
          <cell r="J475">
            <v>0</v>
          </cell>
          <cell r="K475">
            <v>0</v>
          </cell>
          <cell r="L475">
            <v>0</v>
          </cell>
          <cell r="M475">
            <v>0</v>
          </cell>
          <cell r="N475">
            <v>0</v>
          </cell>
          <cell r="O475">
            <v>0</v>
          </cell>
          <cell r="P475">
            <v>0</v>
          </cell>
          <cell r="Q475">
            <v>0</v>
          </cell>
        </row>
        <row r="476">
          <cell r="A476">
            <v>60330</v>
          </cell>
          <cell r="B476" t="str">
            <v>Deduct Prior Year</v>
          </cell>
          <cell r="E476">
            <v>0</v>
          </cell>
          <cell r="F476">
            <v>0</v>
          </cell>
          <cell r="G476">
            <v>0</v>
          </cell>
          <cell r="H476">
            <v>0</v>
          </cell>
          <cell r="I476">
            <v>0</v>
          </cell>
          <cell r="J476">
            <v>0</v>
          </cell>
          <cell r="K476">
            <v>0</v>
          </cell>
          <cell r="L476">
            <v>0</v>
          </cell>
          <cell r="M476">
            <v>0</v>
          </cell>
          <cell r="N476">
            <v>0</v>
          </cell>
          <cell r="O476">
            <v>0</v>
          </cell>
          <cell r="P476">
            <v>0</v>
          </cell>
          <cell r="Q476">
            <v>0</v>
          </cell>
        </row>
        <row r="477">
          <cell r="A477">
            <v>60335</v>
          </cell>
          <cell r="B477" t="str">
            <v>Miscellaneous</v>
          </cell>
          <cell r="E477">
            <v>0</v>
          </cell>
          <cell r="F477">
            <v>0</v>
          </cell>
          <cell r="G477">
            <v>0</v>
          </cell>
          <cell r="H477">
            <v>0</v>
          </cell>
          <cell r="I477">
            <v>0</v>
          </cell>
          <cell r="J477">
            <v>0</v>
          </cell>
          <cell r="K477">
            <v>0</v>
          </cell>
          <cell r="L477">
            <v>0</v>
          </cell>
          <cell r="M477">
            <v>0</v>
          </cell>
          <cell r="N477">
            <v>0</v>
          </cell>
          <cell r="O477">
            <v>0</v>
          </cell>
          <cell r="P477">
            <v>0</v>
          </cell>
          <cell r="Q477">
            <v>0</v>
          </cell>
        </row>
        <row r="478">
          <cell r="A478">
            <v>60998</v>
          </cell>
          <cell r="B478" t="str">
            <v>Allocation Out - District</v>
          </cell>
          <cell r="E478">
            <v>0</v>
          </cell>
          <cell r="F478">
            <v>0</v>
          </cell>
          <cell r="G478">
            <v>0</v>
          </cell>
          <cell r="H478">
            <v>0</v>
          </cell>
          <cell r="I478">
            <v>0</v>
          </cell>
          <cell r="J478">
            <v>0</v>
          </cell>
          <cell r="K478">
            <v>0</v>
          </cell>
          <cell r="L478">
            <v>0</v>
          </cell>
          <cell r="M478">
            <v>0</v>
          </cell>
          <cell r="N478">
            <v>0</v>
          </cell>
          <cell r="O478">
            <v>0</v>
          </cell>
          <cell r="P478">
            <v>0</v>
          </cell>
          <cell r="Q478">
            <v>0</v>
          </cell>
        </row>
        <row r="479">
          <cell r="A479">
            <v>60999</v>
          </cell>
          <cell r="B479" t="str">
            <v>Allocation Out - Out District</v>
          </cell>
          <cell r="E479">
            <v>0</v>
          </cell>
          <cell r="F479">
            <v>0</v>
          </cell>
          <cell r="G479">
            <v>0</v>
          </cell>
          <cell r="H479">
            <v>0</v>
          </cell>
          <cell r="I479">
            <v>0</v>
          </cell>
          <cell r="J479">
            <v>0</v>
          </cell>
          <cell r="K479">
            <v>0</v>
          </cell>
          <cell r="L479">
            <v>0</v>
          </cell>
          <cell r="M479">
            <v>0</v>
          </cell>
          <cell r="N479">
            <v>0</v>
          </cell>
          <cell r="O479">
            <v>0</v>
          </cell>
          <cell r="P479">
            <v>0</v>
          </cell>
          <cell r="Q479">
            <v>0</v>
          </cell>
        </row>
        <row r="480">
          <cell r="A480" t="str">
            <v>Total Sales</v>
          </cell>
          <cell r="E480">
            <v>0</v>
          </cell>
          <cell r="F480">
            <v>0</v>
          </cell>
          <cell r="G480">
            <v>0</v>
          </cell>
          <cell r="H480">
            <v>0</v>
          </cell>
          <cell r="I480">
            <v>0</v>
          </cell>
          <cell r="J480">
            <v>0</v>
          </cell>
          <cell r="K480">
            <v>0</v>
          </cell>
          <cell r="L480">
            <v>0</v>
          </cell>
          <cell r="M480">
            <v>0</v>
          </cell>
          <cell r="N480">
            <v>0</v>
          </cell>
          <cell r="O480">
            <v>0</v>
          </cell>
          <cell r="P480">
            <v>3237.6</v>
          </cell>
          <cell r="Q480">
            <v>3237.6</v>
          </cell>
        </row>
        <row r="482">
          <cell r="A482" t="str">
            <v>G&amp;A</v>
          </cell>
        </row>
        <row r="483">
          <cell r="A483">
            <v>70010</v>
          </cell>
          <cell r="B483" t="str">
            <v>Salaries</v>
          </cell>
          <cell r="E483">
            <v>28808.37</v>
          </cell>
          <cell r="F483">
            <v>29237.93</v>
          </cell>
          <cell r="G483">
            <v>34055.660000000003</v>
          </cell>
          <cell r="H483">
            <v>32303.54</v>
          </cell>
          <cell r="I483">
            <v>32394.99</v>
          </cell>
          <cell r="J483">
            <v>34374</v>
          </cell>
          <cell r="K483">
            <v>35547.46</v>
          </cell>
          <cell r="L483">
            <v>34794.910000000003</v>
          </cell>
          <cell r="M483">
            <v>35448.120000000003</v>
          </cell>
          <cell r="N483">
            <v>34195.99</v>
          </cell>
          <cell r="O483">
            <v>35269.089999999997</v>
          </cell>
          <cell r="P483">
            <v>37099.64</v>
          </cell>
          <cell r="Q483">
            <v>403529.69999999995</v>
          </cell>
        </row>
        <row r="484">
          <cell r="A484">
            <v>70015</v>
          </cell>
          <cell r="B484" t="str">
            <v>Deferred Comp Earnings</v>
          </cell>
          <cell r="E484">
            <v>0</v>
          </cell>
          <cell r="F484">
            <v>0</v>
          </cell>
          <cell r="G484">
            <v>0</v>
          </cell>
          <cell r="H484">
            <v>0</v>
          </cell>
          <cell r="I484">
            <v>0</v>
          </cell>
          <cell r="J484">
            <v>0</v>
          </cell>
          <cell r="K484">
            <v>0</v>
          </cell>
          <cell r="L484">
            <v>0</v>
          </cell>
          <cell r="M484">
            <v>0</v>
          </cell>
          <cell r="N484">
            <v>0</v>
          </cell>
          <cell r="O484">
            <v>0</v>
          </cell>
          <cell r="P484">
            <v>0</v>
          </cell>
          <cell r="Q484">
            <v>0</v>
          </cell>
        </row>
        <row r="485">
          <cell r="A485">
            <v>70020</v>
          </cell>
          <cell r="B485" t="str">
            <v>Wages Regular</v>
          </cell>
          <cell r="E485">
            <v>28572.240000000002</v>
          </cell>
          <cell r="F485">
            <v>30096.06</v>
          </cell>
          <cell r="G485">
            <v>32883.68</v>
          </cell>
          <cell r="H485">
            <v>33553.279999999999</v>
          </cell>
          <cell r="I485">
            <v>27323.32</v>
          </cell>
          <cell r="J485">
            <v>31281.360000000001</v>
          </cell>
          <cell r="K485">
            <v>28636.82</v>
          </cell>
          <cell r="L485">
            <v>32591.07</v>
          </cell>
          <cell r="M485">
            <v>25152.99</v>
          </cell>
          <cell r="N485">
            <v>26476.49</v>
          </cell>
          <cell r="O485">
            <v>29556.5</v>
          </cell>
          <cell r="P485">
            <v>26409.97</v>
          </cell>
          <cell r="Q485">
            <v>352533.78</v>
          </cell>
        </row>
        <row r="486">
          <cell r="A486">
            <v>70025</v>
          </cell>
          <cell r="B486" t="str">
            <v>Wages O.T.</v>
          </cell>
          <cell r="E486">
            <v>1534.05</v>
          </cell>
          <cell r="F486">
            <v>1546.14</v>
          </cell>
          <cell r="G486">
            <v>1142.1400000000001</v>
          </cell>
          <cell r="H486">
            <v>1991.39</v>
          </cell>
          <cell r="I486">
            <v>1423.14</v>
          </cell>
          <cell r="J486">
            <v>1581.5</v>
          </cell>
          <cell r="K486">
            <v>577.54</v>
          </cell>
          <cell r="L486">
            <v>3583.2</v>
          </cell>
          <cell r="M486">
            <v>1079.97</v>
          </cell>
          <cell r="N486">
            <v>1516.27</v>
          </cell>
          <cell r="O486">
            <v>2000.96</v>
          </cell>
          <cell r="P486">
            <v>1477.46</v>
          </cell>
          <cell r="Q486">
            <v>19453.760000000002</v>
          </cell>
        </row>
        <row r="487">
          <cell r="A487">
            <v>70030</v>
          </cell>
          <cell r="B487" t="str">
            <v>Corp Allocated Bonus</v>
          </cell>
          <cell r="E487">
            <v>0</v>
          </cell>
          <cell r="F487">
            <v>0</v>
          </cell>
          <cell r="G487">
            <v>0</v>
          </cell>
          <cell r="H487">
            <v>0</v>
          </cell>
          <cell r="I487">
            <v>0</v>
          </cell>
          <cell r="J487">
            <v>0</v>
          </cell>
          <cell r="K487">
            <v>0</v>
          </cell>
          <cell r="L487">
            <v>0</v>
          </cell>
          <cell r="M487">
            <v>0</v>
          </cell>
          <cell r="N487">
            <v>0</v>
          </cell>
          <cell r="O487">
            <v>0</v>
          </cell>
          <cell r="P487">
            <v>0</v>
          </cell>
          <cell r="Q487">
            <v>0</v>
          </cell>
        </row>
        <row r="488">
          <cell r="A488">
            <v>70035</v>
          </cell>
          <cell r="B488" t="str">
            <v>Safety Bonuses</v>
          </cell>
          <cell r="E488">
            <v>0</v>
          </cell>
          <cell r="F488">
            <v>0</v>
          </cell>
          <cell r="G488">
            <v>0</v>
          </cell>
          <cell r="H488">
            <v>0</v>
          </cell>
          <cell r="I488">
            <v>0</v>
          </cell>
          <cell r="J488">
            <v>0</v>
          </cell>
          <cell r="K488">
            <v>0</v>
          </cell>
          <cell r="L488">
            <v>0</v>
          </cell>
          <cell r="M488">
            <v>0</v>
          </cell>
          <cell r="N488">
            <v>0</v>
          </cell>
          <cell r="O488">
            <v>0</v>
          </cell>
          <cell r="P488">
            <v>0</v>
          </cell>
          <cell r="Q488">
            <v>0</v>
          </cell>
        </row>
        <row r="489">
          <cell r="A489">
            <v>70036</v>
          </cell>
          <cell r="B489" t="str">
            <v>Other Bonus/Commission - Non-Safety</v>
          </cell>
          <cell r="E489">
            <v>1075</v>
          </cell>
          <cell r="F489">
            <v>1675</v>
          </cell>
          <cell r="G489">
            <v>7455.5</v>
          </cell>
          <cell r="H489">
            <v>3066.38</v>
          </cell>
          <cell r="I489">
            <v>1438.95</v>
          </cell>
          <cell r="J489">
            <v>3016.36</v>
          </cell>
          <cell r="K489">
            <v>2625</v>
          </cell>
          <cell r="L489">
            <v>2678.43</v>
          </cell>
          <cell r="M489">
            <v>2913.79</v>
          </cell>
          <cell r="N489">
            <v>1746.4</v>
          </cell>
          <cell r="O489">
            <v>2652.32</v>
          </cell>
          <cell r="P489">
            <v>5362.05</v>
          </cell>
          <cell r="Q489">
            <v>35705.180000000008</v>
          </cell>
        </row>
        <row r="490">
          <cell r="A490">
            <v>70037</v>
          </cell>
          <cell r="B490" t="str">
            <v>Termination Pay</v>
          </cell>
          <cell r="E490">
            <v>0</v>
          </cell>
          <cell r="F490">
            <v>0</v>
          </cell>
          <cell r="G490">
            <v>0</v>
          </cell>
          <cell r="H490">
            <v>0</v>
          </cell>
          <cell r="I490">
            <v>0</v>
          </cell>
          <cell r="J490">
            <v>0</v>
          </cell>
          <cell r="K490">
            <v>0</v>
          </cell>
          <cell r="L490">
            <v>0</v>
          </cell>
          <cell r="M490">
            <v>0</v>
          </cell>
          <cell r="N490">
            <v>0</v>
          </cell>
          <cell r="O490">
            <v>0</v>
          </cell>
          <cell r="P490">
            <v>0</v>
          </cell>
          <cell r="Q490">
            <v>0</v>
          </cell>
        </row>
        <row r="491">
          <cell r="A491">
            <v>70045</v>
          </cell>
          <cell r="B491" t="str">
            <v>Contract Labor</v>
          </cell>
          <cell r="E491">
            <v>0</v>
          </cell>
          <cell r="F491">
            <v>0</v>
          </cell>
          <cell r="G491">
            <v>0</v>
          </cell>
          <cell r="H491">
            <v>0</v>
          </cell>
          <cell r="I491">
            <v>0</v>
          </cell>
          <cell r="J491">
            <v>0</v>
          </cell>
          <cell r="K491">
            <v>0</v>
          </cell>
          <cell r="L491">
            <v>0</v>
          </cell>
          <cell r="M491">
            <v>0</v>
          </cell>
          <cell r="N491">
            <v>0</v>
          </cell>
          <cell r="O491">
            <v>0</v>
          </cell>
          <cell r="P491">
            <v>0</v>
          </cell>
          <cell r="Q491">
            <v>0</v>
          </cell>
        </row>
        <row r="492">
          <cell r="A492">
            <v>70050</v>
          </cell>
          <cell r="B492" t="str">
            <v>Payroll Taxes</v>
          </cell>
          <cell r="E492">
            <v>7335.33</v>
          </cell>
          <cell r="F492">
            <v>5253.85</v>
          </cell>
          <cell r="G492">
            <v>6887.21</v>
          </cell>
          <cell r="H492">
            <v>5839.13</v>
          </cell>
          <cell r="I492">
            <v>4643.53</v>
          </cell>
          <cell r="J492">
            <v>5669.76</v>
          </cell>
          <cell r="K492">
            <v>4555.33</v>
          </cell>
          <cell r="L492">
            <v>5742.05</v>
          </cell>
          <cell r="M492">
            <v>4517.6899999999996</v>
          </cell>
          <cell r="N492">
            <v>4408.2</v>
          </cell>
          <cell r="O492">
            <v>4942.4399999999996</v>
          </cell>
          <cell r="P492">
            <v>5199.09</v>
          </cell>
          <cell r="Q492">
            <v>64993.61</v>
          </cell>
        </row>
        <row r="493">
          <cell r="A493">
            <v>70060</v>
          </cell>
          <cell r="B493" t="str">
            <v>Group Insurance</v>
          </cell>
          <cell r="E493">
            <v>11410.52</v>
          </cell>
          <cell r="F493">
            <v>11524.58</v>
          </cell>
          <cell r="G493">
            <v>10554.24</v>
          </cell>
          <cell r="H493">
            <v>13084.2</v>
          </cell>
          <cell r="I493">
            <v>12115.75</v>
          </cell>
          <cell r="J493">
            <v>12494.37</v>
          </cell>
          <cell r="K493">
            <v>12559.75</v>
          </cell>
          <cell r="L493">
            <v>12415.93</v>
          </cell>
          <cell r="M493">
            <v>11362.28</v>
          </cell>
          <cell r="N493">
            <v>13749.11</v>
          </cell>
          <cell r="O493">
            <v>12593.52</v>
          </cell>
          <cell r="P493">
            <v>12600.59</v>
          </cell>
          <cell r="Q493">
            <v>146464.84</v>
          </cell>
        </row>
        <row r="494">
          <cell r="A494">
            <v>70065</v>
          </cell>
          <cell r="B494" t="str">
            <v>Vacation Pay</v>
          </cell>
          <cell r="E494">
            <v>1582.88</v>
          </cell>
          <cell r="F494">
            <v>4413.99</v>
          </cell>
          <cell r="G494">
            <v>48.78</v>
          </cell>
          <cell r="H494">
            <v>2185.79</v>
          </cell>
          <cell r="I494">
            <v>4000.59</v>
          </cell>
          <cell r="J494">
            <v>-891.88</v>
          </cell>
          <cell r="K494">
            <v>4756.8500000000004</v>
          </cell>
          <cell r="L494">
            <v>2920.08</v>
          </cell>
          <cell r="M494">
            <v>4784.29</v>
          </cell>
          <cell r="N494">
            <v>3124.36</v>
          </cell>
          <cell r="O494">
            <v>2610.1999999999998</v>
          </cell>
          <cell r="P494">
            <v>4173.68</v>
          </cell>
          <cell r="Q494">
            <v>33709.61</v>
          </cell>
        </row>
        <row r="495">
          <cell r="A495">
            <v>70070</v>
          </cell>
          <cell r="B495" t="str">
            <v>Sick Pay</v>
          </cell>
          <cell r="E495">
            <v>396.68</v>
          </cell>
          <cell r="F495">
            <v>680.36</v>
          </cell>
          <cell r="G495">
            <v>1133.57</v>
          </cell>
          <cell r="H495">
            <v>674.93</v>
          </cell>
          <cell r="I495">
            <v>892.47</v>
          </cell>
          <cell r="J495">
            <v>554.58000000000004</v>
          </cell>
          <cell r="K495">
            <v>198.93</v>
          </cell>
          <cell r="L495">
            <v>122.21</v>
          </cell>
          <cell r="M495">
            <v>727.21</v>
          </cell>
          <cell r="N495">
            <v>366.82</v>
          </cell>
          <cell r="O495">
            <v>768.29</v>
          </cell>
          <cell r="P495">
            <v>121.28</v>
          </cell>
          <cell r="Q495">
            <v>6637.329999999999</v>
          </cell>
        </row>
        <row r="496">
          <cell r="A496">
            <v>70086</v>
          </cell>
          <cell r="B496" t="str">
            <v>Safety and Training</v>
          </cell>
          <cell r="E496">
            <v>14.8</v>
          </cell>
          <cell r="F496">
            <v>0</v>
          </cell>
          <cell r="G496">
            <v>0</v>
          </cell>
          <cell r="H496">
            <v>0</v>
          </cell>
          <cell r="I496">
            <v>0</v>
          </cell>
          <cell r="J496">
            <v>35.6</v>
          </cell>
          <cell r="K496">
            <v>0</v>
          </cell>
          <cell r="L496">
            <v>70</v>
          </cell>
          <cell r="M496">
            <v>0</v>
          </cell>
          <cell r="N496">
            <v>0</v>
          </cell>
          <cell r="O496">
            <v>0</v>
          </cell>
          <cell r="P496">
            <v>0</v>
          </cell>
          <cell r="Q496">
            <v>120.4</v>
          </cell>
        </row>
        <row r="497">
          <cell r="A497">
            <v>70090</v>
          </cell>
          <cell r="B497" t="str">
            <v>WCN Training</v>
          </cell>
          <cell r="E497">
            <v>0</v>
          </cell>
          <cell r="F497">
            <v>0</v>
          </cell>
          <cell r="G497">
            <v>0</v>
          </cell>
          <cell r="H497">
            <v>0</v>
          </cell>
          <cell r="I497">
            <v>0</v>
          </cell>
          <cell r="J497">
            <v>0</v>
          </cell>
          <cell r="K497">
            <v>0</v>
          </cell>
          <cell r="L497">
            <v>0</v>
          </cell>
          <cell r="M497">
            <v>0</v>
          </cell>
          <cell r="N497">
            <v>708.81</v>
          </cell>
          <cell r="O497">
            <v>-708.81</v>
          </cell>
          <cell r="P497">
            <v>0</v>
          </cell>
          <cell r="Q497">
            <v>0</v>
          </cell>
        </row>
        <row r="498">
          <cell r="A498">
            <v>70095</v>
          </cell>
          <cell r="B498" t="str">
            <v>Empl &amp; Commun Activ</v>
          </cell>
          <cell r="E498">
            <v>16986.41</v>
          </cell>
          <cell r="F498">
            <v>158.86000000000001</v>
          </cell>
          <cell r="G498">
            <v>1019.92</v>
          </cell>
          <cell r="H498">
            <v>210.51</v>
          </cell>
          <cell r="I498">
            <v>1580.13</v>
          </cell>
          <cell r="J498">
            <v>4162.7</v>
          </cell>
          <cell r="K498">
            <v>660.39</v>
          </cell>
          <cell r="L498">
            <v>2656.19</v>
          </cell>
          <cell r="M498">
            <v>517.80999999999995</v>
          </cell>
          <cell r="N498">
            <v>54.01</v>
          </cell>
          <cell r="O498">
            <v>1519.35</v>
          </cell>
          <cell r="P498">
            <v>3351.61</v>
          </cell>
          <cell r="Q498">
            <v>32877.889999999992</v>
          </cell>
        </row>
        <row r="499">
          <cell r="A499">
            <v>70105</v>
          </cell>
          <cell r="B499" t="str">
            <v>Employee Relocation</v>
          </cell>
          <cell r="E499">
            <v>381.64</v>
          </cell>
          <cell r="F499">
            <v>381.64</v>
          </cell>
          <cell r="G499">
            <v>381.64</v>
          </cell>
          <cell r="H499">
            <v>381.64</v>
          </cell>
          <cell r="I499">
            <v>381.64</v>
          </cell>
          <cell r="J499">
            <v>381.64</v>
          </cell>
          <cell r="K499">
            <v>381.64</v>
          </cell>
          <cell r="L499">
            <v>381.64</v>
          </cell>
          <cell r="M499">
            <v>381.64</v>
          </cell>
          <cell r="N499">
            <v>381.64</v>
          </cell>
          <cell r="O499">
            <v>381.64</v>
          </cell>
          <cell r="P499">
            <v>381.64</v>
          </cell>
          <cell r="Q499">
            <v>4579.6799999999994</v>
          </cell>
        </row>
        <row r="500">
          <cell r="A500">
            <v>70107</v>
          </cell>
          <cell r="B500" t="str">
            <v>Housing Subsidy</v>
          </cell>
          <cell r="E500">
            <v>0</v>
          </cell>
          <cell r="F500">
            <v>0</v>
          </cell>
          <cell r="G500">
            <v>0</v>
          </cell>
          <cell r="H500">
            <v>0</v>
          </cell>
          <cell r="I500">
            <v>0</v>
          </cell>
          <cell r="J500">
            <v>0</v>
          </cell>
          <cell r="K500">
            <v>0</v>
          </cell>
          <cell r="L500">
            <v>0</v>
          </cell>
          <cell r="M500">
            <v>0</v>
          </cell>
          <cell r="N500">
            <v>0</v>
          </cell>
          <cell r="O500">
            <v>0</v>
          </cell>
          <cell r="P500">
            <v>0</v>
          </cell>
          <cell r="Q500">
            <v>0</v>
          </cell>
        </row>
        <row r="501">
          <cell r="A501">
            <v>70108</v>
          </cell>
          <cell r="B501" t="str">
            <v>School Tuition</v>
          </cell>
          <cell r="E501">
            <v>0</v>
          </cell>
          <cell r="F501">
            <v>0</v>
          </cell>
          <cell r="G501">
            <v>0</v>
          </cell>
          <cell r="H501">
            <v>0</v>
          </cell>
          <cell r="I501">
            <v>0</v>
          </cell>
          <cell r="J501">
            <v>0</v>
          </cell>
          <cell r="K501">
            <v>0</v>
          </cell>
          <cell r="L501">
            <v>0</v>
          </cell>
          <cell r="M501">
            <v>0</v>
          </cell>
          <cell r="N501">
            <v>0</v>
          </cell>
          <cell r="O501">
            <v>0</v>
          </cell>
          <cell r="P501">
            <v>0</v>
          </cell>
          <cell r="Q501">
            <v>0</v>
          </cell>
        </row>
        <row r="502">
          <cell r="A502">
            <v>70110</v>
          </cell>
          <cell r="B502" t="str">
            <v>Contributions</v>
          </cell>
          <cell r="E502">
            <v>312.5</v>
          </cell>
          <cell r="F502">
            <v>5000</v>
          </cell>
          <cell r="G502">
            <v>0</v>
          </cell>
          <cell r="H502">
            <v>0</v>
          </cell>
          <cell r="I502">
            <v>0</v>
          </cell>
          <cell r="J502">
            <v>0</v>
          </cell>
          <cell r="K502">
            <v>1308.46</v>
          </cell>
          <cell r="L502">
            <v>0</v>
          </cell>
          <cell r="M502">
            <v>250</v>
          </cell>
          <cell r="N502">
            <v>0</v>
          </cell>
          <cell r="O502">
            <v>0</v>
          </cell>
          <cell r="P502">
            <v>0</v>
          </cell>
          <cell r="Q502">
            <v>6870.96</v>
          </cell>
        </row>
        <row r="503">
          <cell r="A503">
            <v>70111</v>
          </cell>
          <cell r="B503" t="str">
            <v>Non Cash Charitable</v>
          </cell>
          <cell r="E503">
            <v>0</v>
          </cell>
          <cell r="F503">
            <v>0</v>
          </cell>
          <cell r="G503">
            <v>0</v>
          </cell>
          <cell r="H503">
            <v>0</v>
          </cell>
          <cell r="I503">
            <v>0</v>
          </cell>
          <cell r="J503">
            <v>0</v>
          </cell>
          <cell r="K503">
            <v>0</v>
          </cell>
          <cell r="L503">
            <v>0</v>
          </cell>
          <cell r="M503">
            <v>0</v>
          </cell>
          <cell r="N503">
            <v>0</v>
          </cell>
          <cell r="O503">
            <v>0</v>
          </cell>
          <cell r="P503">
            <v>0</v>
          </cell>
          <cell r="Q503">
            <v>0</v>
          </cell>
        </row>
        <row r="504">
          <cell r="A504">
            <v>70112</v>
          </cell>
          <cell r="B504" t="str">
            <v>Political Contributions</v>
          </cell>
          <cell r="E504">
            <v>0</v>
          </cell>
          <cell r="F504">
            <v>0</v>
          </cell>
          <cell r="G504">
            <v>0</v>
          </cell>
          <cell r="H504">
            <v>0</v>
          </cell>
          <cell r="I504">
            <v>0</v>
          </cell>
          <cell r="J504">
            <v>0</v>
          </cell>
          <cell r="K504">
            <v>0</v>
          </cell>
          <cell r="L504">
            <v>0</v>
          </cell>
          <cell r="M504">
            <v>0</v>
          </cell>
          <cell r="N504">
            <v>0</v>
          </cell>
          <cell r="O504">
            <v>0</v>
          </cell>
          <cell r="P504">
            <v>0</v>
          </cell>
          <cell r="Q504">
            <v>0</v>
          </cell>
        </row>
        <row r="505">
          <cell r="A505">
            <v>70116</v>
          </cell>
          <cell r="B505" t="str">
            <v>Pension and Profit Sharing</v>
          </cell>
          <cell r="E505">
            <v>775.31</v>
          </cell>
          <cell r="F505">
            <v>784.92</v>
          </cell>
          <cell r="G505">
            <v>1191.3900000000001</v>
          </cell>
          <cell r="H505">
            <v>882.19</v>
          </cell>
          <cell r="I505">
            <v>848.69</v>
          </cell>
          <cell r="J505">
            <v>942.95</v>
          </cell>
          <cell r="K505">
            <v>949.67</v>
          </cell>
          <cell r="L505">
            <v>1042.08</v>
          </cell>
          <cell r="M505">
            <v>979.97</v>
          </cell>
          <cell r="N505">
            <v>1418.44</v>
          </cell>
          <cell r="O505">
            <v>969.88</v>
          </cell>
          <cell r="P505">
            <v>1066.9100000000001</v>
          </cell>
          <cell r="Q505">
            <v>11852.4</v>
          </cell>
        </row>
        <row r="506">
          <cell r="A506">
            <v>70117</v>
          </cell>
          <cell r="B506" t="str">
            <v>Union Pension</v>
          </cell>
          <cell r="E506">
            <v>0</v>
          </cell>
          <cell r="F506">
            <v>0</v>
          </cell>
          <cell r="G506">
            <v>0</v>
          </cell>
          <cell r="H506">
            <v>0</v>
          </cell>
          <cell r="I506">
            <v>0</v>
          </cell>
          <cell r="J506">
            <v>0</v>
          </cell>
          <cell r="K506">
            <v>0</v>
          </cell>
          <cell r="L506">
            <v>0</v>
          </cell>
          <cell r="M506">
            <v>0</v>
          </cell>
          <cell r="N506">
            <v>0</v>
          </cell>
          <cell r="O506">
            <v>0</v>
          </cell>
          <cell r="P506">
            <v>0</v>
          </cell>
          <cell r="Q506">
            <v>0</v>
          </cell>
        </row>
        <row r="507">
          <cell r="A507">
            <v>70142</v>
          </cell>
          <cell r="B507" t="str">
            <v>Fuel Expense</v>
          </cell>
          <cell r="E507">
            <v>0</v>
          </cell>
          <cell r="F507">
            <v>0</v>
          </cell>
          <cell r="G507">
            <v>0</v>
          </cell>
          <cell r="H507">
            <v>0</v>
          </cell>
          <cell r="I507">
            <v>0</v>
          </cell>
          <cell r="J507">
            <v>0</v>
          </cell>
          <cell r="K507">
            <v>0</v>
          </cell>
          <cell r="L507">
            <v>0</v>
          </cell>
          <cell r="M507">
            <v>0</v>
          </cell>
          <cell r="N507">
            <v>0</v>
          </cell>
          <cell r="O507">
            <v>0</v>
          </cell>
          <cell r="P507">
            <v>0</v>
          </cell>
          <cell r="Q507">
            <v>0</v>
          </cell>
        </row>
        <row r="508">
          <cell r="A508">
            <v>70145</v>
          </cell>
          <cell r="B508" t="str">
            <v>Outside Repairs</v>
          </cell>
          <cell r="E508">
            <v>0</v>
          </cell>
          <cell r="F508">
            <v>0</v>
          </cell>
          <cell r="G508">
            <v>0</v>
          </cell>
          <cell r="H508">
            <v>0</v>
          </cell>
          <cell r="I508">
            <v>0</v>
          </cell>
          <cell r="J508">
            <v>0</v>
          </cell>
          <cell r="K508">
            <v>0</v>
          </cell>
          <cell r="L508">
            <v>0</v>
          </cell>
          <cell r="M508">
            <v>0</v>
          </cell>
          <cell r="N508">
            <v>0</v>
          </cell>
          <cell r="O508">
            <v>0</v>
          </cell>
          <cell r="P508">
            <v>0</v>
          </cell>
          <cell r="Q508">
            <v>0</v>
          </cell>
        </row>
        <row r="509">
          <cell r="A509">
            <v>70147</v>
          </cell>
          <cell r="B509" t="str">
            <v>Bldg &amp; Property Maint</v>
          </cell>
          <cell r="E509">
            <v>0</v>
          </cell>
          <cell r="F509">
            <v>0</v>
          </cell>
          <cell r="G509">
            <v>0</v>
          </cell>
          <cell r="H509">
            <v>0</v>
          </cell>
          <cell r="I509">
            <v>0</v>
          </cell>
          <cell r="J509">
            <v>0</v>
          </cell>
          <cell r="K509">
            <v>0</v>
          </cell>
          <cell r="L509">
            <v>0</v>
          </cell>
          <cell r="M509">
            <v>0</v>
          </cell>
          <cell r="N509">
            <v>0</v>
          </cell>
          <cell r="O509">
            <v>0</v>
          </cell>
          <cell r="P509">
            <v>0</v>
          </cell>
          <cell r="Q509">
            <v>0</v>
          </cell>
        </row>
        <row r="510">
          <cell r="A510">
            <v>70148</v>
          </cell>
          <cell r="B510" t="str">
            <v>Allocated Exp In - District</v>
          </cell>
          <cell r="E510">
            <v>2932.61</v>
          </cell>
          <cell r="F510">
            <v>3215.3</v>
          </cell>
          <cell r="G510">
            <v>3962.99</v>
          </cell>
          <cell r="H510">
            <v>2924.73</v>
          </cell>
          <cell r="I510">
            <v>1275.23</v>
          </cell>
          <cell r="J510">
            <v>4265.58</v>
          </cell>
          <cell r="K510">
            <v>8940.42</v>
          </cell>
          <cell r="L510">
            <v>7247.4</v>
          </cell>
          <cell r="M510">
            <v>-383</v>
          </cell>
          <cell r="N510">
            <v>2709.33</v>
          </cell>
          <cell r="O510">
            <v>3459.2</v>
          </cell>
          <cell r="P510">
            <v>2793.15</v>
          </cell>
          <cell r="Q510">
            <v>43342.94</v>
          </cell>
        </row>
        <row r="511">
          <cell r="A511">
            <v>70150</v>
          </cell>
          <cell r="B511" t="str">
            <v>Utilities</v>
          </cell>
          <cell r="E511">
            <v>380.73</v>
          </cell>
          <cell r="F511">
            <v>364.13</v>
          </cell>
          <cell r="G511">
            <v>364.19</v>
          </cell>
          <cell r="H511">
            <v>352.07</v>
          </cell>
          <cell r="I511">
            <v>323.74</v>
          </cell>
          <cell r="J511">
            <v>309.05</v>
          </cell>
          <cell r="K511">
            <v>1116.01</v>
          </cell>
          <cell r="L511">
            <v>325.92</v>
          </cell>
          <cell r="M511">
            <v>289.63</v>
          </cell>
          <cell r="N511">
            <v>300.67</v>
          </cell>
          <cell r="O511">
            <v>324.64999999999998</v>
          </cell>
          <cell r="P511">
            <v>559.65</v>
          </cell>
          <cell r="Q511">
            <v>5010.4399999999996</v>
          </cell>
        </row>
        <row r="512">
          <cell r="A512">
            <v>70165</v>
          </cell>
          <cell r="B512" t="str">
            <v>Communications</v>
          </cell>
          <cell r="E512">
            <v>471.39</v>
          </cell>
          <cell r="F512">
            <v>299.95</v>
          </cell>
          <cell r="G512">
            <v>548.38</v>
          </cell>
          <cell r="H512">
            <v>403.25</v>
          </cell>
          <cell r="I512">
            <v>472.01</v>
          </cell>
          <cell r="J512">
            <v>532</v>
          </cell>
          <cell r="K512">
            <v>463.52</v>
          </cell>
          <cell r="L512">
            <v>1173.68</v>
          </cell>
          <cell r="M512">
            <v>539.39</v>
          </cell>
          <cell r="N512">
            <v>124.82</v>
          </cell>
          <cell r="O512">
            <v>370.1</v>
          </cell>
          <cell r="P512">
            <v>2409.2399999999998</v>
          </cell>
          <cell r="Q512">
            <v>7807.73</v>
          </cell>
        </row>
        <row r="513">
          <cell r="A513">
            <v>70166</v>
          </cell>
          <cell r="B513" t="str">
            <v>Office Telephone</v>
          </cell>
          <cell r="E513">
            <v>0</v>
          </cell>
          <cell r="F513">
            <v>0</v>
          </cell>
          <cell r="G513">
            <v>0</v>
          </cell>
          <cell r="H513">
            <v>0</v>
          </cell>
          <cell r="I513">
            <v>0</v>
          </cell>
          <cell r="J513">
            <v>0</v>
          </cell>
          <cell r="K513">
            <v>0</v>
          </cell>
          <cell r="L513">
            <v>0</v>
          </cell>
          <cell r="M513">
            <v>0</v>
          </cell>
          <cell r="N513">
            <v>0</v>
          </cell>
          <cell r="O513">
            <v>0</v>
          </cell>
          <cell r="P513">
            <v>0</v>
          </cell>
          <cell r="Q513">
            <v>0</v>
          </cell>
        </row>
        <row r="514">
          <cell r="A514">
            <v>70167</v>
          </cell>
          <cell r="B514" t="str">
            <v>Cellular Telephone</v>
          </cell>
          <cell r="E514">
            <v>18.989999999999998</v>
          </cell>
          <cell r="F514">
            <v>62.24</v>
          </cell>
          <cell r="G514">
            <v>118.47</v>
          </cell>
          <cell r="H514">
            <v>68.52</v>
          </cell>
          <cell r="I514">
            <v>56.02</v>
          </cell>
          <cell r="J514">
            <v>68.52</v>
          </cell>
          <cell r="K514">
            <v>118.98</v>
          </cell>
          <cell r="L514">
            <v>62.5</v>
          </cell>
          <cell r="M514">
            <v>25</v>
          </cell>
          <cell r="N514">
            <v>-73.709999999999994</v>
          </cell>
          <cell r="O514">
            <v>223.71</v>
          </cell>
          <cell r="P514">
            <v>50</v>
          </cell>
          <cell r="Q514">
            <v>799.24</v>
          </cell>
        </row>
        <row r="515">
          <cell r="A515">
            <v>70170</v>
          </cell>
          <cell r="B515" t="str">
            <v>Real Estate Rentals</v>
          </cell>
          <cell r="E515">
            <v>0</v>
          </cell>
          <cell r="F515">
            <v>0</v>
          </cell>
          <cell r="G515">
            <v>0</v>
          </cell>
          <cell r="H515">
            <v>0</v>
          </cell>
          <cell r="I515">
            <v>0</v>
          </cell>
          <cell r="J515">
            <v>0</v>
          </cell>
          <cell r="K515">
            <v>0</v>
          </cell>
          <cell r="L515">
            <v>0</v>
          </cell>
          <cell r="M515">
            <v>0</v>
          </cell>
          <cell r="N515">
            <v>0</v>
          </cell>
          <cell r="O515">
            <v>0</v>
          </cell>
          <cell r="P515">
            <v>3168.8</v>
          </cell>
          <cell r="Q515">
            <v>3168.8</v>
          </cell>
        </row>
        <row r="516">
          <cell r="A516">
            <v>70175</v>
          </cell>
          <cell r="B516" t="str">
            <v>Equip/Vehicle Rental</v>
          </cell>
          <cell r="E516">
            <v>0</v>
          </cell>
          <cell r="F516">
            <v>0</v>
          </cell>
          <cell r="G516">
            <v>0</v>
          </cell>
          <cell r="H516">
            <v>0</v>
          </cell>
          <cell r="I516">
            <v>0</v>
          </cell>
          <cell r="J516">
            <v>0</v>
          </cell>
          <cell r="K516">
            <v>0</v>
          </cell>
          <cell r="L516">
            <v>0</v>
          </cell>
          <cell r="M516">
            <v>0</v>
          </cell>
          <cell r="N516">
            <v>0</v>
          </cell>
          <cell r="O516">
            <v>0</v>
          </cell>
          <cell r="P516">
            <v>0</v>
          </cell>
          <cell r="Q516">
            <v>0</v>
          </cell>
        </row>
        <row r="517">
          <cell r="A517">
            <v>70185</v>
          </cell>
          <cell r="B517" t="str">
            <v>Postage</v>
          </cell>
          <cell r="E517">
            <v>554.46</v>
          </cell>
          <cell r="F517">
            <v>488.09</v>
          </cell>
          <cell r="G517">
            <v>167.53</v>
          </cell>
          <cell r="H517">
            <v>594.19000000000005</v>
          </cell>
          <cell r="I517">
            <v>578.76</v>
          </cell>
          <cell r="J517">
            <v>533.45000000000005</v>
          </cell>
          <cell r="K517">
            <v>916.47</v>
          </cell>
          <cell r="L517">
            <v>529.91</v>
          </cell>
          <cell r="M517">
            <v>533.41</v>
          </cell>
          <cell r="N517">
            <v>625</v>
          </cell>
          <cell r="O517">
            <v>547.6</v>
          </cell>
          <cell r="P517">
            <v>547.17999999999995</v>
          </cell>
          <cell r="Q517">
            <v>6616.05</v>
          </cell>
        </row>
        <row r="518">
          <cell r="A518">
            <v>70190</v>
          </cell>
          <cell r="B518" t="str">
            <v>Registration Fees</v>
          </cell>
          <cell r="E518">
            <v>0</v>
          </cell>
          <cell r="F518">
            <v>0</v>
          </cell>
          <cell r="G518">
            <v>0</v>
          </cell>
          <cell r="H518">
            <v>0</v>
          </cell>
          <cell r="I518">
            <v>0</v>
          </cell>
          <cell r="J518">
            <v>0</v>
          </cell>
          <cell r="K518">
            <v>0</v>
          </cell>
          <cell r="L518">
            <v>0</v>
          </cell>
          <cell r="M518">
            <v>0</v>
          </cell>
          <cell r="N518">
            <v>0</v>
          </cell>
          <cell r="O518">
            <v>0</v>
          </cell>
          <cell r="P518">
            <v>0</v>
          </cell>
          <cell r="Q518">
            <v>0</v>
          </cell>
        </row>
        <row r="519">
          <cell r="A519">
            <v>70195</v>
          </cell>
          <cell r="B519" t="str">
            <v>Dues and Subscriptions</v>
          </cell>
          <cell r="E519">
            <v>913</v>
          </cell>
          <cell r="F519">
            <v>1939.67</v>
          </cell>
          <cell r="G519">
            <v>663</v>
          </cell>
          <cell r="H519">
            <v>2175.4699999999998</v>
          </cell>
          <cell r="I519">
            <v>775.41</v>
          </cell>
          <cell r="J519">
            <v>1375.47</v>
          </cell>
          <cell r="K519">
            <v>833</v>
          </cell>
          <cell r="L519">
            <v>2029.58</v>
          </cell>
          <cell r="M519">
            <v>672.93</v>
          </cell>
          <cell r="N519">
            <v>1244.56</v>
          </cell>
          <cell r="O519">
            <v>2034.76</v>
          </cell>
          <cell r="P519">
            <v>974.76</v>
          </cell>
          <cell r="Q519">
            <v>15631.61</v>
          </cell>
        </row>
        <row r="520">
          <cell r="A520">
            <v>70196</v>
          </cell>
          <cell r="B520" t="str">
            <v>Club Dues</v>
          </cell>
          <cell r="E520">
            <v>0</v>
          </cell>
          <cell r="F520">
            <v>0</v>
          </cell>
          <cell r="G520">
            <v>0</v>
          </cell>
          <cell r="H520">
            <v>0</v>
          </cell>
          <cell r="I520">
            <v>0</v>
          </cell>
          <cell r="J520">
            <v>0</v>
          </cell>
          <cell r="K520">
            <v>0</v>
          </cell>
          <cell r="L520">
            <v>0</v>
          </cell>
          <cell r="M520">
            <v>0</v>
          </cell>
          <cell r="N520">
            <v>0</v>
          </cell>
          <cell r="O520">
            <v>0</v>
          </cell>
          <cell r="P520">
            <v>0</v>
          </cell>
          <cell r="Q520">
            <v>0</v>
          </cell>
        </row>
        <row r="521">
          <cell r="A521">
            <v>70200</v>
          </cell>
          <cell r="B521" t="str">
            <v>Travel</v>
          </cell>
          <cell r="E521">
            <v>284.18</v>
          </cell>
          <cell r="F521">
            <v>570.14</v>
          </cell>
          <cell r="G521">
            <v>-220.29</v>
          </cell>
          <cell r="H521">
            <v>1900</v>
          </cell>
          <cell r="I521">
            <v>-1665.7</v>
          </cell>
          <cell r="J521">
            <v>263.64999999999998</v>
          </cell>
          <cell r="K521">
            <v>203.4</v>
          </cell>
          <cell r="L521">
            <v>-15.5</v>
          </cell>
          <cell r="M521">
            <v>340.62</v>
          </cell>
          <cell r="N521">
            <v>348.94</v>
          </cell>
          <cell r="O521">
            <v>14.75</v>
          </cell>
          <cell r="P521">
            <v>68.2</v>
          </cell>
          <cell r="Q521">
            <v>2092.3899999999994</v>
          </cell>
        </row>
        <row r="522">
          <cell r="A522">
            <v>70201</v>
          </cell>
          <cell r="B522" t="str">
            <v>Entertainment</v>
          </cell>
          <cell r="E522">
            <v>0</v>
          </cell>
          <cell r="F522">
            <v>7.85</v>
          </cell>
          <cell r="G522">
            <v>137.01</v>
          </cell>
          <cell r="H522">
            <v>-29.88</v>
          </cell>
          <cell r="I522">
            <v>73.069999999999993</v>
          </cell>
          <cell r="J522">
            <v>428.59</v>
          </cell>
          <cell r="K522">
            <v>-290.98</v>
          </cell>
          <cell r="L522">
            <v>540.96</v>
          </cell>
          <cell r="M522">
            <v>-468.86</v>
          </cell>
          <cell r="N522">
            <v>13.96</v>
          </cell>
          <cell r="O522">
            <v>0</v>
          </cell>
          <cell r="P522">
            <v>0</v>
          </cell>
          <cell r="Q522">
            <v>411.71999999999997</v>
          </cell>
        </row>
        <row r="523">
          <cell r="A523">
            <v>70202</v>
          </cell>
          <cell r="B523" t="str">
            <v>Excursions Meetings</v>
          </cell>
          <cell r="E523">
            <v>0</v>
          </cell>
          <cell r="F523">
            <v>115.17</v>
          </cell>
          <cell r="G523">
            <v>0</v>
          </cell>
          <cell r="H523">
            <v>0</v>
          </cell>
          <cell r="I523">
            <v>0</v>
          </cell>
          <cell r="J523">
            <v>416.25</v>
          </cell>
          <cell r="K523">
            <v>0</v>
          </cell>
          <cell r="L523">
            <v>0</v>
          </cell>
          <cell r="M523">
            <v>0</v>
          </cell>
          <cell r="N523">
            <v>46.73</v>
          </cell>
          <cell r="O523">
            <v>-46.73</v>
          </cell>
          <cell r="P523">
            <v>0</v>
          </cell>
          <cell r="Q523">
            <v>531.41999999999996</v>
          </cell>
        </row>
        <row r="524">
          <cell r="A524">
            <v>70203</v>
          </cell>
          <cell r="B524" t="str">
            <v>Lodging</v>
          </cell>
          <cell r="E524">
            <v>-462.54</v>
          </cell>
          <cell r="F524">
            <v>0</v>
          </cell>
          <cell r="G524">
            <v>0</v>
          </cell>
          <cell r="H524">
            <v>326.7</v>
          </cell>
          <cell r="I524">
            <v>193</v>
          </cell>
          <cell r="J524">
            <v>436.86</v>
          </cell>
          <cell r="K524">
            <v>-170.97</v>
          </cell>
          <cell r="L524">
            <v>841.43</v>
          </cell>
          <cell r="M524">
            <v>127.5</v>
          </cell>
          <cell r="N524">
            <v>159.44</v>
          </cell>
          <cell r="O524">
            <v>-28.18</v>
          </cell>
          <cell r="P524">
            <v>171.48</v>
          </cell>
          <cell r="Q524">
            <v>1594.72</v>
          </cell>
        </row>
        <row r="525">
          <cell r="A525">
            <v>70204</v>
          </cell>
          <cell r="B525" t="str">
            <v>Gifts to Customers</v>
          </cell>
          <cell r="E525">
            <v>0</v>
          </cell>
          <cell r="F525">
            <v>0</v>
          </cell>
          <cell r="G525">
            <v>0</v>
          </cell>
          <cell r="H525">
            <v>0</v>
          </cell>
          <cell r="I525">
            <v>0</v>
          </cell>
          <cell r="J525">
            <v>0</v>
          </cell>
          <cell r="K525">
            <v>0</v>
          </cell>
          <cell r="L525">
            <v>0</v>
          </cell>
          <cell r="M525">
            <v>0</v>
          </cell>
          <cell r="N525">
            <v>0</v>
          </cell>
          <cell r="O525">
            <v>0</v>
          </cell>
          <cell r="P525">
            <v>0</v>
          </cell>
          <cell r="Q525">
            <v>0</v>
          </cell>
        </row>
        <row r="526">
          <cell r="A526">
            <v>70205</v>
          </cell>
          <cell r="B526" t="str">
            <v>Travel - Auto</v>
          </cell>
          <cell r="E526">
            <v>45.73</v>
          </cell>
          <cell r="F526">
            <v>-10.71</v>
          </cell>
          <cell r="G526">
            <v>526.05999999999995</v>
          </cell>
          <cell r="H526">
            <v>861.17</v>
          </cell>
          <cell r="I526">
            <v>156.44999999999999</v>
          </cell>
          <cell r="J526">
            <v>24.24</v>
          </cell>
          <cell r="K526">
            <v>2459.6</v>
          </cell>
          <cell r="L526">
            <v>-623.04</v>
          </cell>
          <cell r="M526">
            <v>1397.2</v>
          </cell>
          <cell r="N526">
            <v>-382.55</v>
          </cell>
          <cell r="O526">
            <v>-70.31</v>
          </cell>
          <cell r="P526">
            <v>-1079.19</v>
          </cell>
          <cell r="Q526">
            <v>3304.6499999999992</v>
          </cell>
        </row>
        <row r="527">
          <cell r="A527">
            <v>70206</v>
          </cell>
          <cell r="B527" t="str">
            <v>Meals</v>
          </cell>
          <cell r="E527">
            <v>-77.31</v>
          </cell>
          <cell r="F527">
            <v>17.46</v>
          </cell>
          <cell r="G527">
            <v>200.29</v>
          </cell>
          <cell r="H527">
            <v>-74.84</v>
          </cell>
          <cell r="I527">
            <v>191.59</v>
          </cell>
          <cell r="J527">
            <v>1.26</v>
          </cell>
          <cell r="K527">
            <v>-7.59</v>
          </cell>
          <cell r="L527">
            <v>350.62</v>
          </cell>
          <cell r="M527">
            <v>-21.04</v>
          </cell>
          <cell r="N527">
            <v>31.96</v>
          </cell>
          <cell r="O527">
            <v>562.61</v>
          </cell>
          <cell r="P527">
            <v>262.97000000000003</v>
          </cell>
          <cell r="Q527">
            <v>1437.9800000000002</v>
          </cell>
        </row>
        <row r="528">
          <cell r="A528">
            <v>70207</v>
          </cell>
          <cell r="B528" t="str">
            <v>Meals with Customers</v>
          </cell>
          <cell r="E528">
            <v>0</v>
          </cell>
          <cell r="F528">
            <v>0</v>
          </cell>
          <cell r="G528">
            <v>0</v>
          </cell>
          <cell r="H528">
            <v>0</v>
          </cell>
          <cell r="I528">
            <v>0</v>
          </cell>
          <cell r="J528">
            <v>0</v>
          </cell>
          <cell r="K528">
            <v>0</v>
          </cell>
          <cell r="L528">
            <v>0</v>
          </cell>
          <cell r="M528">
            <v>0</v>
          </cell>
          <cell r="N528">
            <v>0</v>
          </cell>
          <cell r="O528">
            <v>0</v>
          </cell>
          <cell r="P528">
            <v>0</v>
          </cell>
          <cell r="Q528">
            <v>0</v>
          </cell>
        </row>
        <row r="529">
          <cell r="A529">
            <v>70209</v>
          </cell>
          <cell r="B529" t="str">
            <v>Photo Supplies</v>
          </cell>
          <cell r="E529">
            <v>0</v>
          </cell>
          <cell r="F529">
            <v>0</v>
          </cell>
          <cell r="G529">
            <v>0</v>
          </cell>
          <cell r="H529">
            <v>0</v>
          </cell>
          <cell r="I529">
            <v>0</v>
          </cell>
          <cell r="J529">
            <v>0</v>
          </cell>
          <cell r="K529">
            <v>0</v>
          </cell>
          <cell r="L529">
            <v>0</v>
          </cell>
          <cell r="M529">
            <v>0</v>
          </cell>
          <cell r="N529">
            <v>0</v>
          </cell>
          <cell r="O529">
            <v>0</v>
          </cell>
          <cell r="P529">
            <v>0</v>
          </cell>
          <cell r="Q529">
            <v>0</v>
          </cell>
        </row>
        <row r="530">
          <cell r="A530">
            <v>70210</v>
          </cell>
          <cell r="B530" t="str">
            <v>Office Supplies and Equip</v>
          </cell>
          <cell r="E530">
            <v>5866.86</v>
          </cell>
          <cell r="F530">
            <v>2088.08</v>
          </cell>
          <cell r="G530">
            <v>1297.8399999999999</v>
          </cell>
          <cell r="H530">
            <v>1260.67</v>
          </cell>
          <cell r="I530">
            <v>1042.3699999999999</v>
          </cell>
          <cell r="J530">
            <v>1576.14</v>
          </cell>
          <cell r="K530">
            <v>1736.71</v>
          </cell>
          <cell r="L530">
            <v>1305.27</v>
          </cell>
          <cell r="M530">
            <v>1356.75</v>
          </cell>
          <cell r="N530">
            <v>4188.3100000000004</v>
          </cell>
          <cell r="O530">
            <v>352.32</v>
          </cell>
          <cell r="P530">
            <v>2617.98</v>
          </cell>
          <cell r="Q530">
            <v>24689.3</v>
          </cell>
        </row>
        <row r="531">
          <cell r="A531">
            <v>70213</v>
          </cell>
          <cell r="B531" t="str">
            <v>Pcard Rebate</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row>
        <row r="532">
          <cell r="A532">
            <v>70214</v>
          </cell>
          <cell r="B532" t="str">
            <v>Credit Card Fees</v>
          </cell>
          <cell r="E532">
            <v>2484.66</v>
          </cell>
          <cell r="F532">
            <v>2690.82</v>
          </cell>
          <cell r="G532">
            <v>2823.76</v>
          </cell>
          <cell r="H532">
            <v>2495.84</v>
          </cell>
          <cell r="I532">
            <v>2467.4499999999998</v>
          </cell>
          <cell r="J532">
            <v>2868.03</v>
          </cell>
          <cell r="K532">
            <v>2914.02</v>
          </cell>
          <cell r="L532">
            <v>3099.61</v>
          </cell>
          <cell r="M532">
            <v>3243.81</v>
          </cell>
          <cell r="N532">
            <v>129.69</v>
          </cell>
          <cell r="O532">
            <v>6329.67</v>
          </cell>
          <cell r="P532">
            <v>3002.76</v>
          </cell>
          <cell r="Q532">
            <v>34550.120000000003</v>
          </cell>
        </row>
        <row r="533">
          <cell r="A533">
            <v>70215</v>
          </cell>
          <cell r="B533" t="str">
            <v>Bank Charges</v>
          </cell>
          <cell r="E533">
            <v>146.88</v>
          </cell>
          <cell r="F533">
            <v>148.75</v>
          </cell>
          <cell r="G533">
            <v>150.41999999999999</v>
          </cell>
          <cell r="H533">
            <v>150.63</v>
          </cell>
          <cell r="I533">
            <v>131.56</v>
          </cell>
          <cell r="J533">
            <v>137.5</v>
          </cell>
          <cell r="K533">
            <v>0</v>
          </cell>
          <cell r="L533">
            <v>129.06</v>
          </cell>
          <cell r="M533">
            <v>133.75</v>
          </cell>
          <cell r="N533">
            <v>0</v>
          </cell>
          <cell r="O533">
            <v>264.07</v>
          </cell>
          <cell r="P533">
            <v>18.73</v>
          </cell>
          <cell r="Q533">
            <v>1411.35</v>
          </cell>
        </row>
        <row r="534">
          <cell r="A534">
            <v>70216</v>
          </cell>
          <cell r="B534" t="str">
            <v>Outside Storages</v>
          </cell>
          <cell r="E534">
            <v>0</v>
          </cell>
          <cell r="F534">
            <v>0</v>
          </cell>
          <cell r="G534">
            <v>0</v>
          </cell>
          <cell r="H534">
            <v>0</v>
          </cell>
          <cell r="I534">
            <v>0</v>
          </cell>
          <cell r="J534">
            <v>0</v>
          </cell>
          <cell r="K534">
            <v>0</v>
          </cell>
          <cell r="L534">
            <v>0</v>
          </cell>
          <cell r="M534">
            <v>0</v>
          </cell>
          <cell r="N534">
            <v>0</v>
          </cell>
          <cell r="O534">
            <v>0</v>
          </cell>
          <cell r="P534">
            <v>0</v>
          </cell>
          <cell r="Q534">
            <v>0</v>
          </cell>
        </row>
        <row r="535">
          <cell r="A535">
            <v>70217</v>
          </cell>
          <cell r="B535" t="str">
            <v>Invoice Printing Costs</v>
          </cell>
          <cell r="E535">
            <v>0</v>
          </cell>
          <cell r="F535">
            <v>0</v>
          </cell>
          <cell r="G535">
            <v>0</v>
          </cell>
          <cell r="H535">
            <v>0</v>
          </cell>
          <cell r="I535">
            <v>0</v>
          </cell>
          <cell r="J535">
            <v>0</v>
          </cell>
          <cell r="K535">
            <v>0</v>
          </cell>
          <cell r="L535">
            <v>0</v>
          </cell>
          <cell r="M535">
            <v>0</v>
          </cell>
          <cell r="N535">
            <v>0</v>
          </cell>
          <cell r="O535">
            <v>0</v>
          </cell>
          <cell r="P535">
            <v>0</v>
          </cell>
          <cell r="Q535">
            <v>0</v>
          </cell>
        </row>
        <row r="536">
          <cell r="A536">
            <v>70225</v>
          </cell>
          <cell r="B536" t="str">
            <v>Advertising and Promotions</v>
          </cell>
          <cell r="E536">
            <v>0</v>
          </cell>
          <cell r="F536">
            <v>473.41</v>
          </cell>
          <cell r="G536">
            <v>0</v>
          </cell>
          <cell r="H536">
            <v>10.55</v>
          </cell>
          <cell r="I536">
            <v>0</v>
          </cell>
          <cell r="J536">
            <v>0</v>
          </cell>
          <cell r="K536">
            <v>0</v>
          </cell>
          <cell r="L536">
            <v>0</v>
          </cell>
          <cell r="M536">
            <v>0</v>
          </cell>
          <cell r="N536">
            <v>0</v>
          </cell>
          <cell r="O536">
            <v>311.8</v>
          </cell>
          <cell r="P536">
            <v>0</v>
          </cell>
          <cell r="Q536">
            <v>795.76</v>
          </cell>
        </row>
        <row r="537">
          <cell r="A537">
            <v>70230</v>
          </cell>
          <cell r="B537" t="str">
            <v>External Recruiter Fees</v>
          </cell>
          <cell r="E537">
            <v>0</v>
          </cell>
          <cell r="F537">
            <v>0</v>
          </cell>
          <cell r="G537">
            <v>0</v>
          </cell>
          <cell r="H537">
            <v>0</v>
          </cell>
          <cell r="I537">
            <v>0</v>
          </cell>
          <cell r="J537">
            <v>0</v>
          </cell>
          <cell r="K537">
            <v>0</v>
          </cell>
          <cell r="L537">
            <v>0</v>
          </cell>
          <cell r="M537">
            <v>0</v>
          </cell>
          <cell r="N537">
            <v>0</v>
          </cell>
          <cell r="O537">
            <v>0</v>
          </cell>
          <cell r="P537">
            <v>0</v>
          </cell>
          <cell r="Q537">
            <v>0</v>
          </cell>
        </row>
        <row r="538">
          <cell r="A538">
            <v>70231</v>
          </cell>
          <cell r="B538" t="str">
            <v>Recruitment Advertising &amp; Expenses</v>
          </cell>
          <cell r="E538">
            <v>0</v>
          </cell>
          <cell r="F538">
            <v>0</v>
          </cell>
          <cell r="G538">
            <v>0</v>
          </cell>
          <cell r="H538">
            <v>0</v>
          </cell>
          <cell r="I538">
            <v>0</v>
          </cell>
          <cell r="J538">
            <v>0</v>
          </cell>
          <cell r="K538">
            <v>0</v>
          </cell>
          <cell r="L538">
            <v>0</v>
          </cell>
          <cell r="M538">
            <v>108.21</v>
          </cell>
          <cell r="N538">
            <v>0</v>
          </cell>
          <cell r="O538">
            <v>0</v>
          </cell>
          <cell r="P538">
            <v>0</v>
          </cell>
          <cell r="Q538">
            <v>108.21</v>
          </cell>
        </row>
        <row r="539">
          <cell r="A539">
            <v>70232</v>
          </cell>
          <cell r="B539" t="str">
            <v>Recruitment Travel Expenses</v>
          </cell>
          <cell r="E539">
            <v>0</v>
          </cell>
          <cell r="F539">
            <v>0</v>
          </cell>
          <cell r="G539">
            <v>0</v>
          </cell>
          <cell r="H539">
            <v>0</v>
          </cell>
          <cell r="I539">
            <v>0</v>
          </cell>
          <cell r="J539">
            <v>0</v>
          </cell>
          <cell r="K539">
            <v>0</v>
          </cell>
          <cell r="L539">
            <v>0</v>
          </cell>
          <cell r="M539">
            <v>0</v>
          </cell>
          <cell r="N539">
            <v>0</v>
          </cell>
          <cell r="O539">
            <v>0</v>
          </cell>
          <cell r="P539">
            <v>0</v>
          </cell>
          <cell r="Q539">
            <v>0</v>
          </cell>
        </row>
        <row r="540">
          <cell r="A540">
            <v>70235</v>
          </cell>
          <cell r="B540" t="str">
            <v>Legal</v>
          </cell>
          <cell r="E540">
            <v>2439.5700000000002</v>
          </cell>
          <cell r="F540">
            <v>2131.5700000000002</v>
          </cell>
          <cell r="G540">
            <v>3481.88</v>
          </cell>
          <cell r="H540">
            <v>-1738.5</v>
          </cell>
          <cell r="I540">
            <v>447.82</v>
          </cell>
          <cell r="J540">
            <v>9856.85</v>
          </cell>
          <cell r="K540">
            <v>1380.87</v>
          </cell>
          <cell r="L540">
            <v>9752.81</v>
          </cell>
          <cell r="M540">
            <v>14711.58</v>
          </cell>
          <cell r="N540">
            <v>-607.33000000000004</v>
          </cell>
          <cell r="O540">
            <v>1378.45</v>
          </cell>
          <cell r="P540">
            <v>10240.9</v>
          </cell>
          <cell r="Q540">
            <v>53476.47</v>
          </cell>
        </row>
        <row r="541">
          <cell r="A541">
            <v>70240</v>
          </cell>
          <cell r="B541" t="str">
            <v>Accounting Professional Fees</v>
          </cell>
          <cell r="E541">
            <v>0</v>
          </cell>
          <cell r="F541">
            <v>0</v>
          </cell>
          <cell r="G541">
            <v>0</v>
          </cell>
          <cell r="H541">
            <v>0</v>
          </cell>
          <cell r="I541">
            <v>0</v>
          </cell>
          <cell r="J541">
            <v>0</v>
          </cell>
          <cell r="K541">
            <v>0</v>
          </cell>
          <cell r="L541">
            <v>0</v>
          </cell>
          <cell r="M541">
            <v>0</v>
          </cell>
          <cell r="N541">
            <v>0</v>
          </cell>
          <cell r="O541">
            <v>0</v>
          </cell>
          <cell r="P541">
            <v>0</v>
          </cell>
          <cell r="Q541">
            <v>0</v>
          </cell>
        </row>
        <row r="542">
          <cell r="A542">
            <v>70245</v>
          </cell>
          <cell r="B542" t="str">
            <v>Payroll Processing Fees</v>
          </cell>
          <cell r="E542">
            <v>99.03</v>
          </cell>
          <cell r="F542">
            <v>97.9</v>
          </cell>
          <cell r="G542">
            <v>97.9</v>
          </cell>
          <cell r="H542">
            <v>97.9</v>
          </cell>
          <cell r="I542">
            <v>97.9</v>
          </cell>
          <cell r="J542">
            <v>97.9</v>
          </cell>
          <cell r="K542">
            <v>97.9</v>
          </cell>
          <cell r="L542">
            <v>80.55</v>
          </cell>
          <cell r="M542">
            <v>80.55</v>
          </cell>
          <cell r="N542">
            <v>80.55</v>
          </cell>
          <cell r="O542">
            <v>80.680000000000007</v>
          </cell>
          <cell r="P542">
            <v>80.680000000000007</v>
          </cell>
          <cell r="Q542">
            <v>1089.4399999999998</v>
          </cell>
        </row>
        <row r="543">
          <cell r="A543">
            <v>70250</v>
          </cell>
          <cell r="B543" t="str">
            <v>Acquisition Cost Write Off</v>
          </cell>
          <cell r="E543">
            <v>0</v>
          </cell>
          <cell r="F543">
            <v>0</v>
          </cell>
          <cell r="G543">
            <v>0</v>
          </cell>
          <cell r="H543">
            <v>0</v>
          </cell>
          <cell r="I543">
            <v>0</v>
          </cell>
          <cell r="J543">
            <v>0</v>
          </cell>
          <cell r="K543">
            <v>0</v>
          </cell>
          <cell r="L543">
            <v>0</v>
          </cell>
          <cell r="M543">
            <v>0</v>
          </cell>
          <cell r="N543">
            <v>0</v>
          </cell>
          <cell r="O543">
            <v>0</v>
          </cell>
          <cell r="P543">
            <v>0</v>
          </cell>
          <cell r="Q543">
            <v>0</v>
          </cell>
        </row>
        <row r="544">
          <cell r="A544">
            <v>70254</v>
          </cell>
          <cell r="B544" t="str">
            <v>Corporate Capitalized Expenses</v>
          </cell>
          <cell r="E544">
            <v>0</v>
          </cell>
          <cell r="F544">
            <v>0</v>
          </cell>
          <cell r="G544">
            <v>0</v>
          </cell>
          <cell r="H544">
            <v>0</v>
          </cell>
          <cell r="I544">
            <v>0</v>
          </cell>
          <cell r="J544">
            <v>0</v>
          </cell>
          <cell r="K544">
            <v>0</v>
          </cell>
          <cell r="L544">
            <v>0</v>
          </cell>
          <cell r="M544">
            <v>0</v>
          </cell>
          <cell r="N544">
            <v>0</v>
          </cell>
          <cell r="O544">
            <v>0</v>
          </cell>
          <cell r="P544">
            <v>0</v>
          </cell>
          <cell r="Q544">
            <v>0</v>
          </cell>
        </row>
        <row r="545">
          <cell r="A545">
            <v>70255</v>
          </cell>
          <cell r="B545" t="str">
            <v>Other Prof Fees</v>
          </cell>
          <cell r="E545">
            <v>0</v>
          </cell>
          <cell r="F545">
            <v>219.75</v>
          </cell>
          <cell r="G545">
            <v>56.21</v>
          </cell>
          <cell r="H545">
            <v>0</v>
          </cell>
          <cell r="I545">
            <v>0</v>
          </cell>
          <cell r="J545">
            <v>56.21</v>
          </cell>
          <cell r="K545">
            <v>0</v>
          </cell>
          <cell r="L545">
            <v>0</v>
          </cell>
          <cell r="M545">
            <v>56.21</v>
          </cell>
          <cell r="N545">
            <v>0</v>
          </cell>
          <cell r="O545">
            <v>-84.14</v>
          </cell>
          <cell r="P545">
            <v>482.7</v>
          </cell>
          <cell r="Q545">
            <v>786.93999999999994</v>
          </cell>
        </row>
        <row r="546">
          <cell r="A546">
            <v>70271</v>
          </cell>
          <cell r="B546" t="str">
            <v>Property and Liability Insurance</v>
          </cell>
          <cell r="E546">
            <v>0</v>
          </cell>
          <cell r="F546">
            <v>0</v>
          </cell>
          <cell r="G546">
            <v>0</v>
          </cell>
          <cell r="H546">
            <v>0</v>
          </cell>
          <cell r="I546">
            <v>0</v>
          </cell>
          <cell r="J546">
            <v>0</v>
          </cell>
          <cell r="K546">
            <v>0</v>
          </cell>
          <cell r="L546">
            <v>0</v>
          </cell>
          <cell r="M546">
            <v>0</v>
          </cell>
          <cell r="N546">
            <v>0</v>
          </cell>
          <cell r="O546">
            <v>0</v>
          </cell>
          <cell r="P546">
            <v>0</v>
          </cell>
          <cell r="Q546">
            <v>0</v>
          </cell>
        </row>
        <row r="547">
          <cell r="A547">
            <v>70272</v>
          </cell>
          <cell r="B547" t="str">
            <v>Keyman Life Insurance</v>
          </cell>
          <cell r="E547">
            <v>0</v>
          </cell>
          <cell r="F547">
            <v>0</v>
          </cell>
          <cell r="G547">
            <v>0</v>
          </cell>
          <cell r="H547">
            <v>0</v>
          </cell>
          <cell r="I547">
            <v>0</v>
          </cell>
          <cell r="J547">
            <v>0</v>
          </cell>
          <cell r="K547">
            <v>0</v>
          </cell>
          <cell r="L547">
            <v>0</v>
          </cell>
          <cell r="M547">
            <v>0</v>
          </cell>
          <cell r="N547">
            <v>0</v>
          </cell>
          <cell r="O547">
            <v>0</v>
          </cell>
          <cell r="P547">
            <v>0</v>
          </cell>
          <cell r="Q547">
            <v>0</v>
          </cell>
        </row>
        <row r="548">
          <cell r="A548">
            <v>70273</v>
          </cell>
          <cell r="B548" t="str">
            <v>Directors and Officers Insurance</v>
          </cell>
          <cell r="E548">
            <v>0</v>
          </cell>
          <cell r="F548">
            <v>0</v>
          </cell>
          <cell r="G548">
            <v>0</v>
          </cell>
          <cell r="H548">
            <v>0</v>
          </cell>
          <cell r="I548">
            <v>0</v>
          </cell>
          <cell r="J548">
            <v>0</v>
          </cell>
          <cell r="K548">
            <v>0</v>
          </cell>
          <cell r="L548">
            <v>0</v>
          </cell>
          <cell r="M548">
            <v>0</v>
          </cell>
          <cell r="N548">
            <v>0</v>
          </cell>
          <cell r="O548">
            <v>0</v>
          </cell>
          <cell r="P548">
            <v>0</v>
          </cell>
          <cell r="Q548">
            <v>0</v>
          </cell>
        </row>
        <row r="549">
          <cell r="A549">
            <v>70275</v>
          </cell>
          <cell r="B549" t="str">
            <v>Property Taxes</v>
          </cell>
          <cell r="E549">
            <v>1875</v>
          </cell>
          <cell r="F549">
            <v>1875</v>
          </cell>
          <cell r="G549">
            <v>2015.82</v>
          </cell>
          <cell r="H549">
            <v>2554.7800000000002</v>
          </cell>
          <cell r="I549">
            <v>2554.7800000000002</v>
          </cell>
          <cell r="J549">
            <v>2554.7800000000002</v>
          </cell>
          <cell r="K549">
            <v>3187.6</v>
          </cell>
          <cell r="L549">
            <v>2396.5700000000002</v>
          </cell>
          <cell r="M549">
            <v>2396.5700000000002</v>
          </cell>
          <cell r="N549">
            <v>2449.23</v>
          </cell>
          <cell r="O549">
            <v>2343.73</v>
          </cell>
          <cell r="P549">
            <v>2554.7199999999998</v>
          </cell>
          <cell r="Q549">
            <v>28758.58</v>
          </cell>
        </row>
        <row r="550">
          <cell r="A550">
            <v>70280</v>
          </cell>
          <cell r="B550" t="str">
            <v>Other Taxes</v>
          </cell>
          <cell r="E550">
            <v>0</v>
          </cell>
          <cell r="F550">
            <v>0</v>
          </cell>
          <cell r="G550">
            <v>0</v>
          </cell>
          <cell r="H550">
            <v>0</v>
          </cell>
          <cell r="I550">
            <v>0</v>
          </cell>
          <cell r="J550">
            <v>0</v>
          </cell>
          <cell r="K550">
            <v>0</v>
          </cell>
          <cell r="L550">
            <v>0</v>
          </cell>
          <cell r="M550">
            <v>0</v>
          </cell>
          <cell r="N550">
            <v>0</v>
          </cell>
          <cell r="O550">
            <v>0</v>
          </cell>
          <cell r="P550">
            <v>0</v>
          </cell>
          <cell r="Q550">
            <v>0</v>
          </cell>
        </row>
        <row r="551">
          <cell r="A551">
            <v>70300</v>
          </cell>
          <cell r="B551" t="str">
            <v>Data Processing</v>
          </cell>
          <cell r="E551">
            <v>24958.15</v>
          </cell>
          <cell r="F551">
            <v>2262.73</v>
          </cell>
          <cell r="G551">
            <v>16300.02</v>
          </cell>
          <cell r="H551">
            <v>2127.0700000000002</v>
          </cell>
          <cell r="I551">
            <v>33912.97</v>
          </cell>
          <cell r="J551">
            <v>1054.05</v>
          </cell>
          <cell r="K551">
            <v>22342.57</v>
          </cell>
          <cell r="L551">
            <v>2410.96</v>
          </cell>
          <cell r="M551">
            <v>22431</v>
          </cell>
          <cell r="N551">
            <v>1947.24</v>
          </cell>
          <cell r="O551">
            <v>21688.02</v>
          </cell>
          <cell r="P551">
            <v>-2059.87</v>
          </cell>
          <cell r="Q551">
            <v>149374.91</v>
          </cell>
        </row>
        <row r="552">
          <cell r="A552">
            <v>70301</v>
          </cell>
          <cell r="B552" t="str">
            <v>Computer Software</v>
          </cell>
          <cell r="E552">
            <v>0</v>
          </cell>
          <cell r="F552">
            <v>0</v>
          </cell>
          <cell r="G552">
            <v>0</v>
          </cell>
          <cell r="H552">
            <v>0</v>
          </cell>
          <cell r="I552">
            <v>0</v>
          </cell>
          <cell r="J552">
            <v>0</v>
          </cell>
          <cell r="K552">
            <v>0</v>
          </cell>
          <cell r="L552">
            <v>0</v>
          </cell>
          <cell r="M552">
            <v>0</v>
          </cell>
          <cell r="N552">
            <v>0</v>
          </cell>
          <cell r="O552">
            <v>0</v>
          </cell>
          <cell r="P552">
            <v>0</v>
          </cell>
          <cell r="Q552">
            <v>0</v>
          </cell>
        </row>
        <row r="553">
          <cell r="A553">
            <v>70302</v>
          </cell>
          <cell r="B553" t="str">
            <v>Computer Supplies</v>
          </cell>
          <cell r="E553">
            <v>0</v>
          </cell>
          <cell r="F553">
            <v>145.26</v>
          </cell>
          <cell r="G553">
            <v>231.28</v>
          </cell>
          <cell r="H553">
            <v>0</v>
          </cell>
          <cell r="I553">
            <v>0</v>
          </cell>
          <cell r="J553">
            <v>0</v>
          </cell>
          <cell r="K553">
            <v>0</v>
          </cell>
          <cell r="L553">
            <v>0</v>
          </cell>
          <cell r="M553">
            <v>0</v>
          </cell>
          <cell r="N553">
            <v>1365.11</v>
          </cell>
          <cell r="O553">
            <v>-1365.11</v>
          </cell>
          <cell r="P553">
            <v>187.29</v>
          </cell>
          <cell r="Q553">
            <v>563.82999999999993</v>
          </cell>
        </row>
        <row r="554">
          <cell r="A554">
            <v>70310</v>
          </cell>
          <cell r="B554" t="str">
            <v>Bad Debt Provision</v>
          </cell>
          <cell r="E554">
            <v>59587.53</v>
          </cell>
          <cell r="F554">
            <v>-42181.27</v>
          </cell>
          <cell r="G554">
            <v>26327.15</v>
          </cell>
          <cell r="H554">
            <v>-23518.21</v>
          </cell>
          <cell r="I554">
            <v>45403.42</v>
          </cell>
          <cell r="J554">
            <v>-30919.22</v>
          </cell>
          <cell r="K554">
            <v>58231.48</v>
          </cell>
          <cell r="L554">
            <v>-42566.26</v>
          </cell>
          <cell r="M554">
            <v>51551.54</v>
          </cell>
          <cell r="N554">
            <v>-30438.81</v>
          </cell>
          <cell r="O554">
            <v>61503.66</v>
          </cell>
          <cell r="P554">
            <v>-32663.45</v>
          </cell>
          <cell r="Q554">
            <v>100317.56000000001</v>
          </cell>
        </row>
        <row r="555">
          <cell r="A555">
            <v>70315</v>
          </cell>
          <cell r="B555" t="str">
            <v>Bad Debt Recoveries</v>
          </cell>
          <cell r="E555">
            <v>0</v>
          </cell>
          <cell r="F555">
            <v>0</v>
          </cell>
          <cell r="G555">
            <v>0</v>
          </cell>
          <cell r="H555">
            <v>0</v>
          </cell>
          <cell r="I555">
            <v>0</v>
          </cell>
          <cell r="J555">
            <v>0</v>
          </cell>
          <cell r="K555">
            <v>0</v>
          </cell>
          <cell r="L555">
            <v>0</v>
          </cell>
          <cell r="M555">
            <v>0</v>
          </cell>
          <cell r="N555">
            <v>0</v>
          </cell>
          <cell r="O555">
            <v>0</v>
          </cell>
          <cell r="P555">
            <v>0</v>
          </cell>
          <cell r="Q555">
            <v>0</v>
          </cell>
        </row>
        <row r="556">
          <cell r="A556">
            <v>70320</v>
          </cell>
          <cell r="B556" t="str">
            <v>Credit and Collection</v>
          </cell>
          <cell r="E556">
            <v>6202.09</v>
          </cell>
          <cell r="F556">
            <v>-976.61</v>
          </cell>
          <cell r="G556">
            <v>5260.16</v>
          </cell>
          <cell r="H556">
            <v>-803.96</v>
          </cell>
          <cell r="I556">
            <v>1871.95</v>
          </cell>
          <cell r="J556">
            <v>1067.25</v>
          </cell>
          <cell r="K556">
            <v>1589.22</v>
          </cell>
          <cell r="L556">
            <v>936.71</v>
          </cell>
          <cell r="M556">
            <v>1051.27</v>
          </cell>
          <cell r="N556">
            <v>482.15</v>
          </cell>
          <cell r="O556">
            <v>1946.37</v>
          </cell>
          <cell r="P556">
            <v>5166.42</v>
          </cell>
          <cell r="Q556">
            <v>23793.020000000004</v>
          </cell>
        </row>
        <row r="557">
          <cell r="A557">
            <v>70324</v>
          </cell>
          <cell r="B557" t="str">
            <v>Penalties and Violations</v>
          </cell>
          <cell r="E557">
            <v>0</v>
          </cell>
          <cell r="F557">
            <v>0</v>
          </cell>
          <cell r="G557">
            <v>0</v>
          </cell>
          <cell r="H557">
            <v>0</v>
          </cell>
          <cell r="I557">
            <v>0</v>
          </cell>
          <cell r="J557">
            <v>0</v>
          </cell>
          <cell r="K557">
            <v>0</v>
          </cell>
          <cell r="L557">
            <v>0</v>
          </cell>
          <cell r="M557">
            <v>0</v>
          </cell>
          <cell r="N557">
            <v>0</v>
          </cell>
          <cell r="O557">
            <v>0</v>
          </cell>
          <cell r="P557">
            <v>0</v>
          </cell>
          <cell r="Q557">
            <v>0</v>
          </cell>
        </row>
        <row r="558">
          <cell r="A558">
            <v>70325</v>
          </cell>
          <cell r="B558" t="str">
            <v>Legal Settlement Payments</v>
          </cell>
          <cell r="E558">
            <v>0</v>
          </cell>
          <cell r="F558">
            <v>0</v>
          </cell>
          <cell r="G558">
            <v>0</v>
          </cell>
          <cell r="H558">
            <v>0</v>
          </cell>
          <cell r="I558">
            <v>0</v>
          </cell>
          <cell r="J558">
            <v>0</v>
          </cell>
          <cell r="K558">
            <v>0</v>
          </cell>
          <cell r="L558">
            <v>0</v>
          </cell>
          <cell r="M558">
            <v>0</v>
          </cell>
          <cell r="N558">
            <v>0</v>
          </cell>
          <cell r="O558">
            <v>0</v>
          </cell>
          <cell r="P558">
            <v>0</v>
          </cell>
          <cell r="Q558">
            <v>0</v>
          </cell>
        </row>
        <row r="559">
          <cell r="A559">
            <v>70326</v>
          </cell>
          <cell r="B559" t="str">
            <v>Deductible Current Year</v>
          </cell>
          <cell r="E559">
            <v>0</v>
          </cell>
          <cell r="F559">
            <v>0</v>
          </cell>
          <cell r="G559">
            <v>0</v>
          </cell>
          <cell r="H559">
            <v>0</v>
          </cell>
          <cell r="I559">
            <v>0</v>
          </cell>
          <cell r="J559">
            <v>0</v>
          </cell>
          <cell r="K559">
            <v>0</v>
          </cell>
          <cell r="L559">
            <v>0</v>
          </cell>
          <cell r="M559">
            <v>0</v>
          </cell>
          <cell r="N559">
            <v>0</v>
          </cell>
          <cell r="O559">
            <v>0</v>
          </cell>
          <cell r="P559">
            <v>0</v>
          </cell>
          <cell r="Q559">
            <v>0</v>
          </cell>
        </row>
        <row r="560">
          <cell r="A560">
            <v>70327</v>
          </cell>
          <cell r="B560" t="str">
            <v>Deductible Dammage</v>
          </cell>
          <cell r="E560">
            <v>0</v>
          </cell>
          <cell r="F560">
            <v>0</v>
          </cell>
          <cell r="G560">
            <v>0</v>
          </cell>
          <cell r="H560">
            <v>0</v>
          </cell>
          <cell r="I560">
            <v>0</v>
          </cell>
          <cell r="J560">
            <v>0</v>
          </cell>
          <cell r="K560">
            <v>0</v>
          </cell>
          <cell r="L560">
            <v>0</v>
          </cell>
          <cell r="M560">
            <v>0</v>
          </cell>
          <cell r="N560">
            <v>0</v>
          </cell>
          <cell r="O560">
            <v>0</v>
          </cell>
          <cell r="P560">
            <v>0</v>
          </cell>
          <cell r="Q560">
            <v>0</v>
          </cell>
        </row>
        <row r="561">
          <cell r="A561">
            <v>70328</v>
          </cell>
          <cell r="B561" t="str">
            <v>Claim Recoveries</v>
          </cell>
          <cell r="E561">
            <v>0</v>
          </cell>
          <cell r="F561">
            <v>0</v>
          </cell>
          <cell r="G561">
            <v>0</v>
          </cell>
          <cell r="H561">
            <v>0</v>
          </cell>
          <cell r="I561">
            <v>0</v>
          </cell>
          <cell r="J561">
            <v>0</v>
          </cell>
          <cell r="K561">
            <v>0</v>
          </cell>
          <cell r="L561">
            <v>0</v>
          </cell>
          <cell r="M561">
            <v>0</v>
          </cell>
          <cell r="N561">
            <v>0</v>
          </cell>
          <cell r="O561">
            <v>0</v>
          </cell>
          <cell r="P561">
            <v>0</v>
          </cell>
          <cell r="Q561">
            <v>0</v>
          </cell>
        </row>
        <row r="562">
          <cell r="A562">
            <v>70330</v>
          </cell>
          <cell r="B562" t="str">
            <v>Deductible Prior Year</v>
          </cell>
          <cell r="E562">
            <v>0</v>
          </cell>
          <cell r="F562">
            <v>0</v>
          </cell>
          <cell r="G562">
            <v>0</v>
          </cell>
          <cell r="H562">
            <v>0</v>
          </cell>
          <cell r="I562">
            <v>0</v>
          </cell>
          <cell r="J562">
            <v>0</v>
          </cell>
          <cell r="K562">
            <v>0</v>
          </cell>
          <cell r="L562">
            <v>0</v>
          </cell>
          <cell r="M562">
            <v>0</v>
          </cell>
          <cell r="N562">
            <v>0</v>
          </cell>
          <cell r="O562">
            <v>0</v>
          </cell>
          <cell r="P562">
            <v>0</v>
          </cell>
          <cell r="Q562">
            <v>0</v>
          </cell>
        </row>
        <row r="563">
          <cell r="A563">
            <v>70335</v>
          </cell>
          <cell r="B563" t="str">
            <v>Miscellaneous</v>
          </cell>
          <cell r="E563">
            <v>0</v>
          </cell>
          <cell r="F563">
            <v>0</v>
          </cell>
          <cell r="G563">
            <v>0</v>
          </cell>
          <cell r="H563">
            <v>0</v>
          </cell>
          <cell r="I563">
            <v>0</v>
          </cell>
          <cell r="J563">
            <v>0</v>
          </cell>
          <cell r="K563">
            <v>0</v>
          </cell>
          <cell r="L563">
            <v>0</v>
          </cell>
          <cell r="M563">
            <v>0</v>
          </cell>
          <cell r="N563">
            <v>0</v>
          </cell>
          <cell r="O563">
            <v>0</v>
          </cell>
          <cell r="P563">
            <v>0</v>
          </cell>
          <cell r="Q563">
            <v>0</v>
          </cell>
        </row>
        <row r="564">
          <cell r="A564">
            <v>70336</v>
          </cell>
          <cell r="B564" t="str">
            <v>Coffe Bar</v>
          </cell>
          <cell r="E564">
            <v>0</v>
          </cell>
          <cell r="F564">
            <v>0</v>
          </cell>
          <cell r="G564">
            <v>0</v>
          </cell>
          <cell r="H564">
            <v>0</v>
          </cell>
          <cell r="I564">
            <v>0</v>
          </cell>
          <cell r="J564">
            <v>0</v>
          </cell>
          <cell r="K564">
            <v>0</v>
          </cell>
          <cell r="L564">
            <v>0</v>
          </cell>
          <cell r="M564">
            <v>0</v>
          </cell>
          <cell r="N564">
            <v>0</v>
          </cell>
          <cell r="O564">
            <v>0</v>
          </cell>
          <cell r="P564">
            <v>0</v>
          </cell>
          <cell r="Q564">
            <v>0</v>
          </cell>
        </row>
        <row r="565">
          <cell r="A565">
            <v>70345</v>
          </cell>
          <cell r="B565" t="str">
            <v>Security Services</v>
          </cell>
          <cell r="E565">
            <v>0</v>
          </cell>
          <cell r="F565">
            <v>0</v>
          </cell>
          <cell r="G565">
            <v>0</v>
          </cell>
          <cell r="H565">
            <v>0</v>
          </cell>
          <cell r="I565">
            <v>0</v>
          </cell>
          <cell r="J565">
            <v>0</v>
          </cell>
          <cell r="K565">
            <v>0</v>
          </cell>
          <cell r="L565">
            <v>0</v>
          </cell>
          <cell r="M565">
            <v>0</v>
          </cell>
          <cell r="N565">
            <v>0</v>
          </cell>
          <cell r="O565">
            <v>0</v>
          </cell>
          <cell r="P565">
            <v>0</v>
          </cell>
          <cell r="Q565">
            <v>0</v>
          </cell>
        </row>
        <row r="566">
          <cell r="A566">
            <v>70357</v>
          </cell>
          <cell r="B566" t="str">
            <v>Permits</v>
          </cell>
          <cell r="E566">
            <v>0</v>
          </cell>
          <cell r="F566">
            <v>0</v>
          </cell>
          <cell r="G566">
            <v>0</v>
          </cell>
          <cell r="H566">
            <v>0</v>
          </cell>
          <cell r="I566">
            <v>0</v>
          </cell>
          <cell r="J566">
            <v>0</v>
          </cell>
          <cell r="K566">
            <v>0</v>
          </cell>
          <cell r="L566">
            <v>0</v>
          </cell>
          <cell r="M566">
            <v>0</v>
          </cell>
          <cell r="N566">
            <v>0</v>
          </cell>
          <cell r="O566">
            <v>0</v>
          </cell>
          <cell r="P566">
            <v>0</v>
          </cell>
          <cell r="Q566">
            <v>0</v>
          </cell>
        </row>
        <row r="567">
          <cell r="A567">
            <v>70370</v>
          </cell>
          <cell r="B567" t="str">
            <v>Bonds Expense</v>
          </cell>
          <cell r="E567">
            <v>0</v>
          </cell>
          <cell r="F567">
            <v>0</v>
          </cell>
          <cell r="G567">
            <v>0</v>
          </cell>
          <cell r="H567">
            <v>0</v>
          </cell>
          <cell r="I567">
            <v>0</v>
          </cell>
          <cell r="J567">
            <v>0</v>
          </cell>
          <cell r="K567">
            <v>0</v>
          </cell>
          <cell r="L567">
            <v>0</v>
          </cell>
          <cell r="M567">
            <v>0</v>
          </cell>
          <cell r="N567">
            <v>0</v>
          </cell>
          <cell r="O567">
            <v>0</v>
          </cell>
          <cell r="P567">
            <v>0</v>
          </cell>
          <cell r="Q567">
            <v>0</v>
          </cell>
        </row>
        <row r="568">
          <cell r="A568">
            <v>70371</v>
          </cell>
          <cell r="B568" t="str">
            <v>Board of Directors Fees</v>
          </cell>
          <cell r="E568">
            <v>0</v>
          </cell>
          <cell r="F568">
            <v>0</v>
          </cell>
          <cell r="G568">
            <v>0</v>
          </cell>
          <cell r="H568">
            <v>0</v>
          </cell>
          <cell r="I568">
            <v>0</v>
          </cell>
          <cell r="J568">
            <v>0</v>
          </cell>
          <cell r="K568">
            <v>0</v>
          </cell>
          <cell r="L568">
            <v>0</v>
          </cell>
          <cell r="M568">
            <v>0</v>
          </cell>
          <cell r="N568">
            <v>0</v>
          </cell>
          <cell r="O568">
            <v>0</v>
          </cell>
          <cell r="P568">
            <v>0</v>
          </cell>
          <cell r="Q568">
            <v>0</v>
          </cell>
        </row>
        <row r="569">
          <cell r="A569">
            <v>70372</v>
          </cell>
          <cell r="B569" t="str">
            <v>Board of Directors Expense Report</v>
          </cell>
          <cell r="E569">
            <v>0</v>
          </cell>
          <cell r="F569">
            <v>0</v>
          </cell>
          <cell r="G569">
            <v>0</v>
          </cell>
          <cell r="H569">
            <v>0</v>
          </cell>
          <cell r="I569">
            <v>0</v>
          </cell>
          <cell r="J569">
            <v>0</v>
          </cell>
          <cell r="K569">
            <v>0</v>
          </cell>
          <cell r="L569">
            <v>0</v>
          </cell>
          <cell r="M569">
            <v>0</v>
          </cell>
          <cell r="N569">
            <v>0</v>
          </cell>
          <cell r="O569">
            <v>0</v>
          </cell>
          <cell r="P569">
            <v>0</v>
          </cell>
          <cell r="Q569">
            <v>0</v>
          </cell>
        </row>
        <row r="570">
          <cell r="A570">
            <v>70475</v>
          </cell>
          <cell r="B570" t="str">
            <v>Trade Shows</v>
          </cell>
          <cell r="E570">
            <v>0</v>
          </cell>
          <cell r="F570">
            <v>0</v>
          </cell>
          <cell r="G570">
            <v>0</v>
          </cell>
          <cell r="H570">
            <v>0</v>
          </cell>
          <cell r="I570">
            <v>0</v>
          </cell>
          <cell r="J570">
            <v>0</v>
          </cell>
          <cell r="K570">
            <v>0</v>
          </cell>
          <cell r="L570">
            <v>0</v>
          </cell>
          <cell r="M570">
            <v>0</v>
          </cell>
          <cell r="N570">
            <v>0</v>
          </cell>
          <cell r="O570">
            <v>0</v>
          </cell>
          <cell r="P570">
            <v>0</v>
          </cell>
          <cell r="Q570">
            <v>0</v>
          </cell>
        </row>
        <row r="571">
          <cell r="A571">
            <v>70900</v>
          </cell>
          <cell r="B571" t="str">
            <v>Entitiy Formation Costs</v>
          </cell>
          <cell r="E571">
            <v>0</v>
          </cell>
          <cell r="F571">
            <v>0</v>
          </cell>
          <cell r="G571">
            <v>0</v>
          </cell>
          <cell r="H571">
            <v>0</v>
          </cell>
          <cell r="I571">
            <v>0</v>
          </cell>
          <cell r="J571">
            <v>0</v>
          </cell>
          <cell r="K571">
            <v>0</v>
          </cell>
          <cell r="L571">
            <v>0</v>
          </cell>
          <cell r="M571">
            <v>0</v>
          </cell>
          <cell r="N571">
            <v>0</v>
          </cell>
          <cell r="O571">
            <v>0</v>
          </cell>
          <cell r="P571">
            <v>0</v>
          </cell>
          <cell r="Q571">
            <v>0</v>
          </cell>
        </row>
        <row r="572">
          <cell r="A572">
            <v>70998</v>
          </cell>
          <cell r="B572" t="str">
            <v>Allocation Out - District</v>
          </cell>
          <cell r="E572">
            <v>0</v>
          </cell>
          <cell r="F572">
            <v>0</v>
          </cell>
          <cell r="G572">
            <v>0</v>
          </cell>
          <cell r="H572">
            <v>0</v>
          </cell>
          <cell r="I572">
            <v>0</v>
          </cell>
          <cell r="J572">
            <v>0</v>
          </cell>
          <cell r="K572">
            <v>0</v>
          </cell>
          <cell r="L572">
            <v>0</v>
          </cell>
          <cell r="M572">
            <v>0</v>
          </cell>
          <cell r="N572">
            <v>0</v>
          </cell>
          <cell r="O572">
            <v>0</v>
          </cell>
          <cell r="P572">
            <v>0</v>
          </cell>
          <cell r="Q572">
            <v>0</v>
          </cell>
        </row>
        <row r="573">
          <cell r="A573">
            <v>70999</v>
          </cell>
          <cell r="B573" t="str">
            <v>Allocation Out - Out District</v>
          </cell>
          <cell r="E573">
            <v>0</v>
          </cell>
          <cell r="F573">
            <v>0</v>
          </cell>
          <cell r="G573">
            <v>0</v>
          </cell>
          <cell r="H573">
            <v>0</v>
          </cell>
          <cell r="I573">
            <v>0</v>
          </cell>
          <cell r="J573">
            <v>0</v>
          </cell>
          <cell r="K573">
            <v>0</v>
          </cell>
          <cell r="L573">
            <v>0</v>
          </cell>
          <cell r="M573">
            <v>0</v>
          </cell>
          <cell r="N573">
            <v>0</v>
          </cell>
          <cell r="O573">
            <v>0</v>
          </cell>
          <cell r="P573">
            <v>0</v>
          </cell>
          <cell r="Q573">
            <v>0</v>
          </cell>
        </row>
        <row r="574">
          <cell r="A574">
            <v>71000</v>
          </cell>
          <cell r="B574" t="str">
            <v>Stock Comp Expense</v>
          </cell>
          <cell r="E574">
            <v>0</v>
          </cell>
          <cell r="F574">
            <v>0</v>
          </cell>
          <cell r="G574">
            <v>0</v>
          </cell>
          <cell r="H574">
            <v>0</v>
          </cell>
          <cell r="I574">
            <v>0</v>
          </cell>
          <cell r="J574">
            <v>0</v>
          </cell>
          <cell r="K574">
            <v>0</v>
          </cell>
          <cell r="L574">
            <v>0</v>
          </cell>
          <cell r="M574">
            <v>0</v>
          </cell>
          <cell r="N574">
            <v>0</v>
          </cell>
          <cell r="O574">
            <v>0</v>
          </cell>
          <cell r="P574">
            <v>0</v>
          </cell>
          <cell r="Q574">
            <v>0</v>
          </cell>
        </row>
        <row r="575">
          <cell r="A575" t="str">
            <v>Total G&amp;A</v>
          </cell>
          <cell r="E575">
            <v>207906.74000000002</v>
          </cell>
          <cell r="F575">
            <v>66798.010000000024</v>
          </cell>
          <cell r="G575">
            <v>161263.80000000002</v>
          </cell>
          <cell r="H575">
            <v>86311.12999999999</v>
          </cell>
          <cell r="I575">
            <v>177403</v>
          </cell>
          <cell r="J575">
            <v>90607.349999999991</v>
          </cell>
          <cell r="K575">
            <v>198820.07000000004</v>
          </cell>
          <cell r="L575">
            <v>89006.530000000013</v>
          </cell>
          <cell r="M575">
            <v>188289.78000000003</v>
          </cell>
          <cell r="N575">
            <v>72891.83</v>
          </cell>
          <cell r="O575">
            <v>194697.06000000006</v>
          </cell>
          <cell r="P575">
            <v>96799.019999999931</v>
          </cell>
          <cell r="Q575">
            <v>1630794.3199999996</v>
          </cell>
        </row>
        <row r="577">
          <cell r="A577" t="str">
            <v>Overhead</v>
          </cell>
        </row>
        <row r="578">
          <cell r="A578">
            <v>70149</v>
          </cell>
          <cell r="B578" t="str">
            <v>Corporate Overhead Allocation In</v>
          </cell>
          <cell r="E578">
            <v>55340.22</v>
          </cell>
          <cell r="F578">
            <v>54315.21</v>
          </cell>
          <cell r="G578">
            <v>54439.91</v>
          </cell>
          <cell r="H578">
            <v>55653.47</v>
          </cell>
          <cell r="I578">
            <v>54826.44</v>
          </cell>
          <cell r="J578">
            <v>55802.53</v>
          </cell>
          <cell r="K578">
            <v>55353.69</v>
          </cell>
          <cell r="L578">
            <v>57179.64</v>
          </cell>
          <cell r="M578">
            <v>55296.08</v>
          </cell>
          <cell r="N578">
            <v>55281.99</v>
          </cell>
          <cell r="O578">
            <v>54995.29</v>
          </cell>
          <cell r="P578">
            <v>55389.94</v>
          </cell>
          <cell r="Q578">
            <v>663874.41000000015</v>
          </cell>
        </row>
        <row r="579">
          <cell r="A579">
            <v>70159</v>
          </cell>
          <cell r="B579" t="str">
            <v>Region Overhead Allocation In</v>
          </cell>
          <cell r="E579">
            <v>0</v>
          </cell>
          <cell r="F579">
            <v>0</v>
          </cell>
          <cell r="G579">
            <v>0</v>
          </cell>
          <cell r="H579">
            <v>0</v>
          </cell>
          <cell r="I579">
            <v>0</v>
          </cell>
          <cell r="J579">
            <v>0</v>
          </cell>
          <cell r="K579">
            <v>0</v>
          </cell>
          <cell r="L579">
            <v>0</v>
          </cell>
          <cell r="M579">
            <v>0</v>
          </cell>
          <cell r="N579">
            <v>0</v>
          </cell>
          <cell r="O579">
            <v>0</v>
          </cell>
          <cell r="P579">
            <v>0</v>
          </cell>
          <cell r="Q579">
            <v>0</v>
          </cell>
        </row>
        <row r="580">
          <cell r="A580" t="str">
            <v>Total Overhead</v>
          </cell>
          <cell r="E580">
            <v>55340.22</v>
          </cell>
          <cell r="F580">
            <v>54315.21</v>
          </cell>
          <cell r="G580">
            <v>54439.91</v>
          </cell>
          <cell r="H580">
            <v>55653.47</v>
          </cell>
          <cell r="I580">
            <v>54826.44</v>
          </cell>
          <cell r="J580">
            <v>55802.53</v>
          </cell>
          <cell r="K580">
            <v>55353.69</v>
          </cell>
          <cell r="L580">
            <v>57179.64</v>
          </cell>
          <cell r="M580">
            <v>55296.08</v>
          </cell>
          <cell r="N580">
            <v>55281.99</v>
          </cell>
          <cell r="O580">
            <v>54995.29</v>
          </cell>
          <cell r="P580">
            <v>55389.94</v>
          </cell>
          <cell r="Q580">
            <v>663874.41000000015</v>
          </cell>
        </row>
        <row r="582">
          <cell r="A582" t="str">
            <v>Total SG&amp;A</v>
          </cell>
          <cell r="E582">
            <v>263246.96000000002</v>
          </cell>
          <cell r="F582">
            <v>121113.22000000003</v>
          </cell>
          <cell r="G582">
            <v>215703.71000000002</v>
          </cell>
          <cell r="H582">
            <v>141964.59999999998</v>
          </cell>
          <cell r="I582">
            <v>232229.44</v>
          </cell>
          <cell r="J582">
            <v>146409.88</v>
          </cell>
          <cell r="K582">
            <v>254173.76000000004</v>
          </cell>
          <cell r="L582">
            <v>146186.17000000001</v>
          </cell>
          <cell r="M582">
            <v>243585.86000000004</v>
          </cell>
          <cell r="N582">
            <v>128173.82</v>
          </cell>
          <cell r="O582">
            <v>249692.35000000006</v>
          </cell>
          <cell r="P582">
            <v>155426.55999999994</v>
          </cell>
          <cell r="Q582">
            <v>2297906.3299999996</v>
          </cell>
        </row>
        <row r="584">
          <cell r="A584" t="str">
            <v>EBITDA</v>
          </cell>
          <cell r="E584">
            <v>20388.780000000086</v>
          </cell>
          <cell r="F584">
            <v>275898.64999999997</v>
          </cell>
          <cell r="G584">
            <v>77705.549999999872</v>
          </cell>
          <cell r="H584">
            <v>153218.83000000007</v>
          </cell>
          <cell r="I584">
            <v>139863.27999999974</v>
          </cell>
          <cell r="J584">
            <v>204338.71000000008</v>
          </cell>
          <cell r="K584">
            <v>93342.360000000015</v>
          </cell>
          <cell r="L584">
            <v>241833.84</v>
          </cell>
          <cell r="M584">
            <v>134242.65999999997</v>
          </cell>
          <cell r="N584">
            <v>254051.7099999999</v>
          </cell>
          <cell r="O584">
            <v>61738.860000000132</v>
          </cell>
          <cell r="P584">
            <v>151328.35999999987</v>
          </cell>
          <cell r="Q584">
            <v>1807951.5899999957</v>
          </cell>
        </row>
        <row r="586">
          <cell r="A586" t="str">
            <v>DD&amp;A</v>
          </cell>
        </row>
        <row r="587">
          <cell r="A587" t="str">
            <v>Depreciation</v>
          </cell>
        </row>
        <row r="588">
          <cell r="A588">
            <v>51260</v>
          </cell>
          <cell r="B588" t="str">
            <v>Depreciation</v>
          </cell>
          <cell r="E588">
            <v>49490.6</v>
          </cell>
          <cell r="F588">
            <v>49625.87</v>
          </cell>
          <cell r="G588">
            <v>49625.95</v>
          </cell>
          <cell r="H588">
            <v>49620.11</v>
          </cell>
          <cell r="I588">
            <v>49620.2</v>
          </cell>
          <cell r="J588">
            <v>48737.05</v>
          </cell>
          <cell r="K588">
            <v>48736.639999999999</v>
          </cell>
          <cell r="L588">
            <v>47681.86</v>
          </cell>
          <cell r="M588">
            <v>47682.18</v>
          </cell>
          <cell r="N588">
            <v>47681.87</v>
          </cell>
          <cell r="O588">
            <v>47328.05</v>
          </cell>
          <cell r="P588">
            <v>47849.53</v>
          </cell>
          <cell r="Q588">
            <v>583679.91</v>
          </cell>
        </row>
        <row r="589">
          <cell r="A589">
            <v>54260</v>
          </cell>
          <cell r="B589" t="str">
            <v>Depreciation</v>
          </cell>
          <cell r="E589">
            <v>11933.53</v>
          </cell>
          <cell r="F589">
            <v>11933.51</v>
          </cell>
          <cell r="G589">
            <v>11933.4</v>
          </cell>
          <cell r="H589">
            <v>11933.26</v>
          </cell>
          <cell r="I589">
            <v>11933.49</v>
          </cell>
          <cell r="J589">
            <v>11933.83</v>
          </cell>
          <cell r="K589">
            <v>11932.86</v>
          </cell>
          <cell r="L589">
            <v>11933.32</v>
          </cell>
          <cell r="M589">
            <v>11933.62</v>
          </cell>
          <cell r="N589">
            <v>11933.41</v>
          </cell>
          <cell r="O589">
            <v>11933.19</v>
          </cell>
          <cell r="P589">
            <v>11933.37</v>
          </cell>
          <cell r="Q589">
            <v>143200.79</v>
          </cell>
        </row>
        <row r="590">
          <cell r="A590">
            <v>56260</v>
          </cell>
          <cell r="B590" t="str">
            <v>Depreciation</v>
          </cell>
          <cell r="E590">
            <v>0</v>
          </cell>
          <cell r="F590">
            <v>0</v>
          </cell>
          <cell r="G590">
            <v>0</v>
          </cell>
          <cell r="H590">
            <v>0</v>
          </cell>
          <cell r="I590">
            <v>0</v>
          </cell>
          <cell r="J590">
            <v>0</v>
          </cell>
          <cell r="K590">
            <v>0</v>
          </cell>
          <cell r="L590">
            <v>0</v>
          </cell>
          <cell r="M590">
            <v>0</v>
          </cell>
          <cell r="N590">
            <v>0</v>
          </cell>
          <cell r="O590">
            <v>0</v>
          </cell>
          <cell r="P590">
            <v>0</v>
          </cell>
          <cell r="Q590">
            <v>0</v>
          </cell>
        </row>
        <row r="591">
          <cell r="A591">
            <v>57260</v>
          </cell>
          <cell r="B591" t="str">
            <v>Depreciation</v>
          </cell>
          <cell r="E591">
            <v>2414.64</v>
          </cell>
          <cell r="F591">
            <v>2414.6799999999998</v>
          </cell>
          <cell r="G591">
            <v>2414.64</v>
          </cell>
          <cell r="H591">
            <v>2441.84</v>
          </cell>
          <cell r="I591">
            <v>2441.87</v>
          </cell>
          <cell r="J591">
            <v>2441.86</v>
          </cell>
          <cell r="K591">
            <v>2441.83</v>
          </cell>
          <cell r="L591">
            <v>2503.59</v>
          </cell>
          <cell r="M591">
            <v>2503.59</v>
          </cell>
          <cell r="N591">
            <v>3307.76</v>
          </cell>
          <cell r="O591">
            <v>3318.13</v>
          </cell>
          <cell r="P591">
            <v>3312.93</v>
          </cell>
          <cell r="Q591">
            <v>31957.360000000004</v>
          </cell>
        </row>
        <row r="592">
          <cell r="A592">
            <v>60260</v>
          </cell>
          <cell r="B592" t="str">
            <v>Depreciation</v>
          </cell>
          <cell r="E592">
            <v>0</v>
          </cell>
          <cell r="F592">
            <v>0</v>
          </cell>
          <cell r="G592">
            <v>0</v>
          </cell>
          <cell r="H592">
            <v>0</v>
          </cell>
          <cell r="I592">
            <v>0</v>
          </cell>
          <cell r="J592">
            <v>0</v>
          </cell>
          <cell r="K592">
            <v>0</v>
          </cell>
          <cell r="L592">
            <v>0</v>
          </cell>
          <cell r="M592">
            <v>0</v>
          </cell>
          <cell r="N592">
            <v>0</v>
          </cell>
          <cell r="O592">
            <v>0</v>
          </cell>
          <cell r="P592">
            <v>0</v>
          </cell>
          <cell r="Q592">
            <v>0</v>
          </cell>
        </row>
        <row r="593">
          <cell r="A593">
            <v>70257</v>
          </cell>
          <cell r="B593" t="str">
            <v>Depreciation</v>
          </cell>
          <cell r="E593">
            <v>0</v>
          </cell>
          <cell r="F593">
            <v>0</v>
          </cell>
          <cell r="G593">
            <v>0</v>
          </cell>
          <cell r="H593">
            <v>0</v>
          </cell>
          <cell r="I593">
            <v>0</v>
          </cell>
          <cell r="J593">
            <v>0</v>
          </cell>
          <cell r="K593">
            <v>0</v>
          </cell>
          <cell r="L593">
            <v>0</v>
          </cell>
          <cell r="M593">
            <v>0</v>
          </cell>
          <cell r="N593">
            <v>0</v>
          </cell>
          <cell r="O593">
            <v>0</v>
          </cell>
          <cell r="P593">
            <v>0</v>
          </cell>
          <cell r="Q593">
            <v>0</v>
          </cell>
        </row>
        <row r="594">
          <cell r="A594">
            <v>70260</v>
          </cell>
          <cell r="B594" t="str">
            <v>Depreciation</v>
          </cell>
          <cell r="E594">
            <v>1532.42</v>
          </cell>
          <cell r="F594">
            <v>1532.4</v>
          </cell>
          <cell r="G594">
            <v>1532.42</v>
          </cell>
          <cell r="H594">
            <v>1459.5</v>
          </cell>
          <cell r="I594">
            <v>1459.49</v>
          </cell>
          <cell r="J594">
            <v>1422.66</v>
          </cell>
          <cell r="K594">
            <v>1422.61</v>
          </cell>
          <cell r="L594">
            <v>1422.6</v>
          </cell>
          <cell r="M594">
            <v>1422.64</v>
          </cell>
          <cell r="N594">
            <v>1422.61</v>
          </cell>
          <cell r="O594">
            <v>1422.62</v>
          </cell>
          <cell r="P594">
            <v>1595.38</v>
          </cell>
          <cell r="Q594">
            <v>17647.350000000002</v>
          </cell>
        </row>
        <row r="595">
          <cell r="A595" t="str">
            <v>Total Depreciation</v>
          </cell>
          <cell r="E595">
            <v>65371.189999999995</v>
          </cell>
          <cell r="F595">
            <v>65506.460000000006</v>
          </cell>
          <cell r="G595">
            <v>65506.409999999996</v>
          </cell>
          <cell r="H595">
            <v>65454.710000000006</v>
          </cell>
          <cell r="I595">
            <v>65455.049999999996</v>
          </cell>
          <cell r="J595">
            <v>64535.400000000009</v>
          </cell>
          <cell r="K595">
            <v>64533.94</v>
          </cell>
          <cell r="L595">
            <v>63541.37</v>
          </cell>
          <cell r="M595">
            <v>63542.03</v>
          </cell>
          <cell r="N595">
            <v>64345.65</v>
          </cell>
          <cell r="O595">
            <v>64001.990000000005</v>
          </cell>
          <cell r="P595">
            <v>64691.21</v>
          </cell>
          <cell r="Q595">
            <v>776485.41</v>
          </cell>
        </row>
        <row r="597">
          <cell r="A597" t="str">
            <v>Depletion</v>
          </cell>
        </row>
        <row r="598">
          <cell r="A598">
            <v>46000</v>
          </cell>
          <cell r="B598" t="str">
            <v>Depletion</v>
          </cell>
          <cell r="E598">
            <v>0</v>
          </cell>
          <cell r="F598">
            <v>0</v>
          </cell>
          <cell r="G598">
            <v>0</v>
          </cell>
          <cell r="H598">
            <v>0</v>
          </cell>
          <cell r="I598">
            <v>0</v>
          </cell>
          <cell r="J598">
            <v>0</v>
          </cell>
          <cell r="K598">
            <v>0</v>
          </cell>
          <cell r="L598">
            <v>0</v>
          </cell>
          <cell r="M598">
            <v>0</v>
          </cell>
          <cell r="N598">
            <v>0</v>
          </cell>
          <cell r="O598">
            <v>0</v>
          </cell>
          <cell r="P598">
            <v>0</v>
          </cell>
          <cell r="Q598">
            <v>0</v>
          </cell>
        </row>
        <row r="599">
          <cell r="A599">
            <v>46010</v>
          </cell>
          <cell r="B599" t="str">
            <v>Closure Amortization</v>
          </cell>
          <cell r="E599">
            <v>0</v>
          </cell>
          <cell r="F599">
            <v>0</v>
          </cell>
          <cell r="G599">
            <v>0</v>
          </cell>
          <cell r="H599">
            <v>0</v>
          </cell>
          <cell r="I599">
            <v>0</v>
          </cell>
          <cell r="J599">
            <v>0</v>
          </cell>
          <cell r="K599">
            <v>0</v>
          </cell>
          <cell r="L599">
            <v>0</v>
          </cell>
          <cell r="M599">
            <v>0</v>
          </cell>
          <cell r="N599">
            <v>0</v>
          </cell>
          <cell r="O599">
            <v>0</v>
          </cell>
          <cell r="P599">
            <v>0</v>
          </cell>
          <cell r="Q599">
            <v>0</v>
          </cell>
        </row>
        <row r="600">
          <cell r="A600">
            <v>57261</v>
          </cell>
          <cell r="B600" t="str">
            <v>Airspace Amortization</v>
          </cell>
          <cell r="E600">
            <v>0</v>
          </cell>
          <cell r="F600">
            <v>0</v>
          </cell>
          <cell r="G600">
            <v>0</v>
          </cell>
          <cell r="H600">
            <v>0</v>
          </cell>
          <cell r="I600">
            <v>0</v>
          </cell>
          <cell r="J600">
            <v>0</v>
          </cell>
          <cell r="K600">
            <v>0</v>
          </cell>
          <cell r="L600">
            <v>0</v>
          </cell>
          <cell r="M600">
            <v>0</v>
          </cell>
          <cell r="N600">
            <v>0</v>
          </cell>
          <cell r="O600">
            <v>0</v>
          </cell>
          <cell r="P600">
            <v>0</v>
          </cell>
          <cell r="Q600">
            <v>0</v>
          </cell>
        </row>
        <row r="601">
          <cell r="A601" t="str">
            <v>Total Depletion</v>
          </cell>
          <cell r="E601">
            <v>0</v>
          </cell>
          <cell r="F601">
            <v>0</v>
          </cell>
          <cell r="G601">
            <v>0</v>
          </cell>
          <cell r="H601">
            <v>0</v>
          </cell>
          <cell r="I601">
            <v>0</v>
          </cell>
          <cell r="J601">
            <v>0</v>
          </cell>
          <cell r="K601">
            <v>0</v>
          </cell>
          <cell r="L601">
            <v>0</v>
          </cell>
          <cell r="M601">
            <v>0</v>
          </cell>
          <cell r="N601">
            <v>0</v>
          </cell>
          <cell r="O601">
            <v>0</v>
          </cell>
          <cell r="P601">
            <v>0</v>
          </cell>
          <cell r="Q601">
            <v>0</v>
          </cell>
        </row>
        <row r="603">
          <cell r="A603" t="str">
            <v>Amortization</v>
          </cell>
        </row>
        <row r="604">
          <cell r="A604">
            <v>70264</v>
          </cell>
          <cell r="B604" t="str">
            <v>Amortization</v>
          </cell>
          <cell r="E604">
            <v>0</v>
          </cell>
          <cell r="F604">
            <v>0</v>
          </cell>
          <cell r="G604">
            <v>0</v>
          </cell>
          <cell r="H604">
            <v>0</v>
          </cell>
          <cell r="I604">
            <v>0</v>
          </cell>
          <cell r="J604">
            <v>0</v>
          </cell>
          <cell r="K604">
            <v>0</v>
          </cell>
          <cell r="L604">
            <v>0</v>
          </cell>
          <cell r="M604">
            <v>0</v>
          </cell>
          <cell r="N604">
            <v>0</v>
          </cell>
          <cell r="O604">
            <v>0</v>
          </cell>
          <cell r="P604">
            <v>0</v>
          </cell>
          <cell r="Q604">
            <v>0</v>
          </cell>
        </row>
        <row r="605">
          <cell r="A605">
            <v>70266</v>
          </cell>
          <cell r="B605" t="str">
            <v>Cov. Not to Compete</v>
          </cell>
          <cell r="E605">
            <v>0</v>
          </cell>
          <cell r="F605">
            <v>0</v>
          </cell>
          <cell r="G605">
            <v>0</v>
          </cell>
          <cell r="H605">
            <v>0</v>
          </cell>
          <cell r="I605">
            <v>0</v>
          </cell>
          <cell r="J605">
            <v>0</v>
          </cell>
          <cell r="K605">
            <v>0</v>
          </cell>
          <cell r="L605">
            <v>0</v>
          </cell>
          <cell r="M605">
            <v>0</v>
          </cell>
          <cell r="N605">
            <v>0</v>
          </cell>
          <cell r="O605">
            <v>0</v>
          </cell>
          <cell r="P605">
            <v>0</v>
          </cell>
          <cell r="Q605">
            <v>0</v>
          </cell>
        </row>
        <row r="606">
          <cell r="A606">
            <v>70267</v>
          </cell>
          <cell r="B606" t="str">
            <v>Amortization of Goodwill - Taxable</v>
          </cell>
          <cell r="E606">
            <v>0</v>
          </cell>
          <cell r="F606">
            <v>0</v>
          </cell>
          <cell r="G606">
            <v>0</v>
          </cell>
          <cell r="H606">
            <v>0</v>
          </cell>
          <cell r="I606">
            <v>0</v>
          </cell>
          <cell r="J606">
            <v>0</v>
          </cell>
          <cell r="K606">
            <v>0</v>
          </cell>
          <cell r="L606">
            <v>0</v>
          </cell>
          <cell r="M606">
            <v>0</v>
          </cell>
          <cell r="N606">
            <v>0</v>
          </cell>
          <cell r="O606">
            <v>0</v>
          </cell>
          <cell r="P606">
            <v>0</v>
          </cell>
          <cell r="Q606">
            <v>0</v>
          </cell>
        </row>
        <row r="607">
          <cell r="A607">
            <v>70268</v>
          </cell>
          <cell r="B607" t="str">
            <v>Amortization of Goodwill - Non-Taxable</v>
          </cell>
          <cell r="E607">
            <v>0</v>
          </cell>
          <cell r="F607">
            <v>0</v>
          </cell>
          <cell r="G607">
            <v>0</v>
          </cell>
          <cell r="H607">
            <v>0</v>
          </cell>
          <cell r="I607">
            <v>0</v>
          </cell>
          <cell r="J607">
            <v>0</v>
          </cell>
          <cell r="K607">
            <v>0</v>
          </cell>
          <cell r="L607">
            <v>0</v>
          </cell>
          <cell r="M607">
            <v>0</v>
          </cell>
          <cell r="N607">
            <v>0</v>
          </cell>
          <cell r="O607">
            <v>0</v>
          </cell>
          <cell r="P607">
            <v>0</v>
          </cell>
          <cell r="Q607">
            <v>0</v>
          </cell>
        </row>
        <row r="608">
          <cell r="A608">
            <v>70269</v>
          </cell>
          <cell r="B608" t="str">
            <v>Long Term Contract Amort</v>
          </cell>
          <cell r="E608">
            <v>0</v>
          </cell>
          <cell r="F608">
            <v>0</v>
          </cell>
          <cell r="G608">
            <v>0</v>
          </cell>
          <cell r="H608">
            <v>0</v>
          </cell>
          <cell r="I608">
            <v>0</v>
          </cell>
          <cell r="J608">
            <v>0</v>
          </cell>
          <cell r="K608">
            <v>0</v>
          </cell>
          <cell r="L608">
            <v>0</v>
          </cell>
          <cell r="M608">
            <v>0</v>
          </cell>
          <cell r="N608">
            <v>0</v>
          </cell>
          <cell r="O608">
            <v>0</v>
          </cell>
          <cell r="P608">
            <v>0</v>
          </cell>
          <cell r="Q608">
            <v>0</v>
          </cell>
        </row>
        <row r="609">
          <cell r="A609" t="str">
            <v>Total Amortization</v>
          </cell>
          <cell r="E609">
            <v>0</v>
          </cell>
          <cell r="F609">
            <v>0</v>
          </cell>
          <cell r="G609">
            <v>0</v>
          </cell>
          <cell r="H609">
            <v>0</v>
          </cell>
          <cell r="I609">
            <v>0</v>
          </cell>
          <cell r="J609">
            <v>0</v>
          </cell>
          <cell r="K609">
            <v>0</v>
          </cell>
          <cell r="L609">
            <v>0</v>
          </cell>
          <cell r="M609">
            <v>0</v>
          </cell>
          <cell r="N609">
            <v>0</v>
          </cell>
          <cell r="O609">
            <v>0</v>
          </cell>
          <cell r="P609">
            <v>0</v>
          </cell>
          <cell r="Q609">
            <v>0</v>
          </cell>
        </row>
        <row r="611">
          <cell r="A611" t="str">
            <v>Total DDA</v>
          </cell>
          <cell r="E611">
            <v>65371.189999999995</v>
          </cell>
          <cell r="F611">
            <v>65506.460000000006</v>
          </cell>
          <cell r="G611">
            <v>65506.409999999996</v>
          </cell>
          <cell r="H611">
            <v>65454.710000000006</v>
          </cell>
          <cell r="I611">
            <v>65455.049999999996</v>
          </cell>
          <cell r="J611">
            <v>64535.400000000009</v>
          </cell>
          <cell r="K611">
            <v>64533.94</v>
          </cell>
          <cell r="L611">
            <v>63541.37</v>
          </cell>
          <cell r="M611">
            <v>63542.03</v>
          </cell>
          <cell r="N611">
            <v>64345.65</v>
          </cell>
          <cell r="O611">
            <v>64001.990000000005</v>
          </cell>
          <cell r="P611">
            <v>64691.21</v>
          </cell>
          <cell r="Q611">
            <v>776485.41</v>
          </cell>
        </row>
        <row r="613">
          <cell r="A613" t="str">
            <v>EBIT</v>
          </cell>
          <cell r="E613">
            <v>-44982.409999999909</v>
          </cell>
          <cell r="F613">
            <v>210392.18999999994</v>
          </cell>
          <cell r="G613">
            <v>12199.139999999876</v>
          </cell>
          <cell r="H613">
            <v>87764.120000000068</v>
          </cell>
          <cell r="I613">
            <v>74408.229999999749</v>
          </cell>
          <cell r="J613">
            <v>139803.31000000006</v>
          </cell>
          <cell r="K613">
            <v>28808.420000000013</v>
          </cell>
          <cell r="L613">
            <v>178292.47</v>
          </cell>
          <cell r="M613">
            <v>70700.629999999976</v>
          </cell>
          <cell r="N613">
            <v>189706.05999999991</v>
          </cell>
          <cell r="O613">
            <v>-2263.1299999998737</v>
          </cell>
          <cell r="P613">
            <v>86637.149999999878</v>
          </cell>
          <cell r="Q613">
            <v>1031466.1799999956</v>
          </cell>
        </row>
        <row r="615">
          <cell r="A615" t="str">
            <v>Interest Expense</v>
          </cell>
        </row>
        <row r="616">
          <cell r="A616">
            <v>80000</v>
          </cell>
          <cell r="B616" t="str">
            <v>Interest Expense</v>
          </cell>
          <cell r="E616">
            <v>0</v>
          </cell>
          <cell r="F616">
            <v>0</v>
          </cell>
          <cell r="G616">
            <v>0</v>
          </cell>
          <cell r="H616">
            <v>0</v>
          </cell>
          <cell r="I616">
            <v>0</v>
          </cell>
          <cell r="J616">
            <v>0</v>
          </cell>
          <cell r="K616">
            <v>0</v>
          </cell>
          <cell r="L616">
            <v>0</v>
          </cell>
          <cell r="M616">
            <v>0</v>
          </cell>
          <cell r="N616">
            <v>0</v>
          </cell>
          <cell r="O616">
            <v>0</v>
          </cell>
          <cell r="P616">
            <v>0</v>
          </cell>
          <cell r="Q616">
            <v>0</v>
          </cell>
        </row>
        <row r="617">
          <cell r="A617">
            <v>80001</v>
          </cell>
          <cell r="B617" t="str">
            <v>Debt Accretion</v>
          </cell>
          <cell r="E617">
            <v>0</v>
          </cell>
          <cell r="F617">
            <v>0</v>
          </cell>
          <cell r="G617">
            <v>0</v>
          </cell>
          <cell r="H617">
            <v>0</v>
          </cell>
          <cell r="I617">
            <v>0</v>
          </cell>
          <cell r="J617">
            <v>0</v>
          </cell>
          <cell r="K617">
            <v>0</v>
          </cell>
          <cell r="L617">
            <v>0</v>
          </cell>
          <cell r="M617">
            <v>0</v>
          </cell>
          <cell r="N617">
            <v>0</v>
          </cell>
          <cell r="O617">
            <v>0</v>
          </cell>
          <cell r="P617">
            <v>0</v>
          </cell>
          <cell r="Q617">
            <v>0</v>
          </cell>
        </row>
        <row r="618">
          <cell r="A618">
            <v>80009</v>
          </cell>
          <cell r="B618" t="str">
            <v>Capitalized Interest</v>
          </cell>
          <cell r="E618">
            <v>0</v>
          </cell>
          <cell r="F618">
            <v>0</v>
          </cell>
          <cell r="G618">
            <v>0</v>
          </cell>
          <cell r="H618">
            <v>0</v>
          </cell>
          <cell r="I618">
            <v>0</v>
          </cell>
          <cell r="J618">
            <v>0</v>
          </cell>
          <cell r="K618">
            <v>0</v>
          </cell>
          <cell r="L618">
            <v>0</v>
          </cell>
          <cell r="M618">
            <v>0</v>
          </cell>
          <cell r="N618">
            <v>0</v>
          </cell>
          <cell r="O618">
            <v>0</v>
          </cell>
          <cell r="P618">
            <v>0</v>
          </cell>
          <cell r="Q618">
            <v>0</v>
          </cell>
        </row>
        <row r="619">
          <cell r="A619">
            <v>80099</v>
          </cell>
          <cell r="B619" t="str">
            <v>Interest Allocation</v>
          </cell>
          <cell r="E619">
            <v>0</v>
          </cell>
          <cell r="F619">
            <v>0</v>
          </cell>
          <cell r="G619">
            <v>0</v>
          </cell>
          <cell r="H619">
            <v>0</v>
          </cell>
          <cell r="I619">
            <v>0</v>
          </cell>
          <cell r="J619">
            <v>0</v>
          </cell>
          <cell r="K619">
            <v>0</v>
          </cell>
          <cell r="L619">
            <v>0</v>
          </cell>
          <cell r="M619">
            <v>0</v>
          </cell>
          <cell r="N619">
            <v>0</v>
          </cell>
          <cell r="O619">
            <v>0</v>
          </cell>
          <cell r="P619">
            <v>0</v>
          </cell>
          <cell r="Q619">
            <v>0</v>
          </cell>
        </row>
        <row r="620">
          <cell r="A620" t="str">
            <v>Total Interest Expense</v>
          </cell>
          <cell r="E620">
            <v>0</v>
          </cell>
          <cell r="F620">
            <v>0</v>
          </cell>
          <cell r="G620">
            <v>0</v>
          </cell>
          <cell r="H620">
            <v>0</v>
          </cell>
          <cell r="I620">
            <v>0</v>
          </cell>
          <cell r="J620">
            <v>0</v>
          </cell>
          <cell r="K620">
            <v>0</v>
          </cell>
          <cell r="L620">
            <v>0</v>
          </cell>
          <cell r="M620">
            <v>0</v>
          </cell>
          <cell r="N620">
            <v>0</v>
          </cell>
          <cell r="O620">
            <v>0</v>
          </cell>
          <cell r="P620">
            <v>0</v>
          </cell>
          <cell r="Q620">
            <v>0</v>
          </cell>
        </row>
        <row r="622">
          <cell r="A622" t="str">
            <v>Interest Income</v>
          </cell>
        </row>
        <row r="623">
          <cell r="A623">
            <v>80010</v>
          </cell>
          <cell r="B623" t="str">
            <v>Interest Income</v>
          </cell>
          <cell r="E623">
            <v>0</v>
          </cell>
          <cell r="F623">
            <v>0</v>
          </cell>
          <cell r="G623">
            <v>0</v>
          </cell>
          <cell r="H623">
            <v>0</v>
          </cell>
          <cell r="I623">
            <v>0</v>
          </cell>
          <cell r="J623">
            <v>0</v>
          </cell>
          <cell r="K623">
            <v>0</v>
          </cell>
          <cell r="L623">
            <v>0</v>
          </cell>
          <cell r="M623">
            <v>0</v>
          </cell>
          <cell r="N623">
            <v>0</v>
          </cell>
          <cell r="O623">
            <v>0</v>
          </cell>
          <cell r="P623">
            <v>0</v>
          </cell>
          <cell r="Q623">
            <v>0</v>
          </cell>
        </row>
        <row r="624">
          <cell r="A624" t="str">
            <v>Total Interest Income</v>
          </cell>
          <cell r="E624">
            <v>0</v>
          </cell>
          <cell r="F624">
            <v>0</v>
          </cell>
          <cell r="G624">
            <v>0</v>
          </cell>
          <cell r="H624">
            <v>0</v>
          </cell>
          <cell r="I624">
            <v>0</v>
          </cell>
          <cell r="J624">
            <v>0</v>
          </cell>
          <cell r="K624">
            <v>0</v>
          </cell>
          <cell r="L624">
            <v>0</v>
          </cell>
          <cell r="M624">
            <v>0</v>
          </cell>
          <cell r="N624">
            <v>0</v>
          </cell>
          <cell r="O624">
            <v>0</v>
          </cell>
          <cell r="P624">
            <v>0</v>
          </cell>
          <cell r="Q624">
            <v>0</v>
          </cell>
        </row>
        <row r="626">
          <cell r="A626" t="str">
            <v>Other (Income) and Expense</v>
          </cell>
        </row>
        <row r="627">
          <cell r="A627">
            <v>70901</v>
          </cell>
          <cell r="B627" t="str">
            <v>Pooling Costs</v>
          </cell>
          <cell r="E627">
            <v>0</v>
          </cell>
          <cell r="F627">
            <v>0</v>
          </cell>
          <cell r="G627">
            <v>0</v>
          </cell>
          <cell r="H627">
            <v>0</v>
          </cell>
          <cell r="I627">
            <v>0</v>
          </cell>
          <cell r="J627">
            <v>0</v>
          </cell>
          <cell r="K627">
            <v>0</v>
          </cell>
          <cell r="L627">
            <v>0</v>
          </cell>
          <cell r="M627">
            <v>0</v>
          </cell>
          <cell r="N627">
            <v>0</v>
          </cell>
          <cell r="O627">
            <v>0</v>
          </cell>
          <cell r="P627">
            <v>0</v>
          </cell>
          <cell r="Q627">
            <v>0</v>
          </cell>
        </row>
        <row r="628">
          <cell r="A628">
            <v>91000</v>
          </cell>
          <cell r="B628" t="str">
            <v>Unusual Gain/Loss</v>
          </cell>
          <cell r="E628">
            <v>0</v>
          </cell>
          <cell r="F628">
            <v>0</v>
          </cell>
          <cell r="G628">
            <v>0</v>
          </cell>
          <cell r="H628">
            <v>0</v>
          </cell>
          <cell r="I628">
            <v>0</v>
          </cell>
          <cell r="J628">
            <v>0</v>
          </cell>
          <cell r="K628">
            <v>0</v>
          </cell>
          <cell r="L628">
            <v>0</v>
          </cell>
          <cell r="M628">
            <v>0</v>
          </cell>
          <cell r="N628">
            <v>0</v>
          </cell>
          <cell r="O628">
            <v>0</v>
          </cell>
          <cell r="P628">
            <v>0</v>
          </cell>
          <cell r="Q628">
            <v>0</v>
          </cell>
        </row>
        <row r="629">
          <cell r="A629">
            <v>91001</v>
          </cell>
          <cell r="B629" t="str">
            <v>Investment Distribution Income</v>
          </cell>
          <cell r="E629">
            <v>0</v>
          </cell>
          <cell r="F629">
            <v>0</v>
          </cell>
          <cell r="G629">
            <v>0</v>
          </cell>
          <cell r="H629">
            <v>0</v>
          </cell>
          <cell r="I629">
            <v>0</v>
          </cell>
          <cell r="J629">
            <v>0</v>
          </cell>
          <cell r="K629">
            <v>0</v>
          </cell>
          <cell r="L629">
            <v>0</v>
          </cell>
          <cell r="M629">
            <v>0</v>
          </cell>
          <cell r="N629">
            <v>0</v>
          </cell>
          <cell r="O629">
            <v>0</v>
          </cell>
          <cell r="P629">
            <v>0</v>
          </cell>
          <cell r="Q629">
            <v>0</v>
          </cell>
        </row>
        <row r="630">
          <cell r="A630">
            <v>91002</v>
          </cell>
          <cell r="B630" t="str">
            <v>NSF Fees</v>
          </cell>
          <cell r="E630">
            <v>0</v>
          </cell>
          <cell r="F630">
            <v>0</v>
          </cell>
          <cell r="G630">
            <v>0</v>
          </cell>
          <cell r="H630">
            <v>0</v>
          </cell>
          <cell r="I630">
            <v>0</v>
          </cell>
          <cell r="J630">
            <v>0</v>
          </cell>
          <cell r="K630">
            <v>0</v>
          </cell>
          <cell r="L630">
            <v>0</v>
          </cell>
          <cell r="M630">
            <v>0</v>
          </cell>
          <cell r="N630">
            <v>0</v>
          </cell>
          <cell r="O630">
            <v>0</v>
          </cell>
          <cell r="P630">
            <v>0</v>
          </cell>
          <cell r="Q630">
            <v>0</v>
          </cell>
        </row>
        <row r="631">
          <cell r="A631" t="str">
            <v>Total Other (Income) and Expense</v>
          </cell>
          <cell r="E631">
            <v>0</v>
          </cell>
          <cell r="F631">
            <v>0</v>
          </cell>
          <cell r="G631">
            <v>0</v>
          </cell>
          <cell r="H631">
            <v>0</v>
          </cell>
          <cell r="I631">
            <v>0</v>
          </cell>
          <cell r="J631">
            <v>0</v>
          </cell>
          <cell r="K631">
            <v>0</v>
          </cell>
          <cell r="L631">
            <v>0</v>
          </cell>
          <cell r="M631">
            <v>0</v>
          </cell>
          <cell r="N631">
            <v>0</v>
          </cell>
          <cell r="O631">
            <v>0</v>
          </cell>
          <cell r="P631">
            <v>0</v>
          </cell>
          <cell r="Q631">
            <v>0</v>
          </cell>
        </row>
        <row r="633">
          <cell r="A633" t="str">
            <v>Income Before Taxes and Extraordinary Items</v>
          </cell>
          <cell r="E633">
            <v>-44982.409999999909</v>
          </cell>
          <cell r="F633">
            <v>210392.18999999994</v>
          </cell>
          <cell r="G633">
            <v>12199.139999999876</v>
          </cell>
          <cell r="H633">
            <v>87764.120000000068</v>
          </cell>
          <cell r="I633">
            <v>74408.229999999749</v>
          </cell>
          <cell r="J633">
            <v>139803.31000000006</v>
          </cell>
          <cell r="K633">
            <v>28808.420000000013</v>
          </cell>
          <cell r="L633">
            <v>178292.47</v>
          </cell>
          <cell r="M633">
            <v>70700.629999999976</v>
          </cell>
          <cell r="N633">
            <v>189706.05999999991</v>
          </cell>
          <cell r="O633">
            <v>-2263.1299999998737</v>
          </cell>
          <cell r="P633">
            <v>86637.149999999878</v>
          </cell>
          <cell r="Q633">
            <v>1031466.1799999956</v>
          </cell>
        </row>
        <row r="635">
          <cell r="A635" t="str">
            <v>Extraordinary Income and Expense</v>
          </cell>
        </row>
        <row r="636">
          <cell r="A636">
            <v>92999</v>
          </cell>
          <cell r="B636" t="str">
            <v>Extraordinary Gain/Loss</v>
          </cell>
          <cell r="E636">
            <v>0</v>
          </cell>
          <cell r="F636">
            <v>0</v>
          </cell>
          <cell r="G636">
            <v>0</v>
          </cell>
          <cell r="H636">
            <v>0</v>
          </cell>
          <cell r="I636">
            <v>0</v>
          </cell>
          <cell r="J636">
            <v>0</v>
          </cell>
          <cell r="K636">
            <v>0</v>
          </cell>
          <cell r="L636">
            <v>0</v>
          </cell>
          <cell r="M636">
            <v>0</v>
          </cell>
          <cell r="N636">
            <v>0</v>
          </cell>
          <cell r="O636">
            <v>0</v>
          </cell>
          <cell r="P636">
            <v>0</v>
          </cell>
          <cell r="Q636">
            <v>0</v>
          </cell>
        </row>
        <row r="637">
          <cell r="A637" t="str">
            <v>Total Extraordinary Income and Expense</v>
          </cell>
          <cell r="E637">
            <v>0</v>
          </cell>
          <cell r="F637">
            <v>0</v>
          </cell>
          <cell r="G637">
            <v>0</v>
          </cell>
          <cell r="H637">
            <v>0</v>
          </cell>
          <cell r="I637">
            <v>0</v>
          </cell>
          <cell r="J637">
            <v>0</v>
          </cell>
          <cell r="K637">
            <v>0</v>
          </cell>
          <cell r="L637">
            <v>0</v>
          </cell>
          <cell r="M637">
            <v>0</v>
          </cell>
          <cell r="N637">
            <v>0</v>
          </cell>
          <cell r="O637">
            <v>0</v>
          </cell>
          <cell r="P637">
            <v>0</v>
          </cell>
          <cell r="Q637">
            <v>0</v>
          </cell>
        </row>
        <row r="639">
          <cell r="A639" t="str">
            <v>Net Income Before Taxes</v>
          </cell>
          <cell r="E639">
            <v>-44982.409999999909</v>
          </cell>
          <cell r="F639">
            <v>210392.18999999994</v>
          </cell>
          <cell r="G639">
            <v>12199.139999999876</v>
          </cell>
          <cell r="H639">
            <v>87764.120000000068</v>
          </cell>
          <cell r="I639">
            <v>74408.229999999749</v>
          </cell>
          <cell r="J639">
            <v>139803.31000000006</v>
          </cell>
          <cell r="K639">
            <v>28808.420000000013</v>
          </cell>
          <cell r="L639">
            <v>178292.47</v>
          </cell>
          <cell r="M639">
            <v>70700.629999999976</v>
          </cell>
          <cell r="N639">
            <v>189706.05999999991</v>
          </cell>
          <cell r="O639">
            <v>-2263.1299999998737</v>
          </cell>
          <cell r="P639">
            <v>86637.149999999878</v>
          </cell>
          <cell r="Q639">
            <v>1031466.1799999956</v>
          </cell>
        </row>
        <row r="641">
          <cell r="A641" t="str">
            <v>Income Taxes</v>
          </cell>
        </row>
        <row r="642">
          <cell r="A642">
            <v>90000</v>
          </cell>
          <cell r="B642" t="str">
            <v>Taxes -Federal</v>
          </cell>
          <cell r="E642">
            <v>0</v>
          </cell>
          <cell r="F642">
            <v>0</v>
          </cell>
          <cell r="G642">
            <v>0</v>
          </cell>
          <cell r="H642">
            <v>0</v>
          </cell>
          <cell r="I642">
            <v>0</v>
          </cell>
          <cell r="J642">
            <v>0</v>
          </cell>
          <cell r="K642">
            <v>0</v>
          </cell>
          <cell r="L642">
            <v>0</v>
          </cell>
          <cell r="M642">
            <v>0</v>
          </cell>
          <cell r="N642">
            <v>0</v>
          </cell>
          <cell r="O642">
            <v>0</v>
          </cell>
          <cell r="P642">
            <v>0</v>
          </cell>
          <cell r="Q642">
            <v>0</v>
          </cell>
        </row>
        <row r="643">
          <cell r="A643">
            <v>90010</v>
          </cell>
          <cell r="B643" t="str">
            <v>Taxes - State</v>
          </cell>
          <cell r="E643">
            <v>0</v>
          </cell>
          <cell r="F643">
            <v>0</v>
          </cell>
          <cell r="G643">
            <v>0</v>
          </cell>
          <cell r="H643">
            <v>0</v>
          </cell>
          <cell r="I643">
            <v>0</v>
          </cell>
          <cell r="J643">
            <v>0</v>
          </cell>
          <cell r="K643">
            <v>0</v>
          </cell>
          <cell r="L643">
            <v>0</v>
          </cell>
          <cell r="M643">
            <v>0</v>
          </cell>
          <cell r="N643">
            <v>0</v>
          </cell>
          <cell r="O643">
            <v>0</v>
          </cell>
          <cell r="P643">
            <v>0</v>
          </cell>
          <cell r="Q643">
            <v>0</v>
          </cell>
        </row>
        <row r="644">
          <cell r="A644" t="str">
            <v>Total Income Taxes</v>
          </cell>
          <cell r="E644">
            <v>0</v>
          </cell>
          <cell r="F644">
            <v>0</v>
          </cell>
          <cell r="G644">
            <v>0</v>
          </cell>
          <cell r="H644">
            <v>0</v>
          </cell>
          <cell r="I644">
            <v>0</v>
          </cell>
          <cell r="J644">
            <v>0</v>
          </cell>
          <cell r="K644">
            <v>0</v>
          </cell>
          <cell r="L644">
            <v>0</v>
          </cell>
          <cell r="M644">
            <v>0</v>
          </cell>
          <cell r="N644">
            <v>0</v>
          </cell>
          <cell r="O644">
            <v>0</v>
          </cell>
          <cell r="P644">
            <v>0</v>
          </cell>
          <cell r="Q644">
            <v>0</v>
          </cell>
        </row>
        <row r="646">
          <cell r="A646" t="str">
            <v>Net Income</v>
          </cell>
          <cell r="E646">
            <v>-44982.409999999909</v>
          </cell>
          <cell r="F646">
            <v>210392.18999999994</v>
          </cell>
          <cell r="G646">
            <v>12199.139999999876</v>
          </cell>
          <cell r="H646">
            <v>87764.120000000068</v>
          </cell>
          <cell r="I646">
            <v>74408.229999999749</v>
          </cell>
          <cell r="J646">
            <v>139803.31000000006</v>
          </cell>
          <cell r="K646">
            <v>28808.420000000013</v>
          </cell>
          <cell r="L646">
            <v>178292.47</v>
          </cell>
          <cell r="M646">
            <v>70700.629999999976</v>
          </cell>
          <cell r="N646">
            <v>189706.05999999991</v>
          </cell>
          <cell r="O646">
            <v>-2263.1299999998737</v>
          </cell>
          <cell r="P646">
            <v>86637.149999999878</v>
          </cell>
          <cell r="Q646">
            <v>1031466.1799999956</v>
          </cell>
        </row>
        <row r="648">
          <cell r="A648" t="str">
            <v>Noncontrolling Interests Expense</v>
          </cell>
        </row>
        <row r="649">
          <cell r="A649">
            <v>92000</v>
          </cell>
          <cell r="B649" t="str">
            <v>Noncontrolling interests</v>
          </cell>
          <cell r="E649">
            <v>0</v>
          </cell>
          <cell r="F649">
            <v>0</v>
          </cell>
          <cell r="G649">
            <v>0</v>
          </cell>
          <cell r="H649">
            <v>0</v>
          </cell>
          <cell r="I649">
            <v>0</v>
          </cell>
          <cell r="J649">
            <v>0</v>
          </cell>
          <cell r="K649">
            <v>0</v>
          </cell>
          <cell r="L649">
            <v>0</v>
          </cell>
          <cell r="M649">
            <v>0</v>
          </cell>
          <cell r="N649">
            <v>0</v>
          </cell>
          <cell r="O649">
            <v>0</v>
          </cell>
          <cell r="P649">
            <v>0</v>
          </cell>
          <cell r="Q649">
            <v>0</v>
          </cell>
        </row>
        <row r="650">
          <cell r="A650" t="str">
            <v>Total Noncontrolling Interests</v>
          </cell>
          <cell r="E650">
            <v>0</v>
          </cell>
          <cell r="F650">
            <v>0</v>
          </cell>
          <cell r="G650">
            <v>0</v>
          </cell>
          <cell r="H650">
            <v>0</v>
          </cell>
          <cell r="I650">
            <v>0</v>
          </cell>
          <cell r="J650">
            <v>0</v>
          </cell>
          <cell r="K650">
            <v>0</v>
          </cell>
          <cell r="L650">
            <v>0</v>
          </cell>
          <cell r="M650">
            <v>0</v>
          </cell>
          <cell r="N650">
            <v>0</v>
          </cell>
          <cell r="O650">
            <v>0</v>
          </cell>
          <cell r="P650">
            <v>0</v>
          </cell>
          <cell r="Q650">
            <v>0</v>
          </cell>
        </row>
        <row r="652">
          <cell r="A652" t="str">
            <v>Net Income Attributable to Waste Connections</v>
          </cell>
          <cell r="E652">
            <v>-44982.409999999909</v>
          </cell>
          <cell r="F652">
            <v>210392.18999999994</v>
          </cell>
          <cell r="G652">
            <v>12199.139999999876</v>
          </cell>
          <cell r="H652">
            <v>87764.120000000068</v>
          </cell>
          <cell r="I652">
            <v>74408.229999999749</v>
          </cell>
          <cell r="J652">
            <v>139803.31000000006</v>
          </cell>
          <cell r="K652">
            <v>28808.420000000013</v>
          </cell>
          <cell r="L652">
            <v>178292.47</v>
          </cell>
          <cell r="M652">
            <v>70700.629999999976</v>
          </cell>
          <cell r="N652">
            <v>189706.05999999991</v>
          </cell>
          <cell r="O652">
            <v>-2263.1299999998737</v>
          </cell>
          <cell r="P652">
            <v>86637.149999999878</v>
          </cell>
          <cell r="Q652">
            <v>1031466.1799999956</v>
          </cell>
        </row>
        <row r="654">
          <cell r="A654" t="str">
            <v>Net Income Attributable to Waste Connections per categories</v>
          </cell>
          <cell r="E654">
            <v>-44982.41</v>
          </cell>
          <cell r="F654">
            <v>210392.19</v>
          </cell>
          <cell r="G654">
            <v>12199.14</v>
          </cell>
          <cell r="H654">
            <v>87764.12</v>
          </cell>
          <cell r="I654">
            <v>74408.23</v>
          </cell>
          <cell r="J654">
            <v>139803.31</v>
          </cell>
          <cell r="K654">
            <v>28808.42</v>
          </cell>
          <cell r="L654">
            <v>178292.47</v>
          </cell>
          <cell r="M654">
            <v>70700.63</v>
          </cell>
          <cell r="N654">
            <v>189706.06</v>
          </cell>
          <cell r="O654">
            <v>-2263.13</v>
          </cell>
          <cell r="P654">
            <v>86637.15</v>
          </cell>
        </row>
      </sheetData>
      <sheetData sheetId="5" refreshError="1">
        <row r="12">
          <cell r="A12" t="str">
            <v>Revenue</v>
          </cell>
        </row>
        <row r="13">
          <cell r="A13" t="str">
            <v>Hauling</v>
          </cell>
        </row>
        <row r="14">
          <cell r="A14">
            <v>31000</v>
          </cell>
          <cell r="B14" t="str">
            <v>Hauling Revenue - Roll Off Permanent</v>
          </cell>
          <cell r="E14">
            <v>102444.08</v>
          </cell>
          <cell r="F14">
            <v>106574.9</v>
          </cell>
          <cell r="G14">
            <v>117486.29</v>
          </cell>
          <cell r="H14">
            <v>113663.22</v>
          </cell>
          <cell r="I14">
            <v>107537.52</v>
          </cell>
          <cell r="J14">
            <v>118709.91</v>
          </cell>
          <cell r="K14">
            <v>120424.95</v>
          </cell>
          <cell r="L14">
            <v>126593.49</v>
          </cell>
          <cell r="M14">
            <v>117849.49</v>
          </cell>
          <cell r="N14">
            <v>117031.26</v>
          </cell>
          <cell r="O14">
            <v>112018.5</v>
          </cell>
          <cell r="P14">
            <v>117369.28</v>
          </cell>
          <cell r="Q14">
            <v>1377702.89</v>
          </cell>
        </row>
        <row r="15">
          <cell r="A15">
            <v>31001</v>
          </cell>
          <cell r="B15" t="str">
            <v>Hauling Revenue - Roll Off Temporary</v>
          </cell>
          <cell r="E15">
            <v>0</v>
          </cell>
          <cell r="F15">
            <v>0</v>
          </cell>
          <cell r="G15">
            <v>0</v>
          </cell>
          <cell r="H15">
            <v>0</v>
          </cell>
          <cell r="I15">
            <v>0</v>
          </cell>
          <cell r="J15">
            <v>0</v>
          </cell>
          <cell r="K15">
            <v>0</v>
          </cell>
          <cell r="L15">
            <v>0</v>
          </cell>
          <cell r="M15">
            <v>0</v>
          </cell>
          <cell r="N15">
            <v>0</v>
          </cell>
          <cell r="O15">
            <v>0</v>
          </cell>
          <cell r="P15">
            <v>0</v>
          </cell>
          <cell r="Q15">
            <v>0</v>
          </cell>
        </row>
        <row r="16">
          <cell r="A16">
            <v>31002</v>
          </cell>
          <cell r="B16" t="str">
            <v>Hauling Revenue - Roll Off Rental</v>
          </cell>
          <cell r="E16">
            <v>0</v>
          </cell>
          <cell r="F16">
            <v>0</v>
          </cell>
          <cell r="G16">
            <v>0</v>
          </cell>
          <cell r="H16">
            <v>0</v>
          </cell>
          <cell r="I16">
            <v>0</v>
          </cell>
          <cell r="J16">
            <v>0</v>
          </cell>
          <cell r="K16">
            <v>0</v>
          </cell>
          <cell r="L16">
            <v>0</v>
          </cell>
          <cell r="M16">
            <v>0</v>
          </cell>
          <cell r="N16">
            <v>0</v>
          </cell>
          <cell r="O16">
            <v>0</v>
          </cell>
          <cell r="P16">
            <v>0</v>
          </cell>
          <cell r="Q16">
            <v>0</v>
          </cell>
        </row>
        <row r="17">
          <cell r="A17">
            <v>31003</v>
          </cell>
          <cell r="B17" t="str">
            <v>Hauling Revenue - Roll Off Compactor Ren</v>
          </cell>
          <cell r="E17">
            <v>0</v>
          </cell>
          <cell r="F17">
            <v>0</v>
          </cell>
          <cell r="G17">
            <v>0</v>
          </cell>
          <cell r="H17">
            <v>0</v>
          </cell>
          <cell r="I17">
            <v>0</v>
          </cell>
          <cell r="J17">
            <v>0</v>
          </cell>
          <cell r="K17">
            <v>0</v>
          </cell>
          <cell r="L17">
            <v>0</v>
          </cell>
          <cell r="M17">
            <v>0</v>
          </cell>
          <cell r="N17">
            <v>0</v>
          </cell>
          <cell r="O17">
            <v>0</v>
          </cell>
          <cell r="P17">
            <v>0</v>
          </cell>
          <cell r="Q17">
            <v>0</v>
          </cell>
        </row>
        <row r="18">
          <cell r="A18">
            <v>31004</v>
          </cell>
          <cell r="B18" t="str">
            <v>Hauling Revenue - Roll Off Recycling</v>
          </cell>
          <cell r="E18">
            <v>0</v>
          </cell>
          <cell r="F18">
            <v>0</v>
          </cell>
          <cell r="G18">
            <v>0</v>
          </cell>
          <cell r="H18">
            <v>0</v>
          </cell>
          <cell r="I18">
            <v>0</v>
          </cell>
          <cell r="J18">
            <v>0</v>
          </cell>
          <cell r="K18">
            <v>0</v>
          </cell>
          <cell r="L18">
            <v>0</v>
          </cell>
          <cell r="M18">
            <v>0</v>
          </cell>
          <cell r="N18">
            <v>0</v>
          </cell>
          <cell r="O18">
            <v>0</v>
          </cell>
          <cell r="P18">
            <v>0</v>
          </cell>
          <cell r="Q18">
            <v>0</v>
          </cell>
        </row>
        <row r="19">
          <cell r="A19">
            <v>31005</v>
          </cell>
          <cell r="B19" t="str">
            <v>Corporate Roll Off Disposal Charge</v>
          </cell>
          <cell r="E19">
            <v>210983.37</v>
          </cell>
          <cell r="F19">
            <v>189715.35</v>
          </cell>
          <cell r="G19">
            <v>221645.6</v>
          </cell>
          <cell r="H19">
            <v>218362.54</v>
          </cell>
          <cell r="I19">
            <v>210236.77</v>
          </cell>
          <cell r="J19">
            <v>240624.92</v>
          </cell>
          <cell r="K19">
            <v>227991.29</v>
          </cell>
          <cell r="L19">
            <v>234898.35</v>
          </cell>
          <cell r="M19">
            <v>229778.1</v>
          </cell>
          <cell r="N19">
            <v>229912.49</v>
          </cell>
          <cell r="O19">
            <v>225521.76</v>
          </cell>
          <cell r="P19">
            <v>242379.21</v>
          </cell>
          <cell r="Q19">
            <v>2682049.75</v>
          </cell>
        </row>
        <row r="20">
          <cell r="A20">
            <v>31008</v>
          </cell>
          <cell r="B20" t="str">
            <v>Hauling Revenue - Roll Off Adjustments</v>
          </cell>
          <cell r="E20">
            <v>0</v>
          </cell>
          <cell r="F20">
            <v>0</v>
          </cell>
          <cell r="G20">
            <v>0</v>
          </cell>
          <cell r="H20">
            <v>0</v>
          </cell>
          <cell r="I20">
            <v>0</v>
          </cell>
          <cell r="J20">
            <v>0</v>
          </cell>
          <cell r="K20">
            <v>0</v>
          </cell>
          <cell r="L20">
            <v>0</v>
          </cell>
          <cell r="M20">
            <v>0</v>
          </cell>
          <cell r="N20">
            <v>0</v>
          </cell>
          <cell r="O20">
            <v>0</v>
          </cell>
          <cell r="P20">
            <v>0</v>
          </cell>
          <cell r="Q20">
            <v>0</v>
          </cell>
        </row>
        <row r="21">
          <cell r="A21">
            <v>31009</v>
          </cell>
          <cell r="B21" t="str">
            <v>Hauling Revenue - Roll Off Intercompany</v>
          </cell>
          <cell r="E21">
            <v>2048.52</v>
          </cell>
          <cell r="F21">
            <v>2727.36</v>
          </cell>
          <cell r="G21">
            <v>2727.36</v>
          </cell>
          <cell r="H21">
            <v>3409.2</v>
          </cell>
          <cell r="I21">
            <v>2727.36</v>
          </cell>
          <cell r="J21">
            <v>2727.36</v>
          </cell>
          <cell r="K21">
            <v>5009.2</v>
          </cell>
          <cell r="L21">
            <v>3527.36</v>
          </cell>
          <cell r="M21">
            <v>3327.36</v>
          </cell>
          <cell r="N21">
            <v>3409.2</v>
          </cell>
          <cell r="O21">
            <v>2727.36</v>
          </cell>
          <cell r="P21">
            <v>3409.2</v>
          </cell>
          <cell r="Q21">
            <v>37776.839999999997</v>
          </cell>
        </row>
        <row r="22">
          <cell r="A22">
            <v>31010</v>
          </cell>
          <cell r="B22" t="str">
            <v>Hauling Revenue - Roll Off Extras</v>
          </cell>
          <cell r="E22">
            <v>27177.39</v>
          </cell>
          <cell r="F22">
            <v>26583.03</v>
          </cell>
          <cell r="G22">
            <v>26586.07</v>
          </cell>
          <cell r="H22">
            <v>27681.49</v>
          </cell>
          <cell r="I22">
            <v>28895.1</v>
          </cell>
          <cell r="J22">
            <v>30218.400000000001</v>
          </cell>
          <cell r="K22">
            <v>29088.41</v>
          </cell>
          <cell r="L22">
            <v>30882.48</v>
          </cell>
          <cell r="M22">
            <v>30023.54</v>
          </cell>
          <cell r="N22">
            <v>28675.83</v>
          </cell>
          <cell r="O22">
            <v>27741.67</v>
          </cell>
          <cell r="P22">
            <v>26907</v>
          </cell>
          <cell r="Q22">
            <v>340460.41</v>
          </cell>
        </row>
        <row r="23">
          <cell r="A23">
            <v>31020</v>
          </cell>
          <cell r="B23" t="str">
            <v>Hauling Revenue - Roll Off Special Waste</v>
          </cell>
          <cell r="E23">
            <v>0</v>
          </cell>
          <cell r="F23">
            <v>0</v>
          </cell>
          <cell r="G23">
            <v>0</v>
          </cell>
          <cell r="H23">
            <v>0</v>
          </cell>
          <cell r="I23">
            <v>0</v>
          </cell>
          <cell r="J23">
            <v>0</v>
          </cell>
          <cell r="K23">
            <v>0</v>
          </cell>
          <cell r="L23">
            <v>0</v>
          </cell>
          <cell r="M23">
            <v>0</v>
          </cell>
          <cell r="N23">
            <v>0</v>
          </cell>
          <cell r="O23">
            <v>0</v>
          </cell>
          <cell r="P23">
            <v>0</v>
          </cell>
          <cell r="Q23">
            <v>0</v>
          </cell>
        </row>
        <row r="24">
          <cell r="A24">
            <v>31021</v>
          </cell>
          <cell r="B24" t="str">
            <v>Hauling Revenue - Roll Off Special Waste</v>
          </cell>
          <cell r="E24">
            <v>0</v>
          </cell>
          <cell r="F24">
            <v>0</v>
          </cell>
          <cell r="G24">
            <v>0</v>
          </cell>
          <cell r="H24">
            <v>0</v>
          </cell>
          <cell r="I24">
            <v>0</v>
          </cell>
          <cell r="J24">
            <v>0</v>
          </cell>
          <cell r="K24">
            <v>0</v>
          </cell>
          <cell r="L24">
            <v>0</v>
          </cell>
          <cell r="M24">
            <v>0</v>
          </cell>
          <cell r="N24">
            <v>0</v>
          </cell>
          <cell r="O24">
            <v>0</v>
          </cell>
          <cell r="P24">
            <v>0</v>
          </cell>
          <cell r="Q24">
            <v>0</v>
          </cell>
        </row>
        <row r="25">
          <cell r="A25">
            <v>31029</v>
          </cell>
          <cell r="B25" t="str">
            <v>Hauling Revenue - Roll Off Special Waste</v>
          </cell>
          <cell r="E25">
            <v>0</v>
          </cell>
          <cell r="F25">
            <v>0</v>
          </cell>
          <cell r="G25">
            <v>0</v>
          </cell>
          <cell r="H25">
            <v>0</v>
          </cell>
          <cell r="I25">
            <v>0</v>
          </cell>
          <cell r="J25">
            <v>0</v>
          </cell>
          <cell r="K25">
            <v>0</v>
          </cell>
          <cell r="L25">
            <v>0</v>
          </cell>
          <cell r="M25">
            <v>0</v>
          </cell>
          <cell r="N25">
            <v>0</v>
          </cell>
          <cell r="O25">
            <v>0</v>
          </cell>
          <cell r="P25">
            <v>0</v>
          </cell>
          <cell r="Q25">
            <v>0</v>
          </cell>
        </row>
        <row r="26">
          <cell r="A26">
            <v>32000</v>
          </cell>
          <cell r="B26" t="str">
            <v>Hauling Revenue - Residential MSW</v>
          </cell>
          <cell r="E26">
            <v>1215495.77</v>
          </cell>
          <cell r="F26">
            <v>1200770.8</v>
          </cell>
          <cell r="G26">
            <v>1215802.44</v>
          </cell>
          <cell r="H26">
            <v>1220176.8500000001</v>
          </cell>
          <cell r="I26">
            <v>1224050.48</v>
          </cell>
          <cell r="J26">
            <v>1230237.8799999999</v>
          </cell>
          <cell r="K26">
            <v>1235768.5</v>
          </cell>
          <cell r="L26">
            <v>1230565.3500000001</v>
          </cell>
          <cell r="M26">
            <v>1233092.93</v>
          </cell>
          <cell r="N26">
            <v>1227440.83</v>
          </cell>
          <cell r="O26">
            <v>1230545.96</v>
          </cell>
          <cell r="P26">
            <v>1228126.99</v>
          </cell>
          <cell r="Q26">
            <v>14692074.779999999</v>
          </cell>
        </row>
        <row r="27">
          <cell r="A27">
            <v>32001</v>
          </cell>
          <cell r="B27" t="str">
            <v>Hauling Revenue - Residential MSW Extras</v>
          </cell>
          <cell r="E27">
            <v>29897.43</v>
          </cell>
          <cell r="F27">
            <v>23606.09</v>
          </cell>
          <cell r="G27">
            <v>37252.050000000003</v>
          </cell>
          <cell r="H27">
            <v>36299.58</v>
          </cell>
          <cell r="I27">
            <v>42698.61</v>
          </cell>
          <cell r="J27">
            <v>50366.1</v>
          </cell>
          <cell r="K27">
            <v>50649.79</v>
          </cell>
          <cell r="L27">
            <v>43300.24</v>
          </cell>
          <cell r="M27">
            <v>44830.46</v>
          </cell>
          <cell r="N27">
            <v>36083.339999999997</v>
          </cell>
          <cell r="O27">
            <v>44102.97</v>
          </cell>
          <cell r="P27">
            <v>42927.11</v>
          </cell>
          <cell r="Q27">
            <v>482013.77</v>
          </cell>
        </row>
        <row r="28">
          <cell r="A28">
            <v>32002</v>
          </cell>
          <cell r="B28" t="str">
            <v>Hauling Revenue - Residential MSW Adjust</v>
          </cell>
          <cell r="E28">
            <v>0</v>
          </cell>
          <cell r="F28">
            <v>0</v>
          </cell>
          <cell r="G28">
            <v>0</v>
          </cell>
          <cell r="H28">
            <v>0</v>
          </cell>
          <cell r="I28">
            <v>0</v>
          </cell>
          <cell r="J28">
            <v>0</v>
          </cell>
          <cell r="K28">
            <v>0</v>
          </cell>
          <cell r="L28">
            <v>0</v>
          </cell>
          <cell r="M28">
            <v>0</v>
          </cell>
          <cell r="N28">
            <v>0</v>
          </cell>
          <cell r="O28">
            <v>0</v>
          </cell>
          <cell r="P28">
            <v>0</v>
          </cell>
          <cell r="Q28">
            <v>0</v>
          </cell>
        </row>
        <row r="29">
          <cell r="A29">
            <v>32003</v>
          </cell>
          <cell r="B29" t="str">
            <v>Hauling Revenue - Residential MSW Specia</v>
          </cell>
          <cell r="E29">
            <v>0</v>
          </cell>
          <cell r="F29">
            <v>0</v>
          </cell>
          <cell r="G29">
            <v>0</v>
          </cell>
          <cell r="H29">
            <v>0</v>
          </cell>
          <cell r="I29">
            <v>0</v>
          </cell>
          <cell r="J29">
            <v>0</v>
          </cell>
          <cell r="K29">
            <v>0</v>
          </cell>
          <cell r="L29">
            <v>0</v>
          </cell>
          <cell r="M29">
            <v>0</v>
          </cell>
          <cell r="N29">
            <v>0</v>
          </cell>
          <cell r="O29">
            <v>0</v>
          </cell>
          <cell r="P29">
            <v>0</v>
          </cell>
          <cell r="Q29">
            <v>0</v>
          </cell>
        </row>
        <row r="30">
          <cell r="A30">
            <v>32009</v>
          </cell>
          <cell r="B30" t="str">
            <v>Hauling Revenue - Residential MSW Interc</v>
          </cell>
          <cell r="E30">
            <v>0</v>
          </cell>
          <cell r="F30">
            <v>0</v>
          </cell>
          <cell r="G30">
            <v>0</v>
          </cell>
          <cell r="H30">
            <v>0</v>
          </cell>
          <cell r="I30">
            <v>0</v>
          </cell>
          <cell r="J30">
            <v>0</v>
          </cell>
          <cell r="K30">
            <v>0</v>
          </cell>
          <cell r="L30">
            <v>0</v>
          </cell>
          <cell r="M30">
            <v>0</v>
          </cell>
          <cell r="N30">
            <v>0</v>
          </cell>
          <cell r="O30">
            <v>0</v>
          </cell>
          <cell r="P30">
            <v>0</v>
          </cell>
          <cell r="Q30">
            <v>0</v>
          </cell>
        </row>
        <row r="31">
          <cell r="A31">
            <v>32100</v>
          </cell>
          <cell r="B31" t="str">
            <v>Hauling Revenue - Residential Recycling</v>
          </cell>
          <cell r="E31">
            <v>0</v>
          </cell>
          <cell r="F31">
            <v>0</v>
          </cell>
          <cell r="G31">
            <v>0</v>
          </cell>
          <cell r="H31">
            <v>0</v>
          </cell>
          <cell r="I31">
            <v>0</v>
          </cell>
          <cell r="J31">
            <v>0</v>
          </cell>
          <cell r="K31">
            <v>0</v>
          </cell>
          <cell r="L31">
            <v>0</v>
          </cell>
          <cell r="M31">
            <v>0</v>
          </cell>
          <cell r="N31">
            <v>0</v>
          </cell>
          <cell r="O31">
            <v>0</v>
          </cell>
          <cell r="P31">
            <v>0</v>
          </cell>
          <cell r="Q31">
            <v>0</v>
          </cell>
        </row>
        <row r="32">
          <cell r="A32">
            <v>32101</v>
          </cell>
          <cell r="B32" t="str">
            <v>Hauling Revenue - Residential Recycling</v>
          </cell>
          <cell r="E32">
            <v>0</v>
          </cell>
          <cell r="F32">
            <v>0</v>
          </cell>
          <cell r="G32">
            <v>0</v>
          </cell>
          <cell r="H32">
            <v>0</v>
          </cell>
          <cell r="I32">
            <v>0</v>
          </cell>
          <cell r="J32">
            <v>0</v>
          </cell>
          <cell r="K32">
            <v>0</v>
          </cell>
          <cell r="L32">
            <v>0</v>
          </cell>
          <cell r="M32">
            <v>0</v>
          </cell>
          <cell r="N32">
            <v>0</v>
          </cell>
          <cell r="O32">
            <v>0</v>
          </cell>
          <cell r="P32">
            <v>0</v>
          </cell>
          <cell r="Q32">
            <v>0</v>
          </cell>
        </row>
        <row r="33">
          <cell r="A33">
            <v>32102</v>
          </cell>
          <cell r="B33" t="str">
            <v>Hauling Revenue - Residential Recycling</v>
          </cell>
          <cell r="E33">
            <v>0</v>
          </cell>
          <cell r="F33">
            <v>0</v>
          </cell>
          <cell r="G33">
            <v>0</v>
          </cell>
          <cell r="H33">
            <v>0</v>
          </cell>
          <cell r="I33">
            <v>0</v>
          </cell>
          <cell r="J33">
            <v>0</v>
          </cell>
          <cell r="K33">
            <v>0</v>
          </cell>
          <cell r="L33">
            <v>0</v>
          </cell>
          <cell r="M33">
            <v>0</v>
          </cell>
          <cell r="N33">
            <v>0</v>
          </cell>
          <cell r="O33">
            <v>0</v>
          </cell>
          <cell r="P33">
            <v>0</v>
          </cell>
          <cell r="Q33">
            <v>0</v>
          </cell>
        </row>
        <row r="34">
          <cell r="A34">
            <v>32103</v>
          </cell>
          <cell r="B34" t="str">
            <v>Hauling Revenue - Residential Recycling</v>
          </cell>
          <cell r="E34">
            <v>0</v>
          </cell>
          <cell r="F34">
            <v>0</v>
          </cell>
          <cell r="G34">
            <v>0</v>
          </cell>
          <cell r="H34">
            <v>0</v>
          </cell>
          <cell r="I34">
            <v>0</v>
          </cell>
          <cell r="J34">
            <v>0</v>
          </cell>
          <cell r="K34">
            <v>0</v>
          </cell>
          <cell r="L34">
            <v>0</v>
          </cell>
          <cell r="M34">
            <v>0</v>
          </cell>
          <cell r="N34">
            <v>0</v>
          </cell>
          <cell r="O34">
            <v>0</v>
          </cell>
          <cell r="P34">
            <v>0</v>
          </cell>
          <cell r="Q34">
            <v>0</v>
          </cell>
        </row>
        <row r="35">
          <cell r="A35">
            <v>32109</v>
          </cell>
          <cell r="B35" t="str">
            <v>Hauling Revenue - Residential Recycling</v>
          </cell>
          <cell r="E35">
            <v>0</v>
          </cell>
          <cell r="F35">
            <v>0</v>
          </cell>
          <cell r="G35">
            <v>0</v>
          </cell>
          <cell r="H35">
            <v>0</v>
          </cell>
          <cell r="I35">
            <v>0</v>
          </cell>
          <cell r="J35">
            <v>0</v>
          </cell>
          <cell r="K35">
            <v>0</v>
          </cell>
          <cell r="L35">
            <v>0</v>
          </cell>
          <cell r="M35">
            <v>0</v>
          </cell>
          <cell r="N35">
            <v>0</v>
          </cell>
          <cell r="O35">
            <v>0</v>
          </cell>
          <cell r="P35">
            <v>0</v>
          </cell>
          <cell r="Q35">
            <v>0</v>
          </cell>
        </row>
        <row r="36">
          <cell r="A36">
            <v>32110</v>
          </cell>
          <cell r="B36" t="str">
            <v>Hauling Revenue - Residential Composting</v>
          </cell>
          <cell r="E36">
            <v>232014.97</v>
          </cell>
          <cell r="F36">
            <v>232365.45</v>
          </cell>
          <cell r="G36">
            <v>257766.36</v>
          </cell>
          <cell r="H36">
            <v>270150.08</v>
          </cell>
          <cell r="I36">
            <v>281923.53999999998</v>
          </cell>
          <cell r="J36">
            <v>287780.03999999998</v>
          </cell>
          <cell r="K36">
            <v>291816.17</v>
          </cell>
          <cell r="L36">
            <v>292493.43</v>
          </cell>
          <cell r="M36">
            <v>290035.87</v>
          </cell>
          <cell r="N36">
            <v>289167.18</v>
          </cell>
          <cell r="O36">
            <v>283845.96999999997</v>
          </cell>
          <cell r="P36">
            <v>275560.67</v>
          </cell>
          <cell r="Q36">
            <v>3284919.7300000004</v>
          </cell>
        </row>
        <row r="37">
          <cell r="A37">
            <v>32111</v>
          </cell>
          <cell r="B37" t="str">
            <v>Hauling Revenue - Residential Composting</v>
          </cell>
          <cell r="E37">
            <v>0</v>
          </cell>
          <cell r="F37">
            <v>0</v>
          </cell>
          <cell r="G37">
            <v>0</v>
          </cell>
          <cell r="H37">
            <v>0</v>
          </cell>
          <cell r="I37">
            <v>0</v>
          </cell>
          <cell r="J37">
            <v>0</v>
          </cell>
          <cell r="K37">
            <v>0</v>
          </cell>
          <cell r="L37">
            <v>0</v>
          </cell>
          <cell r="M37">
            <v>0</v>
          </cell>
          <cell r="N37">
            <v>0</v>
          </cell>
          <cell r="O37">
            <v>0</v>
          </cell>
          <cell r="P37">
            <v>0</v>
          </cell>
          <cell r="Q37">
            <v>0</v>
          </cell>
        </row>
        <row r="38">
          <cell r="A38">
            <v>32112</v>
          </cell>
          <cell r="B38" t="str">
            <v>Hauling Revenue - Residential Composting</v>
          </cell>
          <cell r="E38">
            <v>0</v>
          </cell>
          <cell r="F38">
            <v>0</v>
          </cell>
          <cell r="G38">
            <v>0</v>
          </cell>
          <cell r="H38">
            <v>0</v>
          </cell>
          <cell r="I38">
            <v>0</v>
          </cell>
          <cell r="J38">
            <v>0</v>
          </cell>
          <cell r="K38">
            <v>0</v>
          </cell>
          <cell r="L38">
            <v>0</v>
          </cell>
          <cell r="M38">
            <v>0</v>
          </cell>
          <cell r="N38">
            <v>0</v>
          </cell>
          <cell r="O38">
            <v>0</v>
          </cell>
          <cell r="P38">
            <v>0</v>
          </cell>
          <cell r="Q38">
            <v>0</v>
          </cell>
        </row>
        <row r="39">
          <cell r="A39">
            <v>32113</v>
          </cell>
          <cell r="B39" t="str">
            <v>Hauling Revenue - Residential Composting</v>
          </cell>
          <cell r="E39">
            <v>0</v>
          </cell>
          <cell r="F39">
            <v>0</v>
          </cell>
          <cell r="G39">
            <v>0</v>
          </cell>
          <cell r="H39">
            <v>0</v>
          </cell>
          <cell r="I39">
            <v>0</v>
          </cell>
          <cell r="J39">
            <v>0</v>
          </cell>
          <cell r="K39">
            <v>0</v>
          </cell>
          <cell r="L39">
            <v>0</v>
          </cell>
          <cell r="M39">
            <v>0</v>
          </cell>
          <cell r="N39">
            <v>0</v>
          </cell>
          <cell r="O39">
            <v>0</v>
          </cell>
          <cell r="P39">
            <v>0</v>
          </cell>
          <cell r="Q39">
            <v>0</v>
          </cell>
        </row>
        <row r="40">
          <cell r="A40">
            <v>32119</v>
          </cell>
          <cell r="B40" t="str">
            <v>Hauling Revenue - Residential Composting</v>
          </cell>
          <cell r="E40">
            <v>0</v>
          </cell>
          <cell r="F40">
            <v>0</v>
          </cell>
          <cell r="G40">
            <v>0</v>
          </cell>
          <cell r="H40">
            <v>0</v>
          </cell>
          <cell r="I40">
            <v>0</v>
          </cell>
          <cell r="J40">
            <v>0</v>
          </cell>
          <cell r="K40">
            <v>0</v>
          </cell>
          <cell r="L40">
            <v>0</v>
          </cell>
          <cell r="M40">
            <v>0</v>
          </cell>
          <cell r="N40">
            <v>0</v>
          </cell>
          <cell r="O40">
            <v>0</v>
          </cell>
          <cell r="P40">
            <v>0</v>
          </cell>
          <cell r="Q40">
            <v>0</v>
          </cell>
        </row>
        <row r="41">
          <cell r="A41">
            <v>33000</v>
          </cell>
          <cell r="B41" t="str">
            <v>Hauling Revenue - Commercial FEL</v>
          </cell>
          <cell r="E41">
            <v>785575.03</v>
          </cell>
          <cell r="F41">
            <v>787034.21</v>
          </cell>
          <cell r="G41">
            <v>790933.58</v>
          </cell>
          <cell r="H41">
            <v>778610.72</v>
          </cell>
          <cell r="I41">
            <v>780041.46</v>
          </cell>
          <cell r="J41">
            <v>778320.61</v>
          </cell>
          <cell r="K41">
            <v>768305.23</v>
          </cell>
          <cell r="L41">
            <v>774319.69</v>
          </cell>
          <cell r="M41">
            <v>801901.87</v>
          </cell>
          <cell r="N41">
            <v>774557.42</v>
          </cell>
          <cell r="O41">
            <v>791933.57</v>
          </cell>
          <cell r="P41">
            <v>766346.74</v>
          </cell>
          <cell r="Q41">
            <v>9377880.129999999</v>
          </cell>
        </row>
        <row r="42">
          <cell r="A42">
            <v>33001</v>
          </cell>
          <cell r="B42" t="str">
            <v>Hauling Revenue - Commercial FEL Extras</v>
          </cell>
          <cell r="E42">
            <v>39516.839999999997</v>
          </cell>
          <cell r="F42">
            <v>40932.36</v>
          </cell>
          <cell r="G42">
            <v>42606.080000000002</v>
          </cell>
          <cell r="H42">
            <v>42197.16</v>
          </cell>
          <cell r="I42">
            <v>43036.11</v>
          </cell>
          <cell r="J42">
            <v>44513.7</v>
          </cell>
          <cell r="K42">
            <v>47317.760000000002</v>
          </cell>
          <cell r="L42">
            <v>46590.51</v>
          </cell>
          <cell r="M42">
            <v>43401.91</v>
          </cell>
          <cell r="N42">
            <v>44637.59</v>
          </cell>
          <cell r="O42">
            <v>43797.96</v>
          </cell>
          <cell r="P42">
            <v>45382.02</v>
          </cell>
          <cell r="Q42">
            <v>523930.00000000006</v>
          </cell>
        </row>
        <row r="43">
          <cell r="A43">
            <v>33002</v>
          </cell>
          <cell r="B43" t="str">
            <v>Hauling Revenue - Commercial FEL Adjustm</v>
          </cell>
          <cell r="E43">
            <v>0</v>
          </cell>
          <cell r="F43">
            <v>0</v>
          </cell>
          <cell r="G43">
            <v>0</v>
          </cell>
          <cell r="H43">
            <v>0</v>
          </cell>
          <cell r="I43">
            <v>0</v>
          </cell>
          <cell r="J43">
            <v>0</v>
          </cell>
          <cell r="K43">
            <v>0</v>
          </cell>
          <cell r="L43">
            <v>0</v>
          </cell>
          <cell r="M43">
            <v>0</v>
          </cell>
          <cell r="N43">
            <v>0</v>
          </cell>
          <cell r="O43">
            <v>0</v>
          </cell>
          <cell r="P43">
            <v>0</v>
          </cell>
          <cell r="Q43">
            <v>0</v>
          </cell>
        </row>
        <row r="44">
          <cell r="A44">
            <v>33009</v>
          </cell>
          <cell r="B44" t="str">
            <v>Hauling Revenue - Commercial FEL Interco</v>
          </cell>
          <cell r="E44">
            <v>0</v>
          </cell>
          <cell r="F44">
            <v>0</v>
          </cell>
          <cell r="G44">
            <v>0</v>
          </cell>
          <cell r="H44">
            <v>0</v>
          </cell>
          <cell r="I44">
            <v>0</v>
          </cell>
          <cell r="J44">
            <v>0</v>
          </cell>
          <cell r="K44">
            <v>0</v>
          </cell>
          <cell r="L44">
            <v>0</v>
          </cell>
          <cell r="M44">
            <v>0</v>
          </cell>
          <cell r="N44">
            <v>0</v>
          </cell>
          <cell r="O44">
            <v>0</v>
          </cell>
          <cell r="P44">
            <v>0</v>
          </cell>
          <cell r="Q44">
            <v>0</v>
          </cell>
        </row>
        <row r="45">
          <cell r="A45">
            <v>33010</v>
          </cell>
          <cell r="B45" t="str">
            <v>Hauling Revenue - Commercial REL</v>
          </cell>
          <cell r="E45">
            <v>0</v>
          </cell>
          <cell r="F45">
            <v>0</v>
          </cell>
          <cell r="G45">
            <v>0</v>
          </cell>
          <cell r="H45">
            <v>0</v>
          </cell>
          <cell r="I45">
            <v>0</v>
          </cell>
          <cell r="J45">
            <v>0</v>
          </cell>
          <cell r="K45">
            <v>0</v>
          </cell>
          <cell r="L45">
            <v>0</v>
          </cell>
          <cell r="M45">
            <v>0</v>
          </cell>
          <cell r="N45">
            <v>0</v>
          </cell>
          <cell r="O45">
            <v>0</v>
          </cell>
          <cell r="P45">
            <v>0</v>
          </cell>
          <cell r="Q45">
            <v>0</v>
          </cell>
        </row>
        <row r="46">
          <cell r="A46">
            <v>33011</v>
          </cell>
          <cell r="B46" t="str">
            <v>Hauling Revenue - Commercial REL Extras</v>
          </cell>
          <cell r="E46">
            <v>0</v>
          </cell>
          <cell r="F46">
            <v>0</v>
          </cell>
          <cell r="G46">
            <v>0</v>
          </cell>
          <cell r="H46">
            <v>0</v>
          </cell>
          <cell r="I46">
            <v>0</v>
          </cell>
          <cell r="J46">
            <v>0</v>
          </cell>
          <cell r="K46">
            <v>0</v>
          </cell>
          <cell r="L46">
            <v>0</v>
          </cell>
          <cell r="M46">
            <v>0</v>
          </cell>
          <cell r="N46">
            <v>0</v>
          </cell>
          <cell r="O46">
            <v>0</v>
          </cell>
          <cell r="P46">
            <v>0</v>
          </cell>
          <cell r="Q46">
            <v>0</v>
          </cell>
        </row>
        <row r="47">
          <cell r="A47">
            <v>33012</v>
          </cell>
          <cell r="B47" t="str">
            <v>Hauling Revenue - Commercial REL Adjustm</v>
          </cell>
          <cell r="E47">
            <v>0</v>
          </cell>
          <cell r="F47">
            <v>0</v>
          </cell>
          <cell r="G47">
            <v>0</v>
          </cell>
          <cell r="H47">
            <v>0</v>
          </cell>
          <cell r="I47">
            <v>0</v>
          </cell>
          <cell r="J47">
            <v>0</v>
          </cell>
          <cell r="K47">
            <v>0</v>
          </cell>
          <cell r="L47">
            <v>0</v>
          </cell>
          <cell r="M47">
            <v>0</v>
          </cell>
          <cell r="N47">
            <v>0</v>
          </cell>
          <cell r="O47">
            <v>0</v>
          </cell>
          <cell r="P47">
            <v>0</v>
          </cell>
          <cell r="Q47">
            <v>0</v>
          </cell>
        </row>
        <row r="48">
          <cell r="A48">
            <v>33019</v>
          </cell>
          <cell r="B48" t="str">
            <v>Hauling Revenue - Commercial REL Interco</v>
          </cell>
          <cell r="E48">
            <v>0</v>
          </cell>
          <cell r="F48">
            <v>0</v>
          </cell>
          <cell r="G48">
            <v>0</v>
          </cell>
          <cell r="H48">
            <v>0</v>
          </cell>
          <cell r="I48">
            <v>0</v>
          </cell>
          <cell r="J48">
            <v>0</v>
          </cell>
          <cell r="K48">
            <v>0</v>
          </cell>
          <cell r="L48">
            <v>0</v>
          </cell>
          <cell r="M48">
            <v>0</v>
          </cell>
          <cell r="N48">
            <v>0</v>
          </cell>
          <cell r="O48">
            <v>0</v>
          </cell>
          <cell r="P48">
            <v>0</v>
          </cell>
          <cell r="Q48">
            <v>0</v>
          </cell>
        </row>
        <row r="49">
          <cell r="A49">
            <v>33020</v>
          </cell>
          <cell r="B49" t="str">
            <v>Hauling Revenue - Commercial Recycling F</v>
          </cell>
          <cell r="E49">
            <v>119520.55</v>
          </cell>
          <cell r="F49">
            <v>122687.61</v>
          </cell>
          <cell r="G49">
            <v>123043.3</v>
          </cell>
          <cell r="H49">
            <v>123772.17</v>
          </cell>
          <cell r="I49">
            <v>125625.36</v>
          </cell>
          <cell r="J49">
            <v>127061.96</v>
          </cell>
          <cell r="K49">
            <v>116074.3</v>
          </cell>
          <cell r="L49">
            <v>111337.44</v>
          </cell>
          <cell r="M49">
            <v>128400.61</v>
          </cell>
          <cell r="N49">
            <v>133541.20000000001</v>
          </cell>
          <cell r="O49">
            <v>129324.87</v>
          </cell>
          <cell r="P49">
            <v>130696.08</v>
          </cell>
          <cell r="Q49">
            <v>1491085.4500000002</v>
          </cell>
        </row>
        <row r="50">
          <cell r="A50">
            <v>33021</v>
          </cell>
          <cell r="B50" t="str">
            <v>Hauling Revenue - Commercial Recycling F</v>
          </cell>
          <cell r="E50">
            <v>0</v>
          </cell>
          <cell r="F50">
            <v>0</v>
          </cell>
          <cell r="G50">
            <v>0</v>
          </cell>
          <cell r="H50">
            <v>0</v>
          </cell>
          <cell r="I50">
            <v>0</v>
          </cell>
          <cell r="J50">
            <v>0</v>
          </cell>
          <cell r="K50">
            <v>0</v>
          </cell>
          <cell r="L50">
            <v>0</v>
          </cell>
          <cell r="M50">
            <v>0</v>
          </cell>
          <cell r="N50">
            <v>0</v>
          </cell>
          <cell r="O50">
            <v>0</v>
          </cell>
          <cell r="P50">
            <v>0</v>
          </cell>
          <cell r="Q50">
            <v>0</v>
          </cell>
        </row>
        <row r="51">
          <cell r="A51">
            <v>33022</v>
          </cell>
          <cell r="B51" t="str">
            <v>Hauling Revenue - Commercial Recycling F</v>
          </cell>
          <cell r="E51">
            <v>0</v>
          </cell>
          <cell r="F51">
            <v>0</v>
          </cell>
          <cell r="G51">
            <v>0</v>
          </cell>
          <cell r="H51">
            <v>0</v>
          </cell>
          <cell r="I51">
            <v>0</v>
          </cell>
          <cell r="J51">
            <v>0</v>
          </cell>
          <cell r="K51">
            <v>0</v>
          </cell>
          <cell r="L51">
            <v>0</v>
          </cell>
          <cell r="M51">
            <v>0</v>
          </cell>
          <cell r="N51">
            <v>0</v>
          </cell>
          <cell r="O51">
            <v>0</v>
          </cell>
          <cell r="P51">
            <v>0</v>
          </cell>
          <cell r="Q51">
            <v>0</v>
          </cell>
        </row>
        <row r="52">
          <cell r="A52">
            <v>33029</v>
          </cell>
          <cell r="B52" t="str">
            <v>Hauling Revenue - Commercial Recycling F</v>
          </cell>
          <cell r="E52">
            <v>0</v>
          </cell>
          <cell r="F52">
            <v>0</v>
          </cell>
          <cell r="G52">
            <v>0</v>
          </cell>
          <cell r="H52">
            <v>0</v>
          </cell>
          <cell r="I52">
            <v>0</v>
          </cell>
          <cell r="J52">
            <v>0</v>
          </cell>
          <cell r="K52">
            <v>0</v>
          </cell>
          <cell r="L52">
            <v>0</v>
          </cell>
          <cell r="M52">
            <v>0</v>
          </cell>
          <cell r="N52">
            <v>0</v>
          </cell>
          <cell r="O52">
            <v>0</v>
          </cell>
          <cell r="P52">
            <v>0</v>
          </cell>
          <cell r="Q52">
            <v>0</v>
          </cell>
        </row>
        <row r="53">
          <cell r="A53">
            <v>33030</v>
          </cell>
          <cell r="B53" t="str">
            <v>Hauling Revenue - Commercial Recycling R</v>
          </cell>
          <cell r="E53">
            <v>0</v>
          </cell>
          <cell r="F53">
            <v>0</v>
          </cell>
          <cell r="G53">
            <v>0</v>
          </cell>
          <cell r="H53">
            <v>0</v>
          </cell>
          <cell r="I53">
            <v>0</v>
          </cell>
          <cell r="J53">
            <v>0</v>
          </cell>
          <cell r="K53">
            <v>0</v>
          </cell>
          <cell r="L53">
            <v>0</v>
          </cell>
          <cell r="M53">
            <v>0</v>
          </cell>
          <cell r="N53">
            <v>0</v>
          </cell>
          <cell r="O53">
            <v>0</v>
          </cell>
          <cell r="P53">
            <v>0</v>
          </cell>
          <cell r="Q53">
            <v>0</v>
          </cell>
        </row>
        <row r="54">
          <cell r="A54">
            <v>33031</v>
          </cell>
          <cell r="B54" t="str">
            <v>Hauling Revenue - Commercial Recycling R</v>
          </cell>
          <cell r="E54">
            <v>0</v>
          </cell>
          <cell r="F54">
            <v>0</v>
          </cell>
          <cell r="G54">
            <v>0</v>
          </cell>
          <cell r="H54">
            <v>0</v>
          </cell>
          <cell r="I54">
            <v>0</v>
          </cell>
          <cell r="J54">
            <v>0</v>
          </cell>
          <cell r="K54">
            <v>0</v>
          </cell>
          <cell r="L54">
            <v>0</v>
          </cell>
          <cell r="M54">
            <v>0</v>
          </cell>
          <cell r="N54">
            <v>0</v>
          </cell>
          <cell r="O54">
            <v>0</v>
          </cell>
          <cell r="P54">
            <v>0</v>
          </cell>
          <cell r="Q54">
            <v>0</v>
          </cell>
        </row>
        <row r="55">
          <cell r="A55">
            <v>33032</v>
          </cell>
          <cell r="B55" t="str">
            <v>Hauling Revenue - Commercial Recycling R</v>
          </cell>
          <cell r="E55">
            <v>0</v>
          </cell>
          <cell r="F55">
            <v>0</v>
          </cell>
          <cell r="G55">
            <v>0</v>
          </cell>
          <cell r="H55">
            <v>0</v>
          </cell>
          <cell r="I55">
            <v>0</v>
          </cell>
          <cell r="J55">
            <v>0</v>
          </cell>
          <cell r="K55">
            <v>0</v>
          </cell>
          <cell r="L55">
            <v>0</v>
          </cell>
          <cell r="M55">
            <v>0</v>
          </cell>
          <cell r="N55">
            <v>0</v>
          </cell>
          <cell r="O55">
            <v>0</v>
          </cell>
          <cell r="P55">
            <v>0</v>
          </cell>
          <cell r="Q55">
            <v>0</v>
          </cell>
        </row>
        <row r="56">
          <cell r="A56">
            <v>33039</v>
          </cell>
          <cell r="B56" t="str">
            <v>Hauling Revenue - Commercial Recycling R</v>
          </cell>
          <cell r="E56">
            <v>0</v>
          </cell>
          <cell r="F56">
            <v>0</v>
          </cell>
          <cell r="G56">
            <v>0</v>
          </cell>
          <cell r="H56">
            <v>0</v>
          </cell>
          <cell r="I56">
            <v>0</v>
          </cell>
          <cell r="J56">
            <v>0</v>
          </cell>
          <cell r="K56">
            <v>0</v>
          </cell>
          <cell r="L56">
            <v>0</v>
          </cell>
          <cell r="M56">
            <v>0</v>
          </cell>
          <cell r="N56">
            <v>0</v>
          </cell>
          <cell r="O56">
            <v>0</v>
          </cell>
          <cell r="P56">
            <v>0</v>
          </cell>
          <cell r="Q56">
            <v>0</v>
          </cell>
        </row>
        <row r="57">
          <cell r="A57">
            <v>33500</v>
          </cell>
          <cell r="B57" t="str">
            <v>Portable Toilet Revenue</v>
          </cell>
          <cell r="E57">
            <v>0</v>
          </cell>
          <cell r="F57">
            <v>0</v>
          </cell>
          <cell r="G57">
            <v>0</v>
          </cell>
          <cell r="H57">
            <v>0</v>
          </cell>
          <cell r="I57">
            <v>0</v>
          </cell>
          <cell r="J57">
            <v>0</v>
          </cell>
          <cell r="K57">
            <v>0</v>
          </cell>
          <cell r="L57">
            <v>0</v>
          </cell>
          <cell r="M57">
            <v>0</v>
          </cell>
          <cell r="N57">
            <v>0</v>
          </cell>
          <cell r="O57">
            <v>0</v>
          </cell>
          <cell r="P57">
            <v>0</v>
          </cell>
          <cell r="Q57">
            <v>0</v>
          </cell>
        </row>
        <row r="58">
          <cell r="A58">
            <v>33501</v>
          </cell>
          <cell r="B58" t="str">
            <v>Portable Toilet Extras</v>
          </cell>
          <cell r="E58">
            <v>0</v>
          </cell>
          <cell r="F58">
            <v>0</v>
          </cell>
          <cell r="G58">
            <v>0</v>
          </cell>
          <cell r="H58">
            <v>0</v>
          </cell>
          <cell r="I58">
            <v>0</v>
          </cell>
          <cell r="J58">
            <v>0</v>
          </cell>
          <cell r="K58">
            <v>0</v>
          </cell>
          <cell r="L58">
            <v>0</v>
          </cell>
          <cell r="M58">
            <v>0</v>
          </cell>
          <cell r="N58">
            <v>0</v>
          </cell>
          <cell r="O58">
            <v>0</v>
          </cell>
          <cell r="P58">
            <v>0</v>
          </cell>
          <cell r="Q58">
            <v>0</v>
          </cell>
        </row>
        <row r="59">
          <cell r="A59">
            <v>33502</v>
          </cell>
          <cell r="B59" t="str">
            <v>Portable Toilet Adjustments</v>
          </cell>
          <cell r="E59">
            <v>0</v>
          </cell>
          <cell r="F59">
            <v>0</v>
          </cell>
          <cell r="G59">
            <v>0</v>
          </cell>
          <cell r="H59">
            <v>0</v>
          </cell>
          <cell r="I59">
            <v>0</v>
          </cell>
          <cell r="J59">
            <v>0</v>
          </cell>
          <cell r="K59">
            <v>0</v>
          </cell>
          <cell r="L59">
            <v>0</v>
          </cell>
          <cell r="M59">
            <v>0</v>
          </cell>
          <cell r="N59">
            <v>0</v>
          </cell>
          <cell r="O59">
            <v>0</v>
          </cell>
          <cell r="P59">
            <v>0</v>
          </cell>
          <cell r="Q59">
            <v>0</v>
          </cell>
        </row>
        <row r="60">
          <cell r="A60">
            <v>33509</v>
          </cell>
          <cell r="B60" t="str">
            <v>Portable Toilet Intercompany</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Total Hauling</v>
          </cell>
          <cell r="E61">
            <v>2764673.9499999997</v>
          </cell>
          <cell r="F61">
            <v>2732997.1599999997</v>
          </cell>
          <cell r="G61">
            <v>2835849.13</v>
          </cell>
          <cell r="H61">
            <v>2834323.0100000002</v>
          </cell>
          <cell r="I61">
            <v>2846772.3099999996</v>
          </cell>
          <cell r="J61">
            <v>2910560.8800000004</v>
          </cell>
          <cell r="K61">
            <v>2892445.5999999996</v>
          </cell>
          <cell r="L61">
            <v>2894508.3399999994</v>
          </cell>
          <cell r="M61">
            <v>2922642.14</v>
          </cell>
          <cell r="N61">
            <v>2884456.3400000003</v>
          </cell>
          <cell r="O61">
            <v>2891560.59</v>
          </cell>
          <cell r="P61">
            <v>2879104.3000000003</v>
          </cell>
          <cell r="Q61">
            <v>34289893.75</v>
          </cell>
        </row>
        <row r="63">
          <cell r="A63" t="str">
            <v>Transfer</v>
          </cell>
        </row>
        <row r="64">
          <cell r="A64">
            <v>35000</v>
          </cell>
          <cell r="B64" t="str">
            <v>Transfer Station - Third Party</v>
          </cell>
          <cell r="E64">
            <v>0</v>
          </cell>
          <cell r="F64">
            <v>0</v>
          </cell>
          <cell r="G64">
            <v>0</v>
          </cell>
          <cell r="H64">
            <v>0</v>
          </cell>
          <cell r="I64">
            <v>0</v>
          </cell>
          <cell r="J64">
            <v>0</v>
          </cell>
          <cell r="K64">
            <v>0</v>
          </cell>
          <cell r="L64">
            <v>0</v>
          </cell>
          <cell r="M64">
            <v>0</v>
          </cell>
          <cell r="N64">
            <v>0</v>
          </cell>
          <cell r="O64">
            <v>0</v>
          </cell>
          <cell r="P64">
            <v>0</v>
          </cell>
          <cell r="Q64">
            <v>0</v>
          </cell>
        </row>
        <row r="65">
          <cell r="A65">
            <v>35001</v>
          </cell>
          <cell r="B65" t="str">
            <v>Transfer Station - Third Party Adjustmen</v>
          </cell>
          <cell r="E65">
            <v>0</v>
          </cell>
          <cell r="F65">
            <v>0</v>
          </cell>
          <cell r="G65">
            <v>0</v>
          </cell>
          <cell r="H65">
            <v>0</v>
          </cell>
          <cell r="I65">
            <v>0</v>
          </cell>
          <cell r="J65">
            <v>0</v>
          </cell>
          <cell r="K65">
            <v>0</v>
          </cell>
          <cell r="L65">
            <v>0</v>
          </cell>
          <cell r="M65">
            <v>0</v>
          </cell>
          <cell r="N65">
            <v>0</v>
          </cell>
          <cell r="O65">
            <v>0</v>
          </cell>
          <cell r="P65">
            <v>0</v>
          </cell>
          <cell r="Q65">
            <v>0</v>
          </cell>
        </row>
        <row r="66">
          <cell r="A66">
            <v>35009</v>
          </cell>
          <cell r="B66" t="str">
            <v>Transfer Station - Intercompany</v>
          </cell>
          <cell r="E66">
            <v>0</v>
          </cell>
          <cell r="F66">
            <v>0</v>
          </cell>
          <cell r="G66">
            <v>0</v>
          </cell>
          <cell r="H66">
            <v>0</v>
          </cell>
          <cell r="I66">
            <v>0</v>
          </cell>
          <cell r="J66">
            <v>0</v>
          </cell>
          <cell r="K66">
            <v>0</v>
          </cell>
          <cell r="L66">
            <v>0</v>
          </cell>
          <cell r="M66">
            <v>0</v>
          </cell>
          <cell r="N66">
            <v>0</v>
          </cell>
          <cell r="O66">
            <v>0</v>
          </cell>
          <cell r="P66">
            <v>0</v>
          </cell>
          <cell r="Q66">
            <v>0</v>
          </cell>
        </row>
        <row r="67">
          <cell r="A67">
            <v>35500</v>
          </cell>
          <cell r="B67" t="str">
            <v>MRF Processing Charge</v>
          </cell>
          <cell r="E67">
            <v>0</v>
          </cell>
          <cell r="F67">
            <v>0</v>
          </cell>
          <cell r="G67">
            <v>0</v>
          </cell>
          <cell r="H67">
            <v>0</v>
          </cell>
          <cell r="I67">
            <v>0</v>
          </cell>
          <cell r="J67">
            <v>0</v>
          </cell>
          <cell r="K67">
            <v>0</v>
          </cell>
          <cell r="L67">
            <v>0</v>
          </cell>
          <cell r="M67">
            <v>0</v>
          </cell>
          <cell r="N67">
            <v>0</v>
          </cell>
          <cell r="O67">
            <v>0</v>
          </cell>
          <cell r="P67">
            <v>0</v>
          </cell>
          <cell r="Q67">
            <v>0</v>
          </cell>
        </row>
        <row r="68">
          <cell r="A68">
            <v>35501</v>
          </cell>
          <cell r="B68" t="str">
            <v>MRF Processing Charge Adjustments</v>
          </cell>
          <cell r="E68">
            <v>0</v>
          </cell>
          <cell r="F68">
            <v>0</v>
          </cell>
          <cell r="G68">
            <v>0</v>
          </cell>
          <cell r="H68">
            <v>0</v>
          </cell>
          <cell r="I68">
            <v>0</v>
          </cell>
          <cell r="J68">
            <v>0</v>
          </cell>
          <cell r="K68">
            <v>0</v>
          </cell>
          <cell r="L68">
            <v>0</v>
          </cell>
          <cell r="M68">
            <v>0</v>
          </cell>
          <cell r="N68">
            <v>0</v>
          </cell>
          <cell r="O68">
            <v>0</v>
          </cell>
          <cell r="P68">
            <v>0</v>
          </cell>
          <cell r="Q68">
            <v>0</v>
          </cell>
        </row>
        <row r="69">
          <cell r="A69">
            <v>35509</v>
          </cell>
          <cell r="B69" t="str">
            <v>MRF Processing Charge Intercompany</v>
          </cell>
          <cell r="E69">
            <v>0</v>
          </cell>
          <cell r="F69">
            <v>0</v>
          </cell>
          <cell r="G69">
            <v>0</v>
          </cell>
          <cell r="H69">
            <v>0</v>
          </cell>
          <cell r="I69">
            <v>0</v>
          </cell>
          <cell r="J69">
            <v>0</v>
          </cell>
          <cell r="K69">
            <v>0</v>
          </cell>
          <cell r="L69">
            <v>0</v>
          </cell>
          <cell r="M69">
            <v>0</v>
          </cell>
          <cell r="N69">
            <v>0</v>
          </cell>
          <cell r="O69">
            <v>0</v>
          </cell>
          <cell r="P69">
            <v>0</v>
          </cell>
          <cell r="Q69">
            <v>0</v>
          </cell>
        </row>
        <row r="70">
          <cell r="A70" t="str">
            <v>Total Transfer</v>
          </cell>
          <cell r="E70">
            <v>0</v>
          </cell>
          <cell r="F70">
            <v>0</v>
          </cell>
          <cell r="G70">
            <v>0</v>
          </cell>
          <cell r="H70">
            <v>0</v>
          </cell>
          <cell r="I70">
            <v>0</v>
          </cell>
          <cell r="J70">
            <v>0</v>
          </cell>
          <cell r="K70">
            <v>0</v>
          </cell>
          <cell r="L70">
            <v>0</v>
          </cell>
          <cell r="M70">
            <v>0</v>
          </cell>
          <cell r="N70">
            <v>0</v>
          </cell>
          <cell r="O70">
            <v>0</v>
          </cell>
          <cell r="P70">
            <v>0</v>
          </cell>
          <cell r="Q70">
            <v>0</v>
          </cell>
        </row>
        <row r="72">
          <cell r="A72" t="str">
            <v>MRF</v>
          </cell>
        </row>
        <row r="73">
          <cell r="A73">
            <v>35510</v>
          </cell>
          <cell r="B73" t="str">
            <v>Proceeds - OCC</v>
          </cell>
          <cell r="E73">
            <v>0</v>
          </cell>
          <cell r="F73">
            <v>0</v>
          </cell>
          <cell r="G73">
            <v>0</v>
          </cell>
          <cell r="H73">
            <v>0</v>
          </cell>
          <cell r="I73">
            <v>0</v>
          </cell>
          <cell r="J73">
            <v>0</v>
          </cell>
          <cell r="K73">
            <v>0</v>
          </cell>
          <cell r="L73">
            <v>0</v>
          </cell>
          <cell r="M73">
            <v>0</v>
          </cell>
          <cell r="N73">
            <v>0</v>
          </cell>
          <cell r="O73">
            <v>0</v>
          </cell>
          <cell r="P73">
            <v>0</v>
          </cell>
          <cell r="Q73">
            <v>0</v>
          </cell>
        </row>
        <row r="74">
          <cell r="A74">
            <v>35511</v>
          </cell>
          <cell r="B74" t="str">
            <v>Proceeds - ONP</v>
          </cell>
          <cell r="E74">
            <v>0</v>
          </cell>
          <cell r="F74">
            <v>0</v>
          </cell>
          <cell r="G74">
            <v>0</v>
          </cell>
          <cell r="H74">
            <v>0</v>
          </cell>
          <cell r="I74">
            <v>0</v>
          </cell>
          <cell r="J74">
            <v>0</v>
          </cell>
          <cell r="K74">
            <v>0</v>
          </cell>
          <cell r="L74">
            <v>0</v>
          </cell>
          <cell r="M74">
            <v>0</v>
          </cell>
          <cell r="N74">
            <v>0</v>
          </cell>
          <cell r="O74">
            <v>0</v>
          </cell>
          <cell r="P74">
            <v>0</v>
          </cell>
          <cell r="Q74">
            <v>0</v>
          </cell>
        </row>
        <row r="75">
          <cell r="A75">
            <v>35512</v>
          </cell>
          <cell r="B75" t="str">
            <v>Proceeds - Other Paper</v>
          </cell>
          <cell r="E75">
            <v>0</v>
          </cell>
          <cell r="F75">
            <v>0</v>
          </cell>
          <cell r="G75">
            <v>0</v>
          </cell>
          <cell r="H75">
            <v>0</v>
          </cell>
          <cell r="I75">
            <v>0</v>
          </cell>
          <cell r="J75">
            <v>0</v>
          </cell>
          <cell r="K75">
            <v>0</v>
          </cell>
          <cell r="L75">
            <v>0</v>
          </cell>
          <cell r="M75">
            <v>0</v>
          </cell>
          <cell r="N75">
            <v>0</v>
          </cell>
          <cell r="O75">
            <v>0</v>
          </cell>
          <cell r="P75">
            <v>0</v>
          </cell>
          <cell r="Q75">
            <v>0</v>
          </cell>
        </row>
        <row r="76">
          <cell r="A76">
            <v>35513</v>
          </cell>
          <cell r="B76" t="str">
            <v>Proceeds - Aluminum</v>
          </cell>
          <cell r="E76">
            <v>0</v>
          </cell>
          <cell r="F76">
            <v>0</v>
          </cell>
          <cell r="G76">
            <v>0</v>
          </cell>
          <cell r="H76">
            <v>0</v>
          </cell>
          <cell r="I76">
            <v>0</v>
          </cell>
          <cell r="J76">
            <v>0</v>
          </cell>
          <cell r="K76">
            <v>0</v>
          </cell>
          <cell r="L76">
            <v>0</v>
          </cell>
          <cell r="M76">
            <v>0</v>
          </cell>
          <cell r="N76">
            <v>0</v>
          </cell>
          <cell r="O76">
            <v>0</v>
          </cell>
          <cell r="P76">
            <v>0</v>
          </cell>
          <cell r="Q76">
            <v>0</v>
          </cell>
        </row>
        <row r="77">
          <cell r="A77">
            <v>35514</v>
          </cell>
          <cell r="B77" t="str">
            <v>Proceeds - Metal</v>
          </cell>
          <cell r="E77">
            <v>745.55</v>
          </cell>
          <cell r="F77">
            <v>533.20000000000005</v>
          </cell>
          <cell r="G77">
            <v>3342.9</v>
          </cell>
          <cell r="H77">
            <v>13178.15</v>
          </cell>
          <cell r="I77">
            <v>5247</v>
          </cell>
          <cell r="J77">
            <v>16966.05</v>
          </cell>
          <cell r="K77">
            <v>7984.5</v>
          </cell>
          <cell r="L77">
            <v>1463.55</v>
          </cell>
          <cell r="M77">
            <v>-1454.1</v>
          </cell>
          <cell r="N77">
            <v>1425.6</v>
          </cell>
          <cell r="O77">
            <v>1051.75</v>
          </cell>
          <cell r="P77">
            <v>1088</v>
          </cell>
          <cell r="Q77">
            <v>51572.15</v>
          </cell>
        </row>
        <row r="78">
          <cell r="A78">
            <v>35515</v>
          </cell>
          <cell r="B78" t="str">
            <v>Proceeds - Glass</v>
          </cell>
          <cell r="E78">
            <v>0</v>
          </cell>
          <cell r="F78">
            <v>0</v>
          </cell>
          <cell r="G78">
            <v>0</v>
          </cell>
          <cell r="H78">
            <v>0</v>
          </cell>
          <cell r="I78">
            <v>0</v>
          </cell>
          <cell r="J78">
            <v>0</v>
          </cell>
          <cell r="K78">
            <v>0</v>
          </cell>
          <cell r="L78">
            <v>0</v>
          </cell>
          <cell r="M78">
            <v>0</v>
          </cell>
          <cell r="N78">
            <v>0</v>
          </cell>
          <cell r="O78">
            <v>0</v>
          </cell>
          <cell r="P78">
            <v>0</v>
          </cell>
          <cell r="Q78">
            <v>0</v>
          </cell>
        </row>
        <row r="79">
          <cell r="A79">
            <v>35516</v>
          </cell>
          <cell r="B79" t="str">
            <v>Proceeds - Plastic</v>
          </cell>
          <cell r="E79">
            <v>387</v>
          </cell>
          <cell r="F79">
            <v>318.60000000000002</v>
          </cell>
          <cell r="G79">
            <v>0</v>
          </cell>
          <cell r="H79">
            <v>331.2</v>
          </cell>
          <cell r="I79">
            <v>0</v>
          </cell>
          <cell r="J79">
            <v>412.2</v>
          </cell>
          <cell r="K79">
            <v>644.4</v>
          </cell>
          <cell r="L79">
            <v>0</v>
          </cell>
          <cell r="M79">
            <v>0</v>
          </cell>
          <cell r="N79">
            <v>-644.4</v>
          </cell>
          <cell r="O79">
            <v>652</v>
          </cell>
          <cell r="P79">
            <v>0</v>
          </cell>
          <cell r="Q79">
            <v>2101</v>
          </cell>
        </row>
        <row r="80">
          <cell r="A80">
            <v>35517</v>
          </cell>
          <cell r="B80" t="str">
            <v>Proceeds - Other Recyclables</v>
          </cell>
          <cell r="E80">
            <v>0</v>
          </cell>
          <cell r="F80">
            <v>0</v>
          </cell>
          <cell r="G80">
            <v>0</v>
          </cell>
          <cell r="H80">
            <v>0</v>
          </cell>
          <cell r="I80">
            <v>0</v>
          </cell>
          <cell r="J80">
            <v>0</v>
          </cell>
          <cell r="K80">
            <v>0</v>
          </cell>
          <cell r="L80">
            <v>0</v>
          </cell>
          <cell r="M80">
            <v>0</v>
          </cell>
          <cell r="N80">
            <v>0</v>
          </cell>
          <cell r="O80">
            <v>0</v>
          </cell>
          <cell r="P80">
            <v>0</v>
          </cell>
          <cell r="Q80">
            <v>0</v>
          </cell>
        </row>
        <row r="81">
          <cell r="A81">
            <v>35518</v>
          </cell>
          <cell r="B81" t="str">
            <v>Proceeds - Commingled</v>
          </cell>
          <cell r="E81">
            <v>0</v>
          </cell>
          <cell r="F81">
            <v>0</v>
          </cell>
          <cell r="G81">
            <v>0</v>
          </cell>
          <cell r="H81">
            <v>0</v>
          </cell>
          <cell r="I81">
            <v>0</v>
          </cell>
          <cell r="J81">
            <v>0</v>
          </cell>
          <cell r="K81">
            <v>0</v>
          </cell>
          <cell r="L81">
            <v>0</v>
          </cell>
          <cell r="M81">
            <v>0</v>
          </cell>
          <cell r="N81">
            <v>0</v>
          </cell>
          <cell r="O81">
            <v>0</v>
          </cell>
          <cell r="P81">
            <v>0</v>
          </cell>
          <cell r="Q81">
            <v>0</v>
          </cell>
        </row>
        <row r="82">
          <cell r="A82">
            <v>35519</v>
          </cell>
          <cell r="B82" t="str">
            <v>Proceeds - Intercompany Material Sales</v>
          </cell>
          <cell r="E82">
            <v>65030.879999999997</v>
          </cell>
          <cell r="F82">
            <v>76173.81</v>
          </cell>
          <cell r="G82">
            <v>70361.429999999993</v>
          </cell>
          <cell r="H82">
            <v>74831.539999999994</v>
          </cell>
          <cell r="I82">
            <v>73578.62</v>
          </cell>
          <cell r="J82">
            <v>75531.38</v>
          </cell>
          <cell r="K82">
            <v>73771.45</v>
          </cell>
          <cell r="L82">
            <v>57407.56</v>
          </cell>
          <cell r="M82">
            <v>68624.86</v>
          </cell>
          <cell r="N82">
            <v>71603.88</v>
          </cell>
          <cell r="O82">
            <v>84200.36</v>
          </cell>
          <cell r="P82">
            <v>95665.68</v>
          </cell>
          <cell r="Q82">
            <v>886781.45</v>
          </cell>
        </row>
        <row r="83">
          <cell r="A83">
            <v>35520</v>
          </cell>
          <cell r="B83" t="str">
            <v>Support - OCC</v>
          </cell>
          <cell r="E83">
            <v>0</v>
          </cell>
          <cell r="F83">
            <v>0</v>
          </cell>
          <cell r="G83">
            <v>0</v>
          </cell>
          <cell r="H83">
            <v>0</v>
          </cell>
          <cell r="I83">
            <v>0</v>
          </cell>
          <cell r="J83">
            <v>0</v>
          </cell>
          <cell r="K83">
            <v>0</v>
          </cell>
          <cell r="L83">
            <v>0</v>
          </cell>
          <cell r="M83">
            <v>0</v>
          </cell>
          <cell r="N83">
            <v>0</v>
          </cell>
          <cell r="O83">
            <v>0</v>
          </cell>
          <cell r="P83">
            <v>0</v>
          </cell>
          <cell r="Q83">
            <v>0</v>
          </cell>
        </row>
        <row r="84">
          <cell r="A84">
            <v>35521</v>
          </cell>
          <cell r="B84" t="str">
            <v>Support - ONP</v>
          </cell>
          <cell r="E84">
            <v>0</v>
          </cell>
          <cell r="F84">
            <v>0</v>
          </cell>
          <cell r="G84">
            <v>0</v>
          </cell>
          <cell r="H84">
            <v>0</v>
          </cell>
          <cell r="I84">
            <v>0</v>
          </cell>
          <cell r="J84">
            <v>0</v>
          </cell>
          <cell r="K84">
            <v>0</v>
          </cell>
          <cell r="L84">
            <v>0</v>
          </cell>
          <cell r="M84">
            <v>0</v>
          </cell>
          <cell r="N84">
            <v>0</v>
          </cell>
          <cell r="O84">
            <v>0</v>
          </cell>
          <cell r="P84">
            <v>0</v>
          </cell>
          <cell r="Q84">
            <v>0</v>
          </cell>
        </row>
        <row r="85">
          <cell r="A85">
            <v>35522</v>
          </cell>
          <cell r="B85" t="str">
            <v>Support - Other Paper</v>
          </cell>
          <cell r="E85">
            <v>0</v>
          </cell>
          <cell r="F85">
            <v>0</v>
          </cell>
          <cell r="G85">
            <v>0</v>
          </cell>
          <cell r="H85">
            <v>0</v>
          </cell>
          <cell r="I85">
            <v>0</v>
          </cell>
          <cell r="J85">
            <v>0</v>
          </cell>
          <cell r="K85">
            <v>0</v>
          </cell>
          <cell r="L85">
            <v>0</v>
          </cell>
          <cell r="M85">
            <v>0</v>
          </cell>
          <cell r="N85">
            <v>0</v>
          </cell>
          <cell r="O85">
            <v>0</v>
          </cell>
          <cell r="P85">
            <v>0</v>
          </cell>
          <cell r="Q85">
            <v>0</v>
          </cell>
        </row>
        <row r="86">
          <cell r="A86">
            <v>35523</v>
          </cell>
          <cell r="B86" t="str">
            <v>Support - Aluminum</v>
          </cell>
          <cell r="E86">
            <v>0</v>
          </cell>
          <cell r="F86">
            <v>0</v>
          </cell>
          <cell r="G86">
            <v>0</v>
          </cell>
          <cell r="H86">
            <v>0</v>
          </cell>
          <cell r="I86">
            <v>0</v>
          </cell>
          <cell r="J86">
            <v>0</v>
          </cell>
          <cell r="K86">
            <v>0</v>
          </cell>
          <cell r="L86">
            <v>0</v>
          </cell>
          <cell r="M86">
            <v>0</v>
          </cell>
          <cell r="N86">
            <v>0</v>
          </cell>
          <cell r="O86">
            <v>0</v>
          </cell>
          <cell r="P86">
            <v>0</v>
          </cell>
          <cell r="Q86">
            <v>0</v>
          </cell>
        </row>
        <row r="87">
          <cell r="A87">
            <v>35524</v>
          </cell>
          <cell r="B87" t="str">
            <v>Support - Metal</v>
          </cell>
          <cell r="E87">
            <v>0</v>
          </cell>
          <cell r="F87">
            <v>0</v>
          </cell>
          <cell r="G87">
            <v>0</v>
          </cell>
          <cell r="H87">
            <v>0</v>
          </cell>
          <cell r="I87">
            <v>0</v>
          </cell>
          <cell r="J87">
            <v>0</v>
          </cell>
          <cell r="K87">
            <v>0</v>
          </cell>
          <cell r="L87">
            <v>0</v>
          </cell>
          <cell r="M87">
            <v>0</v>
          </cell>
          <cell r="N87">
            <v>0</v>
          </cell>
          <cell r="O87">
            <v>0</v>
          </cell>
          <cell r="P87">
            <v>0</v>
          </cell>
          <cell r="Q87">
            <v>0</v>
          </cell>
        </row>
        <row r="88">
          <cell r="A88">
            <v>35525</v>
          </cell>
          <cell r="B88" t="str">
            <v>Support - Glass</v>
          </cell>
          <cell r="E88">
            <v>0</v>
          </cell>
          <cell r="F88">
            <v>0</v>
          </cell>
          <cell r="G88">
            <v>0</v>
          </cell>
          <cell r="H88">
            <v>0</v>
          </cell>
          <cell r="I88">
            <v>0</v>
          </cell>
          <cell r="J88">
            <v>0</v>
          </cell>
          <cell r="K88">
            <v>0</v>
          </cell>
          <cell r="L88">
            <v>0</v>
          </cell>
          <cell r="M88">
            <v>0</v>
          </cell>
          <cell r="N88">
            <v>0</v>
          </cell>
          <cell r="O88">
            <v>0</v>
          </cell>
          <cell r="P88">
            <v>0</v>
          </cell>
          <cell r="Q88">
            <v>0</v>
          </cell>
        </row>
        <row r="89">
          <cell r="A89">
            <v>35526</v>
          </cell>
          <cell r="B89" t="str">
            <v>Support - Plastic</v>
          </cell>
          <cell r="E89">
            <v>0</v>
          </cell>
          <cell r="F89">
            <v>0</v>
          </cell>
          <cell r="G89">
            <v>0</v>
          </cell>
          <cell r="H89">
            <v>0</v>
          </cell>
          <cell r="I89">
            <v>0</v>
          </cell>
          <cell r="J89">
            <v>0</v>
          </cell>
          <cell r="K89">
            <v>0</v>
          </cell>
          <cell r="L89">
            <v>0</v>
          </cell>
          <cell r="M89">
            <v>0</v>
          </cell>
          <cell r="N89">
            <v>0</v>
          </cell>
          <cell r="O89">
            <v>0</v>
          </cell>
          <cell r="P89">
            <v>0</v>
          </cell>
          <cell r="Q89">
            <v>0</v>
          </cell>
        </row>
        <row r="90">
          <cell r="A90">
            <v>35527</v>
          </cell>
          <cell r="B90" t="str">
            <v>Support - Other Recyclables</v>
          </cell>
          <cell r="E90">
            <v>0</v>
          </cell>
          <cell r="F90">
            <v>0</v>
          </cell>
          <cell r="G90">
            <v>0</v>
          </cell>
          <cell r="H90">
            <v>0</v>
          </cell>
          <cell r="I90">
            <v>0</v>
          </cell>
          <cell r="J90">
            <v>0</v>
          </cell>
          <cell r="K90">
            <v>0</v>
          </cell>
          <cell r="L90">
            <v>0</v>
          </cell>
          <cell r="M90">
            <v>0</v>
          </cell>
          <cell r="N90">
            <v>0</v>
          </cell>
          <cell r="O90">
            <v>0</v>
          </cell>
          <cell r="P90">
            <v>0</v>
          </cell>
          <cell r="Q90">
            <v>0</v>
          </cell>
        </row>
        <row r="91">
          <cell r="A91">
            <v>35529</v>
          </cell>
          <cell r="B91" t="str">
            <v>Support - Intercompany Material Sales</v>
          </cell>
          <cell r="E91">
            <v>0</v>
          </cell>
          <cell r="F91">
            <v>0</v>
          </cell>
          <cell r="G91">
            <v>0</v>
          </cell>
          <cell r="H91">
            <v>0</v>
          </cell>
          <cell r="I91">
            <v>0</v>
          </cell>
          <cell r="J91">
            <v>0</v>
          </cell>
          <cell r="K91">
            <v>0</v>
          </cell>
          <cell r="L91">
            <v>0</v>
          </cell>
          <cell r="M91">
            <v>0</v>
          </cell>
          <cell r="N91">
            <v>0</v>
          </cell>
          <cell r="O91">
            <v>0</v>
          </cell>
          <cell r="P91">
            <v>0</v>
          </cell>
          <cell r="Q91">
            <v>0</v>
          </cell>
        </row>
        <row r="92">
          <cell r="A92">
            <v>35551</v>
          </cell>
          <cell r="B92" t="str">
            <v>Proceeds - Compost</v>
          </cell>
          <cell r="E92">
            <v>0</v>
          </cell>
          <cell r="F92">
            <v>0</v>
          </cell>
          <cell r="G92">
            <v>0</v>
          </cell>
          <cell r="H92">
            <v>0</v>
          </cell>
          <cell r="I92">
            <v>0</v>
          </cell>
          <cell r="J92">
            <v>0</v>
          </cell>
          <cell r="K92">
            <v>0</v>
          </cell>
          <cell r="L92">
            <v>0</v>
          </cell>
          <cell r="M92">
            <v>0</v>
          </cell>
          <cell r="N92">
            <v>0</v>
          </cell>
          <cell r="O92">
            <v>0</v>
          </cell>
          <cell r="P92">
            <v>0</v>
          </cell>
          <cell r="Q92">
            <v>0</v>
          </cell>
        </row>
        <row r="93">
          <cell r="A93">
            <v>35552</v>
          </cell>
          <cell r="B93" t="str">
            <v>Proceeds - Fuel</v>
          </cell>
          <cell r="E93">
            <v>0</v>
          </cell>
          <cell r="F93">
            <v>0</v>
          </cell>
          <cell r="G93">
            <v>0</v>
          </cell>
          <cell r="H93">
            <v>0</v>
          </cell>
          <cell r="I93">
            <v>0</v>
          </cell>
          <cell r="J93">
            <v>0</v>
          </cell>
          <cell r="K93">
            <v>0</v>
          </cell>
          <cell r="L93">
            <v>0</v>
          </cell>
          <cell r="M93">
            <v>0</v>
          </cell>
          <cell r="N93">
            <v>0</v>
          </cell>
          <cell r="O93">
            <v>0</v>
          </cell>
          <cell r="P93">
            <v>0</v>
          </cell>
          <cell r="Q93">
            <v>0</v>
          </cell>
        </row>
        <row r="94">
          <cell r="A94">
            <v>35553</v>
          </cell>
          <cell r="B94" t="str">
            <v>Proceeds - Landscape Materials</v>
          </cell>
          <cell r="E94">
            <v>0</v>
          </cell>
          <cell r="F94">
            <v>0</v>
          </cell>
          <cell r="G94">
            <v>0</v>
          </cell>
          <cell r="H94">
            <v>0</v>
          </cell>
          <cell r="I94">
            <v>0</v>
          </cell>
          <cell r="J94">
            <v>0</v>
          </cell>
          <cell r="K94">
            <v>0</v>
          </cell>
          <cell r="L94">
            <v>0</v>
          </cell>
          <cell r="M94">
            <v>0</v>
          </cell>
          <cell r="N94">
            <v>0</v>
          </cell>
          <cell r="O94">
            <v>0</v>
          </cell>
          <cell r="P94">
            <v>0</v>
          </cell>
          <cell r="Q94">
            <v>0</v>
          </cell>
        </row>
        <row r="95">
          <cell r="A95" t="str">
            <v>Total MRF</v>
          </cell>
          <cell r="E95">
            <v>66163.429999999993</v>
          </cell>
          <cell r="F95">
            <v>77025.61</v>
          </cell>
          <cell r="G95">
            <v>73704.329999999987</v>
          </cell>
          <cell r="H95">
            <v>88340.89</v>
          </cell>
          <cell r="I95">
            <v>78825.62</v>
          </cell>
          <cell r="J95">
            <v>92909.63</v>
          </cell>
          <cell r="K95">
            <v>82400.349999999991</v>
          </cell>
          <cell r="L95">
            <v>58871.11</v>
          </cell>
          <cell r="M95">
            <v>67170.759999999995</v>
          </cell>
          <cell r="N95">
            <v>72385.08</v>
          </cell>
          <cell r="O95">
            <v>85904.11</v>
          </cell>
          <cell r="P95">
            <v>96753.68</v>
          </cell>
          <cell r="Q95">
            <v>940454.6</v>
          </cell>
        </row>
        <row r="97">
          <cell r="A97" t="str">
            <v>Landfill</v>
          </cell>
        </row>
        <row r="98">
          <cell r="A98">
            <v>36000</v>
          </cell>
          <cell r="B98" t="str">
            <v>Landfill Revenue - MSW</v>
          </cell>
          <cell r="E98">
            <v>0</v>
          </cell>
          <cell r="F98">
            <v>0</v>
          </cell>
          <cell r="G98">
            <v>0</v>
          </cell>
          <cell r="H98">
            <v>0</v>
          </cell>
          <cell r="I98">
            <v>0</v>
          </cell>
          <cell r="J98">
            <v>0</v>
          </cell>
          <cell r="K98">
            <v>0</v>
          </cell>
          <cell r="L98">
            <v>0</v>
          </cell>
          <cell r="M98">
            <v>0</v>
          </cell>
          <cell r="N98">
            <v>0</v>
          </cell>
          <cell r="O98">
            <v>0</v>
          </cell>
          <cell r="P98">
            <v>0</v>
          </cell>
          <cell r="Q98">
            <v>0</v>
          </cell>
        </row>
        <row r="99">
          <cell r="A99">
            <v>36001</v>
          </cell>
          <cell r="B99" t="str">
            <v>Landfill Revenue - MSW Adjustments</v>
          </cell>
          <cell r="E99">
            <v>0</v>
          </cell>
          <cell r="F99">
            <v>0</v>
          </cell>
          <cell r="G99">
            <v>0</v>
          </cell>
          <cell r="H99">
            <v>0</v>
          </cell>
          <cell r="I99">
            <v>0</v>
          </cell>
          <cell r="J99">
            <v>0</v>
          </cell>
          <cell r="K99">
            <v>0</v>
          </cell>
          <cell r="L99">
            <v>0</v>
          </cell>
          <cell r="M99">
            <v>0</v>
          </cell>
          <cell r="N99">
            <v>0</v>
          </cell>
          <cell r="O99">
            <v>0</v>
          </cell>
          <cell r="P99">
            <v>0</v>
          </cell>
          <cell r="Q99">
            <v>0</v>
          </cell>
        </row>
        <row r="100">
          <cell r="A100">
            <v>36002</v>
          </cell>
          <cell r="B100" t="str">
            <v>Landfill Revenue - Extras</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A101">
            <v>36009</v>
          </cell>
          <cell r="B101" t="str">
            <v>Landfill Revenue - MSW Intercompany</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v>36010</v>
          </cell>
          <cell r="B102" t="str">
            <v>Landfill Revenue - C&amp;D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A103">
            <v>36011</v>
          </cell>
          <cell r="B103" t="str">
            <v>Landfill Revenue - C&amp;D Adjustments</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v>36019</v>
          </cell>
          <cell r="B104" t="str">
            <v>Landfill Revenue - C&amp;D Intercompany</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v>36020</v>
          </cell>
          <cell r="B105" t="str">
            <v>Landfill Revenue - Special Waste</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A106">
            <v>36021</v>
          </cell>
          <cell r="B106" t="str">
            <v>Landfill Revenue - Special Waste Adjustm</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A107">
            <v>36029</v>
          </cell>
          <cell r="B107" t="str">
            <v>Landfill Revenue - Special Waste Interco</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v>36030</v>
          </cell>
          <cell r="B108" t="str">
            <v>Landfill Revenue - Asbestos</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A109">
            <v>36031</v>
          </cell>
          <cell r="B109" t="str">
            <v>Landfill Revenue - Asbestos Adjustments</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A110">
            <v>36039</v>
          </cell>
          <cell r="B110" t="str">
            <v>Landfill Revenue - Asbestos Intercompany</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v>36040</v>
          </cell>
          <cell r="B111" t="str">
            <v>Landfill Revenue - Contaminated Soil</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A112">
            <v>36041</v>
          </cell>
          <cell r="B112" t="str">
            <v>Landfill Revenue - Contaminated Soil Adj</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A113">
            <v>36049</v>
          </cell>
          <cell r="B113" t="str">
            <v>Landfill Revenue - Contaminated Soil Int</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v>36050</v>
          </cell>
          <cell r="B114" t="str">
            <v>Landfill Revenue - Yard Waste</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36051</v>
          </cell>
          <cell r="B115" t="str">
            <v>Landfill Revenue - Yard Waste Adjustment</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v>36059</v>
          </cell>
          <cell r="B116" t="str">
            <v>Landfill Revenue - Yard Waste Intercompa</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v>36090</v>
          </cell>
          <cell r="B117" t="str">
            <v>Landfill Pass Through Revenue</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A118">
            <v>36099</v>
          </cell>
          <cell r="B118" t="str">
            <v>Landfill Pass Through Revenue Intercompany</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36301</v>
          </cell>
          <cell r="B119" t="str">
            <v>E&amp;P Liquids - Non Count Waste</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v>36309</v>
          </cell>
          <cell r="B120" t="str">
            <v>E&amp;P Liquids - Non Count Waste Intercompany</v>
          </cell>
          <cell r="E120">
            <v>0</v>
          </cell>
          <cell r="F120">
            <v>0</v>
          </cell>
          <cell r="G120">
            <v>0</v>
          </cell>
          <cell r="H120">
            <v>0</v>
          </cell>
          <cell r="I120">
            <v>0</v>
          </cell>
          <cell r="J120">
            <v>0</v>
          </cell>
          <cell r="K120">
            <v>0</v>
          </cell>
          <cell r="L120">
            <v>0</v>
          </cell>
          <cell r="M120">
            <v>0</v>
          </cell>
          <cell r="N120">
            <v>0</v>
          </cell>
          <cell r="O120">
            <v>0</v>
          </cell>
          <cell r="P120">
            <v>0</v>
          </cell>
          <cell r="Q120">
            <v>0</v>
          </cell>
        </row>
        <row r="121">
          <cell r="A121">
            <v>36311</v>
          </cell>
          <cell r="B121" t="str">
            <v>E&amp;P Liquids - Count Waste</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v>36319</v>
          </cell>
          <cell r="B122" t="str">
            <v>E&amp;P Liquids - Count Waste Intercompany</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A123">
            <v>36321</v>
          </cell>
          <cell r="B123" t="str">
            <v>Other Liquids - Non E&amp;P</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A124">
            <v>36329</v>
          </cell>
          <cell r="B124" t="str">
            <v>Other Liquids - Non E&amp;P Intercompany</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A125">
            <v>36331</v>
          </cell>
          <cell r="B125" t="str">
            <v>E&amp;P Solids - Count Waste</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A126">
            <v>36339</v>
          </cell>
          <cell r="B126" t="str">
            <v>E&amp;P Solids - Count Waste Intercompany</v>
          </cell>
          <cell r="E126">
            <v>0</v>
          </cell>
          <cell r="F126">
            <v>0</v>
          </cell>
          <cell r="G126">
            <v>0</v>
          </cell>
          <cell r="H126">
            <v>0</v>
          </cell>
          <cell r="I126">
            <v>0</v>
          </cell>
          <cell r="J126">
            <v>0</v>
          </cell>
          <cell r="K126">
            <v>0</v>
          </cell>
          <cell r="L126">
            <v>0</v>
          </cell>
          <cell r="M126">
            <v>0</v>
          </cell>
          <cell r="N126">
            <v>0</v>
          </cell>
          <cell r="O126">
            <v>0</v>
          </cell>
          <cell r="P126">
            <v>0</v>
          </cell>
          <cell r="Q126">
            <v>0</v>
          </cell>
        </row>
        <row r="127">
          <cell r="A127" t="str">
            <v>Total Landfill</v>
          </cell>
          <cell r="E127">
            <v>0</v>
          </cell>
          <cell r="F127">
            <v>0</v>
          </cell>
          <cell r="G127">
            <v>0</v>
          </cell>
          <cell r="H127">
            <v>0</v>
          </cell>
          <cell r="I127">
            <v>0</v>
          </cell>
          <cell r="J127">
            <v>0</v>
          </cell>
          <cell r="K127">
            <v>0</v>
          </cell>
          <cell r="L127">
            <v>0</v>
          </cell>
          <cell r="M127">
            <v>0</v>
          </cell>
          <cell r="N127">
            <v>0</v>
          </cell>
          <cell r="O127">
            <v>0</v>
          </cell>
          <cell r="P127">
            <v>0</v>
          </cell>
          <cell r="Q127">
            <v>0</v>
          </cell>
        </row>
        <row r="129">
          <cell r="A129" t="str">
            <v>Intermodal</v>
          </cell>
        </row>
        <row r="130">
          <cell r="A130">
            <v>36101</v>
          </cell>
          <cell r="B130" t="str">
            <v>Rail Drayage Revenue</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v>36109</v>
          </cell>
          <cell r="B131" t="str">
            <v>Rail Drayage Revenue - Intercompany</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36111</v>
          </cell>
          <cell r="B132" t="str">
            <v>Truck Drayage Revenue</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36119</v>
          </cell>
          <cell r="B133" t="str">
            <v>Truck Drayage Revenue - Intercompany</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v>36121</v>
          </cell>
          <cell r="B134" t="str">
            <v>Barge Drayage Revenue</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36131</v>
          </cell>
          <cell r="B135" t="str">
            <v>Service Labor Revenue</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v>36141</v>
          </cell>
          <cell r="B136" t="str">
            <v>Refrigeration Labor Revenue</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v>36145</v>
          </cell>
          <cell r="B137" t="str">
            <v>Parts Revenue</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v>36151</v>
          </cell>
          <cell r="B138" t="str">
            <v>Container Sales Revenue</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v>36161</v>
          </cell>
          <cell r="B139" t="str">
            <v>Container Rental Revenue</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v>36171</v>
          </cell>
          <cell r="B140" t="str">
            <v>Intermodal Revenue</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A141">
            <v>36181</v>
          </cell>
          <cell r="B141" t="str">
            <v>Chassis Lease Revenue</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v>36191</v>
          </cell>
          <cell r="B142" t="str">
            <v>Interchanges Revenue</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v>36201</v>
          </cell>
          <cell r="B143" t="str">
            <v>Storage Revenue</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v>36211</v>
          </cell>
          <cell r="B144" t="str">
            <v>Empty Lifts Revenue</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v>36221</v>
          </cell>
          <cell r="B145" t="str">
            <v>Load Lifts Revenue</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Total Intermodal</v>
          </cell>
          <cell r="E146">
            <v>0</v>
          </cell>
          <cell r="F146">
            <v>0</v>
          </cell>
          <cell r="G146">
            <v>0</v>
          </cell>
          <cell r="H146">
            <v>0</v>
          </cell>
          <cell r="I146">
            <v>0</v>
          </cell>
          <cell r="J146">
            <v>0</v>
          </cell>
          <cell r="K146">
            <v>0</v>
          </cell>
          <cell r="L146">
            <v>0</v>
          </cell>
          <cell r="M146">
            <v>0</v>
          </cell>
          <cell r="N146">
            <v>0</v>
          </cell>
          <cell r="O146">
            <v>0</v>
          </cell>
          <cell r="P146">
            <v>0</v>
          </cell>
          <cell r="Q146">
            <v>0</v>
          </cell>
        </row>
        <row r="148">
          <cell r="A148" t="str">
            <v>Other Revenue</v>
          </cell>
        </row>
        <row r="149">
          <cell r="A149">
            <v>37001</v>
          </cell>
          <cell r="B149" t="str">
            <v>Sale of Equipment</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A150">
            <v>37010</v>
          </cell>
          <cell r="B150" t="str">
            <v>Tire Processing Revenue</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v>37019</v>
          </cell>
          <cell r="B151" t="str">
            <v>Tire Processing Revenue - Intercompany</v>
          </cell>
          <cell r="E151">
            <v>0</v>
          </cell>
          <cell r="F151">
            <v>0</v>
          </cell>
          <cell r="G151">
            <v>0</v>
          </cell>
          <cell r="H151">
            <v>0</v>
          </cell>
          <cell r="I151">
            <v>0</v>
          </cell>
          <cell r="J151">
            <v>0</v>
          </cell>
          <cell r="K151">
            <v>0</v>
          </cell>
          <cell r="L151">
            <v>0</v>
          </cell>
          <cell r="M151">
            <v>0</v>
          </cell>
          <cell r="N151">
            <v>0</v>
          </cell>
          <cell r="O151">
            <v>0</v>
          </cell>
          <cell r="P151">
            <v>0</v>
          </cell>
          <cell r="Q151">
            <v>0</v>
          </cell>
        </row>
        <row r="152">
          <cell r="A152">
            <v>38000</v>
          </cell>
          <cell r="B152" t="str">
            <v>Corporate Other Revenue</v>
          </cell>
          <cell r="E152">
            <v>8589.2099999999991</v>
          </cell>
          <cell r="F152">
            <v>1694.09</v>
          </cell>
          <cell r="G152">
            <v>4218.3599999999997</v>
          </cell>
          <cell r="H152">
            <v>1373.97</v>
          </cell>
          <cell r="I152">
            <v>5262.72</v>
          </cell>
          <cell r="J152">
            <v>1769.91</v>
          </cell>
          <cell r="K152">
            <v>5502.45</v>
          </cell>
          <cell r="L152">
            <v>1702.72</v>
          </cell>
          <cell r="M152">
            <v>5805.85</v>
          </cell>
          <cell r="N152">
            <v>2208.19</v>
          </cell>
          <cell r="O152">
            <v>5752.25</v>
          </cell>
          <cell r="P152">
            <v>3433.24</v>
          </cell>
          <cell r="Q152">
            <v>47312.959999999999</v>
          </cell>
        </row>
        <row r="153">
          <cell r="A153">
            <v>38001</v>
          </cell>
          <cell r="B153" t="str">
            <v>P-Card Rebate Revenue</v>
          </cell>
          <cell r="E153">
            <v>0</v>
          </cell>
          <cell r="F153">
            <v>0</v>
          </cell>
          <cell r="G153">
            <v>0</v>
          </cell>
          <cell r="H153">
            <v>0</v>
          </cell>
          <cell r="I153">
            <v>0</v>
          </cell>
          <cell r="J153">
            <v>0</v>
          </cell>
          <cell r="K153">
            <v>0</v>
          </cell>
          <cell r="L153">
            <v>0</v>
          </cell>
          <cell r="M153">
            <v>0</v>
          </cell>
          <cell r="N153">
            <v>0</v>
          </cell>
          <cell r="O153">
            <v>0</v>
          </cell>
          <cell r="P153">
            <v>0</v>
          </cell>
          <cell r="Q153">
            <v>0</v>
          </cell>
        </row>
        <row r="154">
          <cell r="A154" t="str">
            <v>Total Other Revenue</v>
          </cell>
          <cell r="E154">
            <v>8589.2099999999991</v>
          </cell>
          <cell r="F154">
            <v>1694.09</v>
          </cell>
          <cell r="G154">
            <v>4218.3599999999997</v>
          </cell>
          <cell r="H154">
            <v>1373.97</v>
          </cell>
          <cell r="I154">
            <v>5262.72</v>
          </cell>
          <cell r="J154">
            <v>1769.91</v>
          </cell>
          <cell r="K154">
            <v>5502.45</v>
          </cell>
          <cell r="L154">
            <v>1702.72</v>
          </cell>
          <cell r="M154">
            <v>5805.85</v>
          </cell>
          <cell r="N154">
            <v>2208.19</v>
          </cell>
          <cell r="O154">
            <v>5752.25</v>
          </cell>
          <cell r="P154">
            <v>3433.24</v>
          </cell>
          <cell r="Q154">
            <v>47312.959999999999</v>
          </cell>
        </row>
        <row r="156">
          <cell r="A156" t="str">
            <v>Total Revenue</v>
          </cell>
          <cell r="E156">
            <v>2839426.59</v>
          </cell>
          <cell r="F156">
            <v>2811716.86</v>
          </cell>
          <cell r="G156">
            <v>2913771.82</v>
          </cell>
          <cell r="H156">
            <v>2924037.87</v>
          </cell>
          <cell r="I156">
            <v>2930860.6499999994</v>
          </cell>
          <cell r="J156">
            <v>3005240.4200000004</v>
          </cell>
          <cell r="K156">
            <v>2980348.3999999994</v>
          </cell>
          <cell r="L156">
            <v>2955082.1699999995</v>
          </cell>
          <cell r="M156">
            <v>2995618.75</v>
          </cell>
          <cell r="N156">
            <v>2959049.6100000003</v>
          </cell>
          <cell r="O156">
            <v>2983216.9499999997</v>
          </cell>
          <cell r="P156">
            <v>2979291.22</v>
          </cell>
          <cell r="Q156">
            <v>35277661.310000002</v>
          </cell>
        </row>
        <row r="158">
          <cell r="A158" t="str">
            <v>Revenue Reductions</v>
          </cell>
        </row>
        <row r="159">
          <cell r="A159" t="str">
            <v>Disposal</v>
          </cell>
        </row>
        <row r="160">
          <cell r="A160">
            <v>40101</v>
          </cell>
          <cell r="B160" t="str">
            <v>Disposal Landfill</v>
          </cell>
          <cell r="E160">
            <v>23350.03</v>
          </cell>
          <cell r="F160">
            <v>26834.720000000001</v>
          </cell>
          <cell r="G160">
            <v>42381.84</v>
          </cell>
          <cell r="H160">
            <v>36707.01</v>
          </cell>
          <cell r="I160">
            <v>39327.86</v>
          </cell>
          <cell r="J160">
            <v>44813.91</v>
          </cell>
          <cell r="K160">
            <v>45601.91</v>
          </cell>
          <cell r="L160">
            <v>42594.05</v>
          </cell>
          <cell r="M160">
            <v>39719.949999999997</v>
          </cell>
          <cell r="N160">
            <v>37160.81</v>
          </cell>
          <cell r="O160">
            <v>33518.03</v>
          </cell>
          <cell r="P160">
            <v>28405.79</v>
          </cell>
          <cell r="Q160">
            <v>440415.91</v>
          </cell>
        </row>
        <row r="161">
          <cell r="A161">
            <v>40109</v>
          </cell>
          <cell r="B161" t="str">
            <v>Disposal Landfill Intercompany</v>
          </cell>
          <cell r="E161">
            <v>194.6</v>
          </cell>
          <cell r="F161">
            <v>327.96</v>
          </cell>
          <cell r="G161">
            <v>99.4</v>
          </cell>
          <cell r="H161">
            <v>8930.7999999999993</v>
          </cell>
          <cell r="I161">
            <v>8418</v>
          </cell>
          <cell r="J161">
            <v>10225</v>
          </cell>
          <cell r="K161">
            <v>9550</v>
          </cell>
          <cell r="L161">
            <v>8953</v>
          </cell>
          <cell r="M161">
            <v>8660</v>
          </cell>
          <cell r="N161">
            <v>8485</v>
          </cell>
          <cell r="O161">
            <v>8205</v>
          </cell>
          <cell r="P161">
            <v>8111.2</v>
          </cell>
          <cell r="Q161">
            <v>80159.959999999992</v>
          </cell>
        </row>
        <row r="162">
          <cell r="A162">
            <v>40121</v>
          </cell>
          <cell r="B162" t="str">
            <v>Disposal Incineration</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A163">
            <v>40122</v>
          </cell>
          <cell r="B163" t="str">
            <v>Disposal Other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A164">
            <v>40129</v>
          </cell>
          <cell r="B164" t="str">
            <v>Disposal Other</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v>40131</v>
          </cell>
          <cell r="B165" t="str">
            <v>Disposal Transfer</v>
          </cell>
          <cell r="E165">
            <v>4652.22</v>
          </cell>
          <cell r="F165">
            <v>5422.23</v>
          </cell>
          <cell r="G165">
            <v>6556.26</v>
          </cell>
          <cell r="H165">
            <v>5248.01</v>
          </cell>
          <cell r="I165">
            <v>6285.68</v>
          </cell>
          <cell r="J165">
            <v>5271.25</v>
          </cell>
          <cell r="K165">
            <v>2375.48</v>
          </cell>
          <cell r="L165">
            <v>2345.9499999999998</v>
          </cell>
          <cell r="M165">
            <v>4253.9399999999996</v>
          </cell>
          <cell r="N165">
            <v>5654.19</v>
          </cell>
          <cell r="O165">
            <v>5131.53</v>
          </cell>
          <cell r="P165">
            <v>5010.78</v>
          </cell>
          <cell r="Q165">
            <v>58207.520000000004</v>
          </cell>
        </row>
        <row r="166">
          <cell r="A166">
            <v>40139</v>
          </cell>
          <cell r="B166" t="str">
            <v>Disposal Transfer Intercompany</v>
          </cell>
          <cell r="E166">
            <v>593825.03</v>
          </cell>
          <cell r="F166">
            <v>547142.99</v>
          </cell>
          <cell r="G166">
            <v>630810.36</v>
          </cell>
          <cell r="H166">
            <v>605643.42000000004</v>
          </cell>
          <cell r="I166">
            <v>594549.89</v>
          </cell>
          <cell r="J166">
            <v>658860.29</v>
          </cell>
          <cell r="K166">
            <v>621190.5</v>
          </cell>
          <cell r="L166">
            <v>619548.27</v>
          </cell>
          <cell r="M166">
            <v>634021.85</v>
          </cell>
          <cell r="N166">
            <v>591478.38</v>
          </cell>
          <cell r="O166">
            <v>635582.61</v>
          </cell>
          <cell r="P166">
            <v>652795.86</v>
          </cell>
          <cell r="Q166">
            <v>7385449.4500000002</v>
          </cell>
        </row>
        <row r="167">
          <cell r="A167" t="str">
            <v>Total Disposal</v>
          </cell>
          <cell r="E167">
            <v>622021.88</v>
          </cell>
          <cell r="F167">
            <v>579727.9</v>
          </cell>
          <cell r="G167">
            <v>679847.86</v>
          </cell>
          <cell r="H167">
            <v>656529.24</v>
          </cell>
          <cell r="I167">
            <v>648581.43000000005</v>
          </cell>
          <cell r="J167">
            <v>719170.45000000007</v>
          </cell>
          <cell r="K167">
            <v>678717.89</v>
          </cell>
          <cell r="L167">
            <v>673441.27</v>
          </cell>
          <cell r="M167">
            <v>686655.74</v>
          </cell>
          <cell r="N167">
            <v>642778.38</v>
          </cell>
          <cell r="O167">
            <v>682437.16999999993</v>
          </cell>
          <cell r="P167">
            <v>694323.63</v>
          </cell>
          <cell r="Q167">
            <v>7964232.8399999999</v>
          </cell>
        </row>
        <row r="169">
          <cell r="A169" t="str">
            <v>MRF Processing</v>
          </cell>
        </row>
        <row r="170">
          <cell r="A170">
            <v>40861</v>
          </cell>
          <cell r="B170" t="str">
            <v>Processing Fees MRF</v>
          </cell>
          <cell r="E170">
            <v>0</v>
          </cell>
          <cell r="F170">
            <v>0</v>
          </cell>
          <cell r="G170">
            <v>0</v>
          </cell>
          <cell r="H170">
            <v>0</v>
          </cell>
          <cell r="I170">
            <v>0</v>
          </cell>
          <cell r="J170">
            <v>0</v>
          </cell>
          <cell r="K170">
            <v>0</v>
          </cell>
          <cell r="L170">
            <v>0</v>
          </cell>
          <cell r="M170">
            <v>0</v>
          </cell>
          <cell r="N170">
            <v>0</v>
          </cell>
          <cell r="O170">
            <v>0</v>
          </cell>
          <cell r="P170">
            <v>0</v>
          </cell>
          <cell r="Q170">
            <v>0</v>
          </cell>
        </row>
        <row r="171">
          <cell r="A171">
            <v>40869</v>
          </cell>
          <cell r="B171" t="str">
            <v>Processing Fees MRF Intercompany</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t="str">
            <v>Total MRF Processing</v>
          </cell>
          <cell r="E172">
            <v>0</v>
          </cell>
          <cell r="F172">
            <v>0</v>
          </cell>
          <cell r="G172">
            <v>0</v>
          </cell>
          <cell r="H172">
            <v>0</v>
          </cell>
          <cell r="I172">
            <v>0</v>
          </cell>
          <cell r="J172">
            <v>0</v>
          </cell>
          <cell r="K172">
            <v>0</v>
          </cell>
          <cell r="L172">
            <v>0</v>
          </cell>
          <cell r="M172">
            <v>0</v>
          </cell>
          <cell r="N172">
            <v>0</v>
          </cell>
          <cell r="O172">
            <v>0</v>
          </cell>
          <cell r="P172">
            <v>0</v>
          </cell>
          <cell r="Q172">
            <v>0</v>
          </cell>
        </row>
        <row r="174">
          <cell r="A174" t="str">
            <v>Brokerage, Rebates and Taxes</v>
          </cell>
        </row>
        <row r="175">
          <cell r="A175">
            <v>41121</v>
          </cell>
          <cell r="B175" t="str">
            <v>Brokerage Cost</v>
          </cell>
          <cell r="E175">
            <v>0</v>
          </cell>
          <cell r="F175">
            <v>0</v>
          </cell>
          <cell r="G175">
            <v>0</v>
          </cell>
          <cell r="H175">
            <v>178.39</v>
          </cell>
          <cell r="I175">
            <v>0</v>
          </cell>
          <cell r="J175">
            <v>0</v>
          </cell>
          <cell r="K175">
            <v>0</v>
          </cell>
          <cell r="L175">
            <v>0</v>
          </cell>
          <cell r="M175">
            <v>0</v>
          </cell>
          <cell r="N175">
            <v>0</v>
          </cell>
          <cell r="O175">
            <v>0</v>
          </cell>
          <cell r="P175">
            <v>0</v>
          </cell>
          <cell r="Q175">
            <v>178.39</v>
          </cell>
        </row>
        <row r="176">
          <cell r="A176">
            <v>41129</v>
          </cell>
          <cell r="B176" t="str">
            <v>Brokerage Cost Intercompany</v>
          </cell>
          <cell r="E176">
            <v>0</v>
          </cell>
          <cell r="F176">
            <v>0</v>
          </cell>
          <cell r="G176">
            <v>0</v>
          </cell>
          <cell r="H176">
            <v>0</v>
          </cell>
          <cell r="I176">
            <v>0</v>
          </cell>
          <cell r="J176">
            <v>0</v>
          </cell>
          <cell r="K176">
            <v>0</v>
          </cell>
          <cell r="L176">
            <v>0</v>
          </cell>
          <cell r="M176">
            <v>0</v>
          </cell>
          <cell r="N176">
            <v>0</v>
          </cell>
          <cell r="O176">
            <v>0</v>
          </cell>
          <cell r="P176">
            <v>0</v>
          </cell>
          <cell r="Q176">
            <v>0</v>
          </cell>
        </row>
        <row r="177">
          <cell r="A177">
            <v>41131</v>
          </cell>
          <cell r="B177" t="str">
            <v>Rail Drayage Expenses</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v>41135</v>
          </cell>
          <cell r="B178" t="str">
            <v>Resale Parts - Cost of Goods Sold</v>
          </cell>
          <cell r="E178">
            <v>0</v>
          </cell>
          <cell r="F178">
            <v>0</v>
          </cell>
          <cell r="G178">
            <v>0</v>
          </cell>
          <cell r="H178">
            <v>0</v>
          </cell>
          <cell r="I178">
            <v>0</v>
          </cell>
          <cell r="J178">
            <v>0</v>
          </cell>
          <cell r="K178">
            <v>0</v>
          </cell>
          <cell r="L178">
            <v>0</v>
          </cell>
          <cell r="M178">
            <v>0</v>
          </cell>
          <cell r="N178">
            <v>0</v>
          </cell>
          <cell r="O178">
            <v>0</v>
          </cell>
          <cell r="P178">
            <v>0</v>
          </cell>
          <cell r="Q178">
            <v>0</v>
          </cell>
        </row>
        <row r="179">
          <cell r="A179">
            <v>41139</v>
          </cell>
          <cell r="B179" t="str">
            <v>Rail Drayage Expenses - Intercompany</v>
          </cell>
          <cell r="E179">
            <v>0</v>
          </cell>
          <cell r="F179">
            <v>0</v>
          </cell>
          <cell r="G179">
            <v>0</v>
          </cell>
          <cell r="H179">
            <v>0</v>
          </cell>
          <cell r="I179">
            <v>0</v>
          </cell>
          <cell r="J179">
            <v>0</v>
          </cell>
          <cell r="K179">
            <v>0</v>
          </cell>
          <cell r="L179">
            <v>0</v>
          </cell>
          <cell r="M179">
            <v>0</v>
          </cell>
          <cell r="N179">
            <v>0</v>
          </cell>
          <cell r="O179">
            <v>0</v>
          </cell>
          <cell r="P179">
            <v>0</v>
          </cell>
          <cell r="Q179">
            <v>0</v>
          </cell>
        </row>
        <row r="180">
          <cell r="A180">
            <v>41141</v>
          </cell>
          <cell r="B180" t="str">
            <v>Truck Drayage Expenses</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v>41149</v>
          </cell>
          <cell r="B181" t="str">
            <v>Truck Drayage Expenses - Intercompany</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v>41151</v>
          </cell>
          <cell r="B182" t="str">
            <v>Intermodal Expenses</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v>41201</v>
          </cell>
          <cell r="B183" t="str">
            <v>Rebates and Revenue Sharing</v>
          </cell>
          <cell r="E183">
            <v>521936.87</v>
          </cell>
          <cell r="F183">
            <v>516837.5</v>
          </cell>
          <cell r="G183">
            <v>526589.43999999994</v>
          </cell>
          <cell r="H183">
            <v>507133.7</v>
          </cell>
          <cell r="I183">
            <v>514778.73</v>
          </cell>
          <cell r="J183">
            <v>520529.95</v>
          </cell>
          <cell r="K183">
            <v>523325.23</v>
          </cell>
          <cell r="L183">
            <v>525169.91</v>
          </cell>
          <cell r="M183">
            <v>526242.24</v>
          </cell>
          <cell r="N183">
            <v>522492.7</v>
          </cell>
          <cell r="O183">
            <v>519798.37</v>
          </cell>
          <cell r="P183">
            <v>519523.19</v>
          </cell>
          <cell r="Q183">
            <v>6244357.830000001</v>
          </cell>
        </row>
        <row r="184">
          <cell r="A184">
            <v>43001</v>
          </cell>
          <cell r="B184" t="str">
            <v>Taxes and Pass Thru Fees</v>
          </cell>
          <cell r="E184">
            <v>41543.1</v>
          </cell>
          <cell r="F184">
            <v>40952.97</v>
          </cell>
          <cell r="G184">
            <v>42462.54</v>
          </cell>
          <cell r="H184">
            <v>45489.33</v>
          </cell>
          <cell r="I184">
            <v>48581.71</v>
          </cell>
          <cell r="J184">
            <v>53321.59</v>
          </cell>
          <cell r="K184">
            <v>51875.89</v>
          </cell>
          <cell r="L184">
            <v>52096.88</v>
          </cell>
          <cell r="M184">
            <v>52109.83</v>
          </cell>
          <cell r="N184">
            <v>51665.29</v>
          </cell>
          <cell r="O184">
            <v>51559.19</v>
          </cell>
          <cell r="P184">
            <v>51703.040000000001</v>
          </cell>
          <cell r="Q184">
            <v>583361.3600000001</v>
          </cell>
        </row>
        <row r="185">
          <cell r="A185">
            <v>43002</v>
          </cell>
          <cell r="B185" t="str">
            <v>WUTC Taxes</v>
          </cell>
          <cell r="E185">
            <v>0</v>
          </cell>
          <cell r="F185">
            <v>0</v>
          </cell>
          <cell r="G185">
            <v>0</v>
          </cell>
          <cell r="H185">
            <v>0</v>
          </cell>
          <cell r="I185">
            <v>0</v>
          </cell>
          <cell r="J185">
            <v>0</v>
          </cell>
          <cell r="K185">
            <v>0</v>
          </cell>
          <cell r="L185">
            <v>0</v>
          </cell>
          <cell r="M185">
            <v>0</v>
          </cell>
          <cell r="N185">
            <v>0</v>
          </cell>
          <cell r="O185">
            <v>0</v>
          </cell>
          <cell r="P185">
            <v>0</v>
          </cell>
          <cell r="Q185">
            <v>0</v>
          </cell>
        </row>
        <row r="186">
          <cell r="A186">
            <v>43090</v>
          </cell>
          <cell r="B186" t="str">
            <v>Pass Through Expenses</v>
          </cell>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A187">
            <v>43099</v>
          </cell>
          <cell r="B187" t="str">
            <v>Pass Through Expenses Intercompany</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t="str">
            <v>Total Brokerage, Rebates and Taxes</v>
          </cell>
          <cell r="E188">
            <v>563479.97</v>
          </cell>
          <cell r="F188">
            <v>557790.47</v>
          </cell>
          <cell r="G188">
            <v>569051.98</v>
          </cell>
          <cell r="H188">
            <v>552801.42000000004</v>
          </cell>
          <cell r="I188">
            <v>563360.43999999994</v>
          </cell>
          <cell r="J188">
            <v>573851.54</v>
          </cell>
          <cell r="K188">
            <v>575201.12</v>
          </cell>
          <cell r="L188">
            <v>577266.79</v>
          </cell>
          <cell r="M188">
            <v>578352.06999999995</v>
          </cell>
          <cell r="N188">
            <v>574157.99</v>
          </cell>
          <cell r="O188">
            <v>571357.56000000006</v>
          </cell>
          <cell r="P188">
            <v>571226.23</v>
          </cell>
          <cell r="Q188">
            <v>6827897.580000001</v>
          </cell>
        </row>
        <row r="190">
          <cell r="A190" t="str">
            <v>Recycling Materials Expense</v>
          </cell>
        </row>
        <row r="191">
          <cell r="A191">
            <v>44161</v>
          </cell>
          <cell r="B191" t="str">
            <v>Cost of Materials - OCC</v>
          </cell>
          <cell r="E191">
            <v>2426.64</v>
          </cell>
          <cell r="F191">
            <v>2389.0700000000002</v>
          </cell>
          <cell r="G191">
            <v>2400.6</v>
          </cell>
          <cell r="H191">
            <v>2445.6799999999998</v>
          </cell>
          <cell r="I191">
            <v>2403.29</v>
          </cell>
          <cell r="J191">
            <v>2402.11</v>
          </cell>
          <cell r="K191">
            <v>437.67</v>
          </cell>
          <cell r="L191">
            <v>1356.93</v>
          </cell>
          <cell r="M191">
            <v>2409.56</v>
          </cell>
          <cell r="N191">
            <v>2530.52</v>
          </cell>
          <cell r="O191">
            <v>2633.11</v>
          </cell>
          <cell r="P191">
            <v>2651.26</v>
          </cell>
          <cell r="Q191">
            <v>26486.440000000002</v>
          </cell>
        </row>
        <row r="192">
          <cell r="A192">
            <v>44162</v>
          </cell>
          <cell r="B192" t="str">
            <v>Cost of Materials - ONP</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v>44163</v>
          </cell>
          <cell r="B193" t="str">
            <v>Cost of Materials - Other Paper</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A194">
            <v>44164</v>
          </cell>
          <cell r="B194" t="str">
            <v>Cost of Materials - Aluminum</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v>44165</v>
          </cell>
          <cell r="B195" t="str">
            <v>Cost of Materials - Metal</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v>44166</v>
          </cell>
          <cell r="B196" t="str">
            <v>Cost of Materials - Glass</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44167</v>
          </cell>
          <cell r="B197" t="str">
            <v>Cost of Materials - Plastic</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v>44168</v>
          </cell>
          <cell r="B198" t="str">
            <v>Cost of Materials - Other Recyclables</v>
          </cell>
          <cell r="E198">
            <v>0</v>
          </cell>
          <cell r="F198">
            <v>8</v>
          </cell>
          <cell r="G198">
            <v>8</v>
          </cell>
          <cell r="H198">
            <v>0</v>
          </cell>
          <cell r="I198">
            <v>8</v>
          </cell>
          <cell r="J198">
            <v>0</v>
          </cell>
          <cell r="K198">
            <v>8</v>
          </cell>
          <cell r="L198">
            <v>7</v>
          </cell>
          <cell r="M198">
            <v>0</v>
          </cell>
          <cell r="N198">
            <v>7</v>
          </cell>
          <cell r="O198">
            <v>15</v>
          </cell>
          <cell r="P198">
            <v>8</v>
          </cell>
          <cell r="Q198">
            <v>69</v>
          </cell>
        </row>
        <row r="199">
          <cell r="A199">
            <v>44169</v>
          </cell>
          <cell r="B199" t="str">
            <v>Cost of Materials - Intercompany</v>
          </cell>
          <cell r="E199">
            <v>1793.25</v>
          </cell>
          <cell r="F199">
            <v>1711</v>
          </cell>
          <cell r="G199">
            <v>2209.37</v>
          </cell>
          <cell r="H199">
            <v>2644.25</v>
          </cell>
          <cell r="I199">
            <v>3170</v>
          </cell>
          <cell r="J199">
            <v>2275.25</v>
          </cell>
          <cell r="K199">
            <v>1660.5</v>
          </cell>
          <cell r="L199">
            <v>2033.7</v>
          </cell>
          <cell r="M199">
            <v>1648</v>
          </cell>
          <cell r="N199">
            <v>2091.5500000000002</v>
          </cell>
          <cell r="O199">
            <v>2223.8000000000002</v>
          </cell>
          <cell r="P199">
            <v>2182.25</v>
          </cell>
          <cell r="Q199">
            <v>25642.92</v>
          </cell>
        </row>
        <row r="200">
          <cell r="A200">
            <v>44261</v>
          </cell>
          <cell r="B200" t="str">
            <v>Cost of Materials - Organics</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v>44262</v>
          </cell>
          <cell r="B201" t="str">
            <v>Cost of Materials - Clean Wood</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v>44263</v>
          </cell>
          <cell r="B202" t="str">
            <v>Cost of Materials - Landscaping Materials</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Total Recycling Materials Expense</v>
          </cell>
          <cell r="E203">
            <v>4219.8899999999994</v>
          </cell>
          <cell r="F203">
            <v>4108.07</v>
          </cell>
          <cell r="G203">
            <v>4617.9699999999993</v>
          </cell>
          <cell r="H203">
            <v>5089.93</v>
          </cell>
          <cell r="I203">
            <v>5581.29</v>
          </cell>
          <cell r="J203">
            <v>4677.3600000000006</v>
          </cell>
          <cell r="K203">
            <v>2106.17</v>
          </cell>
          <cell r="L203">
            <v>3397.63</v>
          </cell>
          <cell r="M203">
            <v>4057.56</v>
          </cell>
          <cell r="N203">
            <v>4629.07</v>
          </cell>
          <cell r="O203">
            <v>4871.91</v>
          </cell>
          <cell r="P203">
            <v>4841.51</v>
          </cell>
          <cell r="Q203">
            <v>52198.36</v>
          </cell>
        </row>
        <row r="205">
          <cell r="A205" t="str">
            <v>Other Expense</v>
          </cell>
        </row>
        <row r="206">
          <cell r="A206">
            <v>47000</v>
          </cell>
          <cell r="B206" t="str">
            <v>Cost of Containers Sold</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47001</v>
          </cell>
          <cell r="B207" t="str">
            <v>Cost of Equipment Sold</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v>47010</v>
          </cell>
          <cell r="B208" t="str">
            <v>Tire Processing Expenses</v>
          </cell>
          <cell r="E208">
            <v>0</v>
          </cell>
          <cell r="F208">
            <v>0</v>
          </cell>
          <cell r="G208">
            <v>0</v>
          </cell>
          <cell r="H208">
            <v>205.8</v>
          </cell>
          <cell r="I208">
            <v>0</v>
          </cell>
          <cell r="J208">
            <v>0</v>
          </cell>
          <cell r="K208">
            <v>0</v>
          </cell>
          <cell r="L208">
            <v>0</v>
          </cell>
          <cell r="M208">
            <v>0</v>
          </cell>
          <cell r="N208">
            <v>0</v>
          </cell>
          <cell r="O208">
            <v>0</v>
          </cell>
          <cell r="P208">
            <v>0</v>
          </cell>
          <cell r="Q208">
            <v>205.8</v>
          </cell>
        </row>
        <row r="209">
          <cell r="A209">
            <v>47019</v>
          </cell>
          <cell r="B209" t="str">
            <v>Tire Processing Expenses - Intercompany</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Total Other Expense</v>
          </cell>
          <cell r="E210">
            <v>0</v>
          </cell>
          <cell r="F210">
            <v>0</v>
          </cell>
          <cell r="G210">
            <v>0</v>
          </cell>
          <cell r="H210">
            <v>205.8</v>
          </cell>
          <cell r="I210">
            <v>0</v>
          </cell>
          <cell r="J210">
            <v>0</v>
          </cell>
          <cell r="K210">
            <v>0</v>
          </cell>
          <cell r="L210">
            <v>0</v>
          </cell>
          <cell r="M210">
            <v>0</v>
          </cell>
          <cell r="N210">
            <v>0</v>
          </cell>
          <cell r="O210">
            <v>0</v>
          </cell>
          <cell r="P210">
            <v>0</v>
          </cell>
          <cell r="Q210">
            <v>205.8</v>
          </cell>
        </row>
        <row r="212">
          <cell r="A212" t="str">
            <v>Total Revenue Reductions</v>
          </cell>
          <cell r="E212">
            <v>1189721.74</v>
          </cell>
          <cell r="F212">
            <v>1141626.44</v>
          </cell>
          <cell r="G212">
            <v>1253517.81</v>
          </cell>
          <cell r="H212">
            <v>1214626.3900000001</v>
          </cell>
          <cell r="I212">
            <v>1217523.1600000001</v>
          </cell>
          <cell r="J212">
            <v>1297699.3500000001</v>
          </cell>
          <cell r="K212">
            <v>1256025.1800000002</v>
          </cell>
          <cell r="L212">
            <v>1254105.69</v>
          </cell>
          <cell r="M212">
            <v>1269065.3700000001</v>
          </cell>
          <cell r="N212">
            <v>1221565.4399999999</v>
          </cell>
          <cell r="O212">
            <v>1258666.6400000001</v>
          </cell>
          <cell r="P212">
            <v>1270391.3700000001</v>
          </cell>
          <cell r="Q212">
            <v>14844534.580000002</v>
          </cell>
        </row>
        <row r="214">
          <cell r="A214" t="str">
            <v>Net Revenue</v>
          </cell>
          <cell r="E214">
            <v>1649704.8499999999</v>
          </cell>
          <cell r="F214">
            <v>1670090.42</v>
          </cell>
          <cell r="G214">
            <v>1660254.0099999998</v>
          </cell>
          <cell r="H214">
            <v>1709411.48</v>
          </cell>
          <cell r="I214">
            <v>1713337.4899999993</v>
          </cell>
          <cell r="J214">
            <v>1707541.0700000003</v>
          </cell>
          <cell r="K214">
            <v>1724323.2199999993</v>
          </cell>
          <cell r="L214">
            <v>1700976.4799999995</v>
          </cell>
          <cell r="M214">
            <v>1726553.38</v>
          </cell>
          <cell r="N214">
            <v>1737484.1700000004</v>
          </cell>
          <cell r="O214">
            <v>1724550.3099999996</v>
          </cell>
          <cell r="P214">
            <v>1708899.85</v>
          </cell>
          <cell r="Q214">
            <v>20433126.73</v>
          </cell>
        </row>
        <row r="216">
          <cell r="A216" t="str">
            <v>Cost of Operations</v>
          </cell>
        </row>
        <row r="217">
          <cell r="A217" t="str">
            <v>Labor</v>
          </cell>
        </row>
        <row r="218">
          <cell r="A218">
            <v>50010</v>
          </cell>
          <cell r="B218" t="str">
            <v>Salaries</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A219">
            <v>50020</v>
          </cell>
          <cell r="B219" t="str">
            <v>Wages Regular</v>
          </cell>
          <cell r="E219">
            <v>164883.42000000001</v>
          </cell>
          <cell r="F219">
            <v>163593.57</v>
          </cell>
          <cell r="G219">
            <v>188109.33</v>
          </cell>
          <cell r="H219">
            <v>179849.71</v>
          </cell>
          <cell r="I219">
            <v>172347.9</v>
          </cell>
          <cell r="J219">
            <v>187859.47</v>
          </cell>
          <cell r="K219">
            <v>178348.24</v>
          </cell>
          <cell r="L219">
            <v>182091.36</v>
          </cell>
          <cell r="M219">
            <v>176392.37000000002</v>
          </cell>
          <cell r="N219">
            <v>178231.65999999997</v>
          </cell>
          <cell r="O219">
            <v>171402.89</v>
          </cell>
          <cell r="P219">
            <v>200565.78999999998</v>
          </cell>
          <cell r="Q219">
            <v>2143675.71</v>
          </cell>
        </row>
        <row r="220">
          <cell r="A220">
            <v>50025</v>
          </cell>
          <cell r="B220" t="str">
            <v>Wages O.T.</v>
          </cell>
          <cell r="E220">
            <v>32984.839999999997</v>
          </cell>
          <cell r="F220">
            <v>9544.4</v>
          </cell>
          <cell r="G220">
            <v>22471.78</v>
          </cell>
          <cell r="H220">
            <v>31363.030000000002</v>
          </cell>
          <cell r="I220">
            <v>49805.09</v>
          </cell>
          <cell r="J220">
            <v>35207.21</v>
          </cell>
          <cell r="K220">
            <v>36825.21</v>
          </cell>
          <cell r="L220">
            <v>33200.26</v>
          </cell>
          <cell r="M220">
            <v>40758.67</v>
          </cell>
          <cell r="N220">
            <v>31022.81</v>
          </cell>
          <cell r="O220">
            <v>51285.26</v>
          </cell>
          <cell r="P220">
            <v>33854.409999999996</v>
          </cell>
          <cell r="Q220">
            <v>408322.97</v>
          </cell>
        </row>
        <row r="221">
          <cell r="A221">
            <v>50035</v>
          </cell>
          <cell r="B221" t="str">
            <v>Safety Bonuses</v>
          </cell>
          <cell r="E221">
            <v>4800</v>
          </cell>
          <cell r="F221">
            <v>4800</v>
          </cell>
          <cell r="G221">
            <v>4800</v>
          </cell>
          <cell r="H221">
            <v>4800</v>
          </cell>
          <cell r="I221">
            <v>5550</v>
          </cell>
          <cell r="J221">
            <v>5550</v>
          </cell>
          <cell r="K221">
            <v>5550</v>
          </cell>
          <cell r="L221">
            <v>5550</v>
          </cell>
          <cell r="M221">
            <v>3500</v>
          </cell>
          <cell r="N221">
            <v>3500</v>
          </cell>
          <cell r="O221">
            <v>4800</v>
          </cell>
          <cell r="P221">
            <v>-8000</v>
          </cell>
          <cell r="Q221">
            <v>45200</v>
          </cell>
        </row>
        <row r="222">
          <cell r="A222">
            <v>50036</v>
          </cell>
          <cell r="B222" t="str">
            <v>Other Bonus/Commission - Non-Safety</v>
          </cell>
          <cell r="E222">
            <v>0</v>
          </cell>
          <cell r="F222">
            <v>0</v>
          </cell>
          <cell r="G222">
            <v>0</v>
          </cell>
          <cell r="H222">
            <v>0</v>
          </cell>
          <cell r="I222">
            <v>0</v>
          </cell>
          <cell r="J222">
            <v>0</v>
          </cell>
          <cell r="K222">
            <v>0</v>
          </cell>
          <cell r="L222">
            <v>0</v>
          </cell>
          <cell r="M222">
            <v>0</v>
          </cell>
          <cell r="N222">
            <v>0</v>
          </cell>
          <cell r="O222">
            <v>0</v>
          </cell>
          <cell r="P222">
            <v>0</v>
          </cell>
          <cell r="Q222">
            <v>0</v>
          </cell>
        </row>
        <row r="223">
          <cell r="A223">
            <v>50045</v>
          </cell>
          <cell r="B223" t="str">
            <v>Contract Labor</v>
          </cell>
          <cell r="E223">
            <v>0</v>
          </cell>
          <cell r="F223">
            <v>0</v>
          </cell>
          <cell r="G223">
            <v>0</v>
          </cell>
          <cell r="H223">
            <v>0</v>
          </cell>
          <cell r="I223">
            <v>0</v>
          </cell>
          <cell r="J223">
            <v>0</v>
          </cell>
          <cell r="K223">
            <v>4788.33</v>
          </cell>
          <cell r="L223">
            <v>3663.38</v>
          </cell>
          <cell r="M223">
            <v>2786.12</v>
          </cell>
          <cell r="N223">
            <v>7835.02</v>
          </cell>
          <cell r="O223">
            <v>2360.66</v>
          </cell>
          <cell r="P223">
            <v>120.48</v>
          </cell>
          <cell r="Q223">
            <v>21553.989999999998</v>
          </cell>
        </row>
        <row r="224">
          <cell r="A224">
            <v>50050</v>
          </cell>
          <cell r="B224" t="str">
            <v>Payroll Taxes</v>
          </cell>
          <cell r="E224">
            <v>25189.960000000003</v>
          </cell>
          <cell r="F224">
            <v>18251.73</v>
          </cell>
          <cell r="G224">
            <v>20679.02</v>
          </cell>
          <cell r="H224">
            <v>21039.350000000002</v>
          </cell>
          <cell r="I224">
            <v>21060.63</v>
          </cell>
          <cell r="J224">
            <v>22770.019999999997</v>
          </cell>
          <cell r="K224">
            <v>23082.989999999998</v>
          </cell>
          <cell r="L224">
            <v>21413.860000000004</v>
          </cell>
          <cell r="M224">
            <v>22297.15</v>
          </cell>
          <cell r="N224">
            <v>19721.989999999998</v>
          </cell>
          <cell r="O224">
            <v>24041.16</v>
          </cell>
          <cell r="P224">
            <v>17044.59</v>
          </cell>
          <cell r="Q224">
            <v>256592.45</v>
          </cell>
        </row>
        <row r="225">
          <cell r="A225">
            <v>50060</v>
          </cell>
          <cell r="B225" t="str">
            <v>Group Insurance</v>
          </cell>
          <cell r="E225">
            <v>-52</v>
          </cell>
          <cell r="F225">
            <v>52</v>
          </cell>
          <cell r="G225">
            <v>400</v>
          </cell>
          <cell r="H225">
            <v>400</v>
          </cell>
          <cell r="I225">
            <v>400</v>
          </cell>
          <cell r="J225">
            <v>400</v>
          </cell>
          <cell r="K225">
            <v>400.77</v>
          </cell>
          <cell r="L225">
            <v>348</v>
          </cell>
          <cell r="M225">
            <v>400</v>
          </cell>
          <cell r="N225">
            <v>400</v>
          </cell>
          <cell r="O225">
            <v>1.54</v>
          </cell>
          <cell r="P225">
            <v>-913.13</v>
          </cell>
          <cell r="Q225">
            <v>2237.1799999999998</v>
          </cell>
        </row>
        <row r="226">
          <cell r="A226">
            <v>50065</v>
          </cell>
          <cell r="B226" t="str">
            <v>Vacation Pay</v>
          </cell>
          <cell r="E226">
            <v>19746.13</v>
          </cell>
          <cell r="F226">
            <v>10715.919999999998</v>
          </cell>
          <cell r="G226">
            <v>10164.220000000001</v>
          </cell>
          <cell r="H226">
            <v>13775.17</v>
          </cell>
          <cell r="I226">
            <v>12214.41</v>
          </cell>
          <cell r="J226">
            <v>9839.7799999999988</v>
          </cell>
          <cell r="K226">
            <v>16829.84</v>
          </cell>
          <cell r="L226">
            <v>10619.08</v>
          </cell>
          <cell r="M226">
            <v>20174.8</v>
          </cell>
          <cell r="N226">
            <v>7964.8900000000012</v>
          </cell>
          <cell r="O226">
            <v>28346.93</v>
          </cell>
          <cell r="P226">
            <v>21322.129999999997</v>
          </cell>
          <cell r="Q226">
            <v>181713.30000000002</v>
          </cell>
        </row>
        <row r="227">
          <cell r="A227">
            <v>50070</v>
          </cell>
          <cell r="B227" t="str">
            <v>Sick Pay</v>
          </cell>
          <cell r="E227">
            <v>0</v>
          </cell>
          <cell r="F227">
            <v>0</v>
          </cell>
          <cell r="G227">
            <v>0</v>
          </cell>
          <cell r="H227">
            <v>0</v>
          </cell>
          <cell r="I227">
            <v>0</v>
          </cell>
          <cell r="J227">
            <v>0</v>
          </cell>
          <cell r="K227">
            <v>0</v>
          </cell>
          <cell r="L227">
            <v>0</v>
          </cell>
          <cell r="M227">
            <v>0</v>
          </cell>
          <cell r="N227">
            <v>0</v>
          </cell>
          <cell r="O227">
            <v>0</v>
          </cell>
          <cell r="P227">
            <v>0</v>
          </cell>
          <cell r="Q227">
            <v>0</v>
          </cell>
        </row>
        <row r="228">
          <cell r="A228">
            <v>50086</v>
          </cell>
          <cell r="B228" t="str">
            <v>Safety and Training</v>
          </cell>
          <cell r="E228">
            <v>157.5</v>
          </cell>
          <cell r="F228">
            <v>172.5</v>
          </cell>
          <cell r="G228">
            <v>808.28</v>
          </cell>
          <cell r="H228">
            <v>-442.5</v>
          </cell>
          <cell r="I228">
            <v>965.32</v>
          </cell>
          <cell r="J228">
            <v>0</v>
          </cell>
          <cell r="K228">
            <v>0</v>
          </cell>
          <cell r="L228">
            <v>0</v>
          </cell>
          <cell r="M228">
            <v>25</v>
          </cell>
          <cell r="N228">
            <v>675</v>
          </cell>
          <cell r="O228">
            <v>0</v>
          </cell>
          <cell r="P228">
            <v>0</v>
          </cell>
          <cell r="Q228">
            <v>2361.1</v>
          </cell>
        </row>
        <row r="229">
          <cell r="A229">
            <v>50087</v>
          </cell>
          <cell r="B229" t="str">
            <v>Drug Testing</v>
          </cell>
          <cell r="E229">
            <v>60</v>
          </cell>
          <cell r="F229">
            <v>294</v>
          </cell>
          <cell r="G229">
            <v>180</v>
          </cell>
          <cell r="H229">
            <v>60</v>
          </cell>
          <cell r="I229">
            <v>180</v>
          </cell>
          <cell r="J229">
            <v>0</v>
          </cell>
          <cell r="K229">
            <v>660</v>
          </cell>
          <cell r="L229">
            <v>180</v>
          </cell>
          <cell r="M229">
            <v>480</v>
          </cell>
          <cell r="N229">
            <v>360</v>
          </cell>
          <cell r="O229">
            <v>180</v>
          </cell>
          <cell r="P229">
            <v>120</v>
          </cell>
          <cell r="Q229">
            <v>2754</v>
          </cell>
        </row>
        <row r="230">
          <cell r="A230">
            <v>50090</v>
          </cell>
          <cell r="B230" t="str">
            <v>Uniforms</v>
          </cell>
          <cell r="E230">
            <v>4074.6600000000003</v>
          </cell>
          <cell r="F230">
            <v>3623.04</v>
          </cell>
          <cell r="G230">
            <v>5198.9500000000007</v>
          </cell>
          <cell r="H230">
            <v>3689.49</v>
          </cell>
          <cell r="I230">
            <v>10448.56</v>
          </cell>
          <cell r="J230">
            <v>4504.9699999999993</v>
          </cell>
          <cell r="K230">
            <v>4758.2000000000007</v>
          </cell>
          <cell r="L230">
            <v>10818.759999999998</v>
          </cell>
          <cell r="M230">
            <v>4750.04</v>
          </cell>
          <cell r="N230">
            <v>7936.8100000000013</v>
          </cell>
          <cell r="O230">
            <v>4016.29</v>
          </cell>
          <cell r="P230">
            <v>3616.1000000000004</v>
          </cell>
          <cell r="Q230">
            <v>67435.87</v>
          </cell>
        </row>
        <row r="231">
          <cell r="A231">
            <v>50115</v>
          </cell>
          <cell r="B231" t="str">
            <v>Pension and Profit Sharing</v>
          </cell>
          <cell r="E231">
            <v>28983.06</v>
          </cell>
          <cell r="F231">
            <v>25738.78</v>
          </cell>
          <cell r="G231">
            <v>27512.51</v>
          </cell>
          <cell r="H231">
            <v>29149.510000000002</v>
          </cell>
          <cell r="I231">
            <v>28747.71</v>
          </cell>
          <cell r="J231">
            <v>30320.410000000003</v>
          </cell>
          <cell r="K231">
            <v>30592.95</v>
          </cell>
          <cell r="L231">
            <v>30361.019999999997</v>
          </cell>
          <cell r="M231">
            <v>30798.07</v>
          </cell>
          <cell r="N231">
            <v>28965.410000000003</v>
          </cell>
          <cell r="O231">
            <v>29195.13</v>
          </cell>
          <cell r="P231">
            <v>27681.32</v>
          </cell>
          <cell r="Q231">
            <v>348045.87999999995</v>
          </cell>
        </row>
        <row r="232">
          <cell r="A232">
            <v>50116</v>
          </cell>
          <cell r="B232" t="str">
            <v>Union Benefit Expense</v>
          </cell>
          <cell r="E232">
            <v>75002.37000000001</v>
          </cell>
          <cell r="F232">
            <v>76004.59</v>
          </cell>
          <cell r="G232">
            <v>72736.17</v>
          </cell>
          <cell r="H232">
            <v>70560.600000000006</v>
          </cell>
          <cell r="I232">
            <v>73715.539999999994</v>
          </cell>
          <cell r="J232">
            <v>76036.11</v>
          </cell>
          <cell r="K232">
            <v>76033.8</v>
          </cell>
          <cell r="L232">
            <v>76047.17</v>
          </cell>
          <cell r="M232">
            <v>75995.589999999982</v>
          </cell>
          <cell r="N232">
            <v>77106.5</v>
          </cell>
          <cell r="O232">
            <v>74405.170000000013</v>
          </cell>
          <cell r="P232">
            <v>74519.92</v>
          </cell>
          <cell r="Q232">
            <v>898163.53</v>
          </cell>
        </row>
        <row r="233">
          <cell r="A233">
            <v>50117</v>
          </cell>
          <cell r="B233" t="str">
            <v>Union Pension</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A234">
            <v>50148</v>
          </cell>
          <cell r="B234" t="str">
            <v>Allocated Exp In - District</v>
          </cell>
          <cell r="E234">
            <v>0</v>
          </cell>
          <cell r="F234">
            <v>0</v>
          </cell>
          <cell r="G234">
            <v>0</v>
          </cell>
          <cell r="H234">
            <v>0</v>
          </cell>
          <cell r="I234">
            <v>0</v>
          </cell>
          <cell r="J234">
            <v>0</v>
          </cell>
          <cell r="K234">
            <v>0</v>
          </cell>
          <cell r="L234">
            <v>0</v>
          </cell>
          <cell r="M234">
            <v>0</v>
          </cell>
          <cell r="N234">
            <v>0</v>
          </cell>
          <cell r="O234">
            <v>0</v>
          </cell>
          <cell r="P234">
            <v>0</v>
          </cell>
          <cell r="Q234">
            <v>0</v>
          </cell>
        </row>
        <row r="235">
          <cell r="A235">
            <v>50149</v>
          </cell>
          <cell r="B235" t="str">
            <v>Allocated Exp In Out - District</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A236">
            <v>50335</v>
          </cell>
          <cell r="B236" t="str">
            <v>Miscellaneous</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v>50900</v>
          </cell>
          <cell r="B237" t="str">
            <v>Capitalized Costs</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A238">
            <v>50998</v>
          </cell>
          <cell r="B238" t="str">
            <v>Allocation Out - District</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A239">
            <v>50999</v>
          </cell>
          <cell r="B239" t="str">
            <v>Allocation Out - Out District</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A240" t="str">
            <v>Total Labor</v>
          </cell>
          <cell r="E240">
            <v>355829.94</v>
          </cell>
          <cell r="F240">
            <v>312790.53000000003</v>
          </cell>
          <cell r="G240">
            <v>353060.25999999995</v>
          </cell>
          <cell r="H240">
            <v>354244.36</v>
          </cell>
          <cell r="I240">
            <v>375435.16</v>
          </cell>
          <cell r="J240">
            <v>372487.97</v>
          </cell>
          <cell r="K240">
            <v>377870.32999999996</v>
          </cell>
          <cell r="L240">
            <v>374292.89</v>
          </cell>
          <cell r="M240">
            <v>378357.81</v>
          </cell>
          <cell r="N240">
            <v>363720.08999999997</v>
          </cell>
          <cell r="O240">
            <v>390035.03</v>
          </cell>
          <cell r="P240">
            <v>369931.60999999993</v>
          </cell>
          <cell r="Q240">
            <v>4378055.9800000004</v>
          </cell>
        </row>
        <row r="242">
          <cell r="A242" t="str">
            <v>Truck Fixed Expenses</v>
          </cell>
        </row>
        <row r="243">
          <cell r="A243">
            <v>51148</v>
          </cell>
          <cell r="B243" t="str">
            <v>Allocation In - District</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A244">
            <v>51149</v>
          </cell>
          <cell r="B244" t="str">
            <v>Allocation In - Out District</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A245">
            <v>51175</v>
          </cell>
          <cell r="B245" t="str">
            <v>Equipment/Vehicle Rental</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A246">
            <v>51275</v>
          </cell>
          <cell r="B246" t="str">
            <v>Property Taxes</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A247">
            <v>51295</v>
          </cell>
          <cell r="B247" t="str">
            <v>Licenses</v>
          </cell>
          <cell r="E247">
            <v>7094.03</v>
          </cell>
          <cell r="F247">
            <v>5283.39</v>
          </cell>
          <cell r="G247">
            <v>6038.79</v>
          </cell>
          <cell r="H247">
            <v>6260.76</v>
          </cell>
          <cell r="I247">
            <v>7130.37</v>
          </cell>
          <cell r="J247">
            <v>6495.12</v>
          </cell>
          <cell r="K247">
            <v>7155.12</v>
          </cell>
          <cell r="L247">
            <v>8517.26</v>
          </cell>
          <cell r="M247">
            <v>6025.42</v>
          </cell>
          <cell r="N247">
            <v>6730.71</v>
          </cell>
          <cell r="O247">
            <v>6040.84</v>
          </cell>
          <cell r="P247">
            <v>7017.82</v>
          </cell>
          <cell r="Q247">
            <v>79789.63</v>
          </cell>
        </row>
        <row r="248">
          <cell r="A248">
            <v>51335</v>
          </cell>
          <cell r="B248" t="str">
            <v>Miscellaneous</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A249">
            <v>51998</v>
          </cell>
          <cell r="B249" t="str">
            <v>Allocation Out - District</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A250">
            <v>51999</v>
          </cell>
          <cell r="B250" t="str">
            <v>Allocation Out - Out District</v>
          </cell>
          <cell r="E250">
            <v>0</v>
          </cell>
          <cell r="F250">
            <v>0</v>
          </cell>
          <cell r="G250">
            <v>0</v>
          </cell>
          <cell r="H250">
            <v>0</v>
          </cell>
          <cell r="I250">
            <v>0</v>
          </cell>
          <cell r="J250">
            <v>0</v>
          </cell>
          <cell r="K250">
            <v>0</v>
          </cell>
          <cell r="L250">
            <v>0</v>
          </cell>
          <cell r="M250">
            <v>0</v>
          </cell>
          <cell r="N250">
            <v>0</v>
          </cell>
          <cell r="O250">
            <v>0</v>
          </cell>
          <cell r="P250">
            <v>0</v>
          </cell>
          <cell r="Q250">
            <v>0</v>
          </cell>
        </row>
        <row r="251">
          <cell r="A251" t="str">
            <v>Total Truck Fixed Expenses</v>
          </cell>
          <cell r="E251">
            <v>7094.03</v>
          </cell>
          <cell r="F251">
            <v>5283.39</v>
          </cell>
          <cell r="G251">
            <v>6038.79</v>
          </cell>
          <cell r="H251">
            <v>6260.76</v>
          </cell>
          <cell r="I251">
            <v>7130.37</v>
          </cell>
          <cell r="J251">
            <v>6495.12</v>
          </cell>
          <cell r="K251">
            <v>7155.12</v>
          </cell>
          <cell r="L251">
            <v>8517.26</v>
          </cell>
          <cell r="M251">
            <v>6025.42</v>
          </cell>
          <cell r="N251">
            <v>6730.71</v>
          </cell>
          <cell r="O251">
            <v>6040.84</v>
          </cell>
          <cell r="P251">
            <v>7017.82</v>
          </cell>
          <cell r="Q251">
            <v>79789.63</v>
          </cell>
        </row>
        <row r="253">
          <cell r="A253" t="str">
            <v>Truck Variable Expenses</v>
          </cell>
        </row>
        <row r="254">
          <cell r="A254">
            <v>52010</v>
          </cell>
          <cell r="B254" t="str">
            <v>Salaries</v>
          </cell>
          <cell r="E254">
            <v>0</v>
          </cell>
          <cell r="F254">
            <v>0</v>
          </cell>
          <cell r="G254">
            <v>0</v>
          </cell>
          <cell r="H254">
            <v>0</v>
          </cell>
          <cell r="I254">
            <v>0</v>
          </cell>
          <cell r="J254">
            <v>0</v>
          </cell>
          <cell r="K254">
            <v>0</v>
          </cell>
          <cell r="L254">
            <v>0</v>
          </cell>
          <cell r="M254">
            <v>0</v>
          </cell>
          <cell r="N254">
            <v>0</v>
          </cell>
          <cell r="O254">
            <v>0</v>
          </cell>
          <cell r="P254">
            <v>0</v>
          </cell>
          <cell r="Q254">
            <v>0</v>
          </cell>
        </row>
        <row r="255">
          <cell r="A255">
            <v>52020</v>
          </cell>
          <cell r="B255" t="str">
            <v>Wages Regular</v>
          </cell>
          <cell r="E255">
            <v>41831.43</v>
          </cell>
          <cell r="F255">
            <v>31547.360000000001</v>
          </cell>
          <cell r="G255">
            <v>41785.230000000003</v>
          </cell>
          <cell r="H255">
            <v>41270.26</v>
          </cell>
          <cell r="I255">
            <v>32339.71</v>
          </cell>
          <cell r="J255">
            <v>31241.200000000001</v>
          </cell>
          <cell r="K255">
            <v>37276.75</v>
          </cell>
          <cell r="L255">
            <v>38079.120000000003</v>
          </cell>
          <cell r="M255">
            <v>35899.410000000003</v>
          </cell>
          <cell r="N255">
            <v>39332.589999999997</v>
          </cell>
          <cell r="O255">
            <v>37890.239999999998</v>
          </cell>
          <cell r="P255">
            <v>44055.94</v>
          </cell>
          <cell r="Q255">
            <v>452549.24000000005</v>
          </cell>
        </row>
        <row r="256">
          <cell r="A256">
            <v>52025</v>
          </cell>
          <cell r="B256" t="str">
            <v>Wages O.T.</v>
          </cell>
          <cell r="E256">
            <v>7524.35</v>
          </cell>
          <cell r="F256">
            <v>4047.27</v>
          </cell>
          <cell r="G256">
            <v>4760.2299999999996</v>
          </cell>
          <cell r="H256">
            <v>4152.5200000000004</v>
          </cell>
          <cell r="I256">
            <v>5808.01</v>
          </cell>
          <cell r="J256">
            <v>4035.92</v>
          </cell>
          <cell r="K256">
            <v>11119.38</v>
          </cell>
          <cell r="L256">
            <v>2971.58</v>
          </cell>
          <cell r="M256">
            <v>6964.42</v>
          </cell>
          <cell r="N256">
            <v>4824.8500000000004</v>
          </cell>
          <cell r="O256">
            <v>7793.34</v>
          </cell>
          <cell r="P256">
            <v>5555.18</v>
          </cell>
          <cell r="Q256">
            <v>69557.049999999988</v>
          </cell>
        </row>
        <row r="257">
          <cell r="A257">
            <v>52035</v>
          </cell>
          <cell r="B257" t="str">
            <v>Safety Bonuses</v>
          </cell>
          <cell r="E257">
            <v>1250</v>
          </cell>
          <cell r="F257">
            <v>1250</v>
          </cell>
          <cell r="G257">
            <v>1250</v>
          </cell>
          <cell r="H257">
            <v>1250</v>
          </cell>
          <cell r="I257">
            <v>2000</v>
          </cell>
          <cell r="J257">
            <v>2000</v>
          </cell>
          <cell r="K257">
            <v>2000</v>
          </cell>
          <cell r="L257">
            <v>2000</v>
          </cell>
          <cell r="M257">
            <v>1000</v>
          </cell>
          <cell r="N257">
            <v>1000</v>
          </cell>
          <cell r="O257">
            <v>1200</v>
          </cell>
          <cell r="P257">
            <v>-2000</v>
          </cell>
          <cell r="Q257">
            <v>14200</v>
          </cell>
        </row>
        <row r="258">
          <cell r="A258">
            <v>52036</v>
          </cell>
          <cell r="B258" t="str">
            <v>Other Bonus/Commission - Non-Safety</v>
          </cell>
          <cell r="E258">
            <v>0</v>
          </cell>
          <cell r="F258">
            <v>0</v>
          </cell>
          <cell r="G258">
            <v>0</v>
          </cell>
          <cell r="H258">
            <v>0</v>
          </cell>
          <cell r="I258">
            <v>0</v>
          </cell>
          <cell r="J258">
            <v>0</v>
          </cell>
          <cell r="K258">
            <v>0</v>
          </cell>
          <cell r="L258">
            <v>0</v>
          </cell>
          <cell r="M258">
            <v>0</v>
          </cell>
          <cell r="N258">
            <v>0</v>
          </cell>
          <cell r="O258">
            <v>0</v>
          </cell>
          <cell r="P258">
            <v>0</v>
          </cell>
          <cell r="Q258">
            <v>0</v>
          </cell>
        </row>
        <row r="259">
          <cell r="A259">
            <v>52045</v>
          </cell>
          <cell r="B259" t="str">
            <v>Contract Labor</v>
          </cell>
          <cell r="E259">
            <v>0</v>
          </cell>
          <cell r="F259">
            <v>0</v>
          </cell>
          <cell r="G259">
            <v>0</v>
          </cell>
          <cell r="H259">
            <v>0</v>
          </cell>
          <cell r="I259">
            <v>0</v>
          </cell>
          <cell r="J259">
            <v>0</v>
          </cell>
          <cell r="K259">
            <v>0</v>
          </cell>
          <cell r="L259">
            <v>0</v>
          </cell>
          <cell r="M259">
            <v>0</v>
          </cell>
          <cell r="N259">
            <v>0</v>
          </cell>
          <cell r="O259">
            <v>0</v>
          </cell>
          <cell r="P259">
            <v>0</v>
          </cell>
          <cell r="Q259">
            <v>0</v>
          </cell>
        </row>
        <row r="260">
          <cell r="A260">
            <v>52050</v>
          </cell>
          <cell r="B260" t="str">
            <v>Payroll Taxes</v>
          </cell>
          <cell r="E260">
            <v>5936.87</v>
          </cell>
          <cell r="F260">
            <v>3515.19</v>
          </cell>
          <cell r="G260">
            <v>4535.6499999999996</v>
          </cell>
          <cell r="H260">
            <v>4653.75</v>
          </cell>
          <cell r="I260">
            <v>4561.24</v>
          </cell>
          <cell r="J260">
            <v>5119.2299999999996</v>
          </cell>
          <cell r="K260">
            <v>5503.32</v>
          </cell>
          <cell r="L260">
            <v>4465.1099999999997</v>
          </cell>
          <cell r="M260">
            <v>4260.3100000000004</v>
          </cell>
          <cell r="N260">
            <v>4002.25</v>
          </cell>
          <cell r="O260">
            <v>5640.4</v>
          </cell>
          <cell r="P260">
            <v>3070</v>
          </cell>
          <cell r="Q260">
            <v>55263.32</v>
          </cell>
        </row>
        <row r="261">
          <cell r="A261">
            <v>52060</v>
          </cell>
          <cell r="B261" t="str">
            <v>Group Insurance</v>
          </cell>
          <cell r="E261">
            <v>-159</v>
          </cell>
          <cell r="F261">
            <v>-159</v>
          </cell>
          <cell r="G261">
            <v>561.5</v>
          </cell>
          <cell r="H261">
            <v>720.5</v>
          </cell>
          <cell r="I261">
            <v>641</v>
          </cell>
          <cell r="J261">
            <v>641</v>
          </cell>
          <cell r="K261">
            <v>641</v>
          </cell>
          <cell r="L261">
            <v>641</v>
          </cell>
          <cell r="M261">
            <v>561.5</v>
          </cell>
          <cell r="N261">
            <v>720.5</v>
          </cell>
          <cell r="O261">
            <v>641</v>
          </cell>
          <cell r="P261">
            <v>511.58</v>
          </cell>
          <cell r="Q261">
            <v>5962.58</v>
          </cell>
        </row>
        <row r="262">
          <cell r="A262">
            <v>52065</v>
          </cell>
          <cell r="B262" t="str">
            <v>Vacation Pay</v>
          </cell>
          <cell r="E262">
            <v>5737.5</v>
          </cell>
          <cell r="F262">
            <v>2090.71</v>
          </cell>
          <cell r="G262">
            <v>1979.73</v>
          </cell>
          <cell r="H262">
            <v>3044.17</v>
          </cell>
          <cell r="I262">
            <v>1571.02</v>
          </cell>
          <cell r="J262">
            <v>4642.26</v>
          </cell>
          <cell r="K262">
            <v>3319.05</v>
          </cell>
          <cell r="L262">
            <v>1557.75</v>
          </cell>
          <cell r="M262">
            <v>5888.63</v>
          </cell>
          <cell r="N262">
            <v>2065.0500000000002</v>
          </cell>
          <cell r="O262">
            <v>3190.34</v>
          </cell>
          <cell r="P262">
            <v>2387</v>
          </cell>
          <cell r="Q262">
            <v>37473.21</v>
          </cell>
        </row>
        <row r="263">
          <cell r="A263">
            <v>52070</v>
          </cell>
          <cell r="B263" t="str">
            <v>Sick Pay</v>
          </cell>
          <cell r="E263">
            <v>0</v>
          </cell>
          <cell r="F263">
            <v>0</v>
          </cell>
          <cell r="G263">
            <v>111.2</v>
          </cell>
          <cell r="H263">
            <v>903.6</v>
          </cell>
          <cell r="I263">
            <v>-301.2</v>
          </cell>
          <cell r="J263">
            <v>114.8</v>
          </cell>
          <cell r="K263">
            <v>229.6</v>
          </cell>
          <cell r="L263">
            <v>-114.8</v>
          </cell>
          <cell r="M263">
            <v>0</v>
          </cell>
          <cell r="N263">
            <v>0</v>
          </cell>
          <cell r="O263">
            <v>0</v>
          </cell>
          <cell r="P263">
            <v>0</v>
          </cell>
          <cell r="Q263">
            <v>943.2</v>
          </cell>
        </row>
        <row r="264">
          <cell r="A264">
            <v>52086</v>
          </cell>
          <cell r="B264" t="str">
            <v>Safety and Training</v>
          </cell>
          <cell r="E264">
            <v>313.67</v>
          </cell>
          <cell r="F264">
            <v>337.9</v>
          </cell>
          <cell r="G264">
            <v>464.12</v>
          </cell>
          <cell r="H264">
            <v>898.81</v>
          </cell>
          <cell r="I264">
            <v>1000.19</v>
          </cell>
          <cell r="J264">
            <v>951.13</v>
          </cell>
          <cell r="K264">
            <v>348.03</v>
          </cell>
          <cell r="L264">
            <v>1085.5</v>
          </cell>
          <cell r="M264">
            <v>0</v>
          </cell>
          <cell r="N264">
            <v>252.45</v>
          </cell>
          <cell r="O264">
            <v>0</v>
          </cell>
          <cell r="P264">
            <v>1352.06</v>
          </cell>
          <cell r="Q264">
            <v>7003.8600000000006</v>
          </cell>
        </row>
        <row r="265">
          <cell r="A265">
            <v>52087</v>
          </cell>
          <cell r="B265" t="str">
            <v>Drug Screening</v>
          </cell>
          <cell r="E265">
            <v>0</v>
          </cell>
          <cell r="F265">
            <v>0</v>
          </cell>
          <cell r="G265">
            <v>0</v>
          </cell>
          <cell r="H265">
            <v>0</v>
          </cell>
          <cell r="I265">
            <v>0</v>
          </cell>
          <cell r="J265">
            <v>0</v>
          </cell>
          <cell r="K265">
            <v>0</v>
          </cell>
          <cell r="L265">
            <v>0</v>
          </cell>
          <cell r="M265">
            <v>0</v>
          </cell>
          <cell r="N265">
            <v>0</v>
          </cell>
          <cell r="O265">
            <v>0</v>
          </cell>
          <cell r="P265">
            <v>0</v>
          </cell>
          <cell r="Q265">
            <v>0</v>
          </cell>
        </row>
        <row r="266">
          <cell r="A266">
            <v>52090</v>
          </cell>
          <cell r="B266" t="str">
            <v>Uniforms</v>
          </cell>
          <cell r="E266">
            <v>300.83</v>
          </cell>
          <cell r="F266">
            <v>353.71</v>
          </cell>
          <cell r="G266">
            <v>389.7</v>
          </cell>
          <cell r="H266">
            <v>320.22000000000003</v>
          </cell>
          <cell r="I266">
            <v>296.99</v>
          </cell>
          <cell r="J266">
            <v>450.43</v>
          </cell>
          <cell r="K266">
            <v>428.66</v>
          </cell>
          <cell r="L266">
            <v>1034.03</v>
          </cell>
          <cell r="M266">
            <v>250.15</v>
          </cell>
          <cell r="N266">
            <v>3123.18</v>
          </cell>
          <cell r="O266">
            <v>276.32</v>
          </cell>
          <cell r="P266">
            <v>308.07</v>
          </cell>
          <cell r="Q266">
            <v>7532.2899999999991</v>
          </cell>
        </row>
        <row r="267">
          <cell r="A267">
            <v>52115</v>
          </cell>
          <cell r="B267" t="str">
            <v>Pension and Profit Sharing</v>
          </cell>
          <cell r="E267">
            <v>4010.46</v>
          </cell>
          <cell r="F267">
            <v>3565.56</v>
          </cell>
          <cell r="G267">
            <v>3834.74</v>
          </cell>
          <cell r="H267">
            <v>3873.02</v>
          </cell>
          <cell r="I267">
            <v>3977.37</v>
          </cell>
          <cell r="J267">
            <v>4220.3500000000004</v>
          </cell>
          <cell r="K267">
            <v>4228.8599999999997</v>
          </cell>
          <cell r="L267">
            <v>4197.5600000000004</v>
          </cell>
          <cell r="M267">
            <v>4257.6400000000003</v>
          </cell>
          <cell r="N267">
            <v>4035.58</v>
          </cell>
          <cell r="O267">
            <v>4052.24</v>
          </cell>
          <cell r="P267">
            <v>3832.52</v>
          </cell>
          <cell r="Q267">
            <v>48085.9</v>
          </cell>
        </row>
        <row r="268">
          <cell r="A268">
            <v>52116</v>
          </cell>
          <cell r="B268" t="str">
            <v>Union Benefit Expense</v>
          </cell>
          <cell r="E268">
            <v>11221.99</v>
          </cell>
          <cell r="F268">
            <v>11221.61</v>
          </cell>
          <cell r="G268">
            <v>8963.65</v>
          </cell>
          <cell r="H268">
            <v>10117.1</v>
          </cell>
          <cell r="I268">
            <v>10108.799999999999</v>
          </cell>
          <cell r="J268">
            <v>10108.799999999999</v>
          </cell>
          <cell r="K268">
            <v>10108.799999999999</v>
          </cell>
          <cell r="L268">
            <v>10108.799999999999</v>
          </cell>
          <cell r="M268">
            <v>10102.129999999999</v>
          </cell>
          <cell r="N268">
            <v>10118.73</v>
          </cell>
          <cell r="O268">
            <v>8978.93</v>
          </cell>
          <cell r="P268">
            <v>9916.0499999999993</v>
          </cell>
          <cell r="Q268">
            <v>121075.39</v>
          </cell>
        </row>
        <row r="269">
          <cell r="A269">
            <v>52117</v>
          </cell>
          <cell r="B269" t="str">
            <v>Union Pension</v>
          </cell>
          <cell r="E269">
            <v>0</v>
          </cell>
          <cell r="F269">
            <v>0</v>
          </cell>
          <cell r="G269">
            <v>0</v>
          </cell>
          <cell r="H269">
            <v>0</v>
          </cell>
          <cell r="I269">
            <v>0</v>
          </cell>
          <cell r="J269">
            <v>0</v>
          </cell>
          <cell r="K269">
            <v>0</v>
          </cell>
          <cell r="L269">
            <v>0</v>
          </cell>
          <cell r="M269">
            <v>0</v>
          </cell>
          <cell r="N269">
            <v>0</v>
          </cell>
          <cell r="O269">
            <v>0</v>
          </cell>
          <cell r="P269">
            <v>0</v>
          </cell>
          <cell r="Q269">
            <v>0</v>
          </cell>
        </row>
        <row r="270">
          <cell r="A270">
            <v>52120</v>
          </cell>
          <cell r="B270" t="str">
            <v>Parts and Materials</v>
          </cell>
          <cell r="E270">
            <v>41193.56</v>
          </cell>
          <cell r="F270">
            <v>42024.94</v>
          </cell>
          <cell r="G270">
            <v>38734.660000000003</v>
          </cell>
          <cell r="H270">
            <v>21757.73</v>
          </cell>
          <cell r="I270">
            <v>38676.519999999997</v>
          </cell>
          <cell r="J270">
            <v>21919.95</v>
          </cell>
          <cell r="K270">
            <v>34237.410000000003</v>
          </cell>
          <cell r="L270">
            <v>36723.200000000004</v>
          </cell>
          <cell r="M270">
            <v>30874.03</v>
          </cell>
          <cell r="N270">
            <v>23554.1</v>
          </cell>
          <cell r="O270">
            <v>38660.959999999999</v>
          </cell>
          <cell r="P270">
            <v>71007.829999999987</v>
          </cell>
          <cell r="Q270">
            <v>439364.89</v>
          </cell>
        </row>
        <row r="271">
          <cell r="A271">
            <v>52125</v>
          </cell>
          <cell r="B271" t="str">
            <v>Operating Supplies</v>
          </cell>
          <cell r="E271">
            <v>450.54</v>
          </cell>
          <cell r="F271">
            <v>864.08</v>
          </cell>
          <cell r="G271">
            <v>1556.99</v>
          </cell>
          <cell r="H271">
            <v>537.54</v>
          </cell>
          <cell r="I271">
            <v>1099.93</v>
          </cell>
          <cell r="J271">
            <v>712.27</v>
          </cell>
          <cell r="K271">
            <v>5197.97</v>
          </cell>
          <cell r="L271">
            <v>-137.46</v>
          </cell>
          <cell r="M271">
            <v>1851.48</v>
          </cell>
          <cell r="N271">
            <v>2157.91</v>
          </cell>
          <cell r="O271">
            <v>2427.54</v>
          </cell>
          <cell r="P271">
            <v>1259.3</v>
          </cell>
          <cell r="Q271">
            <v>17978.09</v>
          </cell>
        </row>
        <row r="272">
          <cell r="A272">
            <v>52135</v>
          </cell>
          <cell r="B272" t="str">
            <v>Equipment and Maint Repair</v>
          </cell>
          <cell r="E272">
            <v>1311.54</v>
          </cell>
          <cell r="F272">
            <v>0</v>
          </cell>
          <cell r="G272">
            <v>1331.95</v>
          </cell>
          <cell r="H272">
            <v>2045.95</v>
          </cell>
          <cell r="I272">
            <v>0</v>
          </cell>
          <cell r="J272">
            <v>829.81</v>
          </cell>
          <cell r="K272">
            <v>0</v>
          </cell>
          <cell r="L272">
            <v>606.65</v>
          </cell>
          <cell r="M272">
            <v>0</v>
          </cell>
          <cell r="N272">
            <v>19.89</v>
          </cell>
          <cell r="O272">
            <v>0</v>
          </cell>
          <cell r="P272">
            <v>4997.33</v>
          </cell>
          <cell r="Q272">
            <v>11143.119999999999</v>
          </cell>
        </row>
        <row r="273">
          <cell r="A273">
            <v>52140</v>
          </cell>
          <cell r="B273" t="str">
            <v>Tires</v>
          </cell>
          <cell r="E273">
            <v>10747.01</v>
          </cell>
          <cell r="F273">
            <v>20260.900000000001</v>
          </cell>
          <cell r="G273">
            <v>12967.76</v>
          </cell>
          <cell r="H273">
            <v>15725.04</v>
          </cell>
          <cell r="I273">
            <v>18198.22</v>
          </cell>
          <cell r="J273">
            <v>22108.07</v>
          </cell>
          <cell r="K273">
            <v>15799.4</v>
          </cell>
          <cell r="L273">
            <v>23775.3</v>
          </cell>
          <cell r="M273">
            <v>38329.33</v>
          </cell>
          <cell r="N273">
            <v>6596.26</v>
          </cell>
          <cell r="O273">
            <v>14714.42</v>
          </cell>
          <cell r="P273">
            <v>23906.22</v>
          </cell>
          <cell r="Q273">
            <v>223127.93</v>
          </cell>
        </row>
        <row r="274">
          <cell r="A274">
            <v>52142</v>
          </cell>
          <cell r="B274" t="str">
            <v>Fuel Expense</v>
          </cell>
          <cell r="E274">
            <v>90672.87</v>
          </cell>
          <cell r="F274">
            <v>84188.88</v>
          </cell>
          <cell r="G274">
            <v>96017.58</v>
          </cell>
          <cell r="H274">
            <v>104369.3</v>
          </cell>
          <cell r="I274">
            <v>97844</v>
          </cell>
          <cell r="J274">
            <v>100692.82</v>
          </cell>
          <cell r="K274">
            <v>101529.68</v>
          </cell>
          <cell r="L274">
            <v>100169.49</v>
          </cell>
          <cell r="M274">
            <v>104198.62999999999</v>
          </cell>
          <cell r="N274">
            <v>102536.13</v>
          </cell>
          <cell r="O274">
            <v>101351.78</v>
          </cell>
          <cell r="P274">
            <v>108470.82</v>
          </cell>
          <cell r="Q274">
            <v>1192041.98</v>
          </cell>
        </row>
        <row r="275">
          <cell r="A275">
            <v>52143</v>
          </cell>
          <cell r="B275" t="str">
            <v>Transmontagne Fuel</v>
          </cell>
          <cell r="E275">
            <v>0</v>
          </cell>
          <cell r="F275">
            <v>0</v>
          </cell>
          <cell r="G275">
            <v>0</v>
          </cell>
          <cell r="H275">
            <v>0</v>
          </cell>
          <cell r="I275">
            <v>0</v>
          </cell>
          <cell r="J275">
            <v>0</v>
          </cell>
          <cell r="K275">
            <v>0</v>
          </cell>
          <cell r="L275">
            <v>0</v>
          </cell>
          <cell r="M275">
            <v>0</v>
          </cell>
          <cell r="N275">
            <v>0</v>
          </cell>
          <cell r="O275">
            <v>0</v>
          </cell>
          <cell r="P275">
            <v>0</v>
          </cell>
          <cell r="Q275">
            <v>0</v>
          </cell>
        </row>
        <row r="276">
          <cell r="A276">
            <v>52144</v>
          </cell>
          <cell r="B276" t="str">
            <v>Urea Expense</v>
          </cell>
          <cell r="E276">
            <v>0</v>
          </cell>
          <cell r="F276">
            <v>0</v>
          </cell>
          <cell r="G276">
            <v>0</v>
          </cell>
          <cell r="H276">
            <v>0</v>
          </cell>
          <cell r="I276">
            <v>0</v>
          </cell>
          <cell r="J276">
            <v>0</v>
          </cell>
          <cell r="K276">
            <v>0</v>
          </cell>
          <cell r="L276">
            <v>0</v>
          </cell>
          <cell r="M276">
            <v>0</v>
          </cell>
          <cell r="N276">
            <v>0</v>
          </cell>
          <cell r="O276">
            <v>0</v>
          </cell>
          <cell r="P276">
            <v>0</v>
          </cell>
          <cell r="Q276">
            <v>0</v>
          </cell>
        </row>
        <row r="277">
          <cell r="A277">
            <v>52146</v>
          </cell>
          <cell r="B277" t="str">
            <v>Oil and Grease</v>
          </cell>
          <cell r="E277">
            <v>1875.42</v>
          </cell>
          <cell r="F277">
            <v>3140.6</v>
          </cell>
          <cell r="G277">
            <v>5599.47</v>
          </cell>
          <cell r="H277">
            <v>2698.4</v>
          </cell>
          <cell r="I277">
            <v>3948.29</v>
          </cell>
          <cell r="J277">
            <v>2749.6</v>
          </cell>
          <cell r="K277">
            <v>7146.81</v>
          </cell>
          <cell r="L277">
            <v>2889.82</v>
          </cell>
          <cell r="M277">
            <v>9639.18</v>
          </cell>
          <cell r="N277">
            <v>6672.23</v>
          </cell>
          <cell r="O277">
            <v>11463.27</v>
          </cell>
          <cell r="P277">
            <v>-1288.0899999999999</v>
          </cell>
          <cell r="Q277">
            <v>56535</v>
          </cell>
        </row>
        <row r="278">
          <cell r="A278">
            <v>52147</v>
          </cell>
          <cell r="B278" t="str">
            <v>Outside Repairs</v>
          </cell>
          <cell r="E278">
            <v>8076.3899999999994</v>
          </cell>
          <cell r="F278">
            <v>4057.67</v>
          </cell>
          <cell r="G278">
            <v>2887.37</v>
          </cell>
          <cell r="H278">
            <v>4718.95</v>
          </cell>
          <cell r="I278">
            <v>7256.5</v>
          </cell>
          <cell r="J278">
            <v>4191.84</v>
          </cell>
          <cell r="K278">
            <v>8112.14</v>
          </cell>
          <cell r="L278">
            <v>5106.9299999999994</v>
          </cell>
          <cell r="M278">
            <v>11697.4</v>
          </cell>
          <cell r="N278">
            <v>2871.95</v>
          </cell>
          <cell r="O278">
            <v>2463.9499999999998</v>
          </cell>
          <cell r="P278">
            <v>2818.3500000000004</v>
          </cell>
          <cell r="Q278">
            <v>64259.439999999995</v>
          </cell>
        </row>
        <row r="279">
          <cell r="A279">
            <v>52148</v>
          </cell>
          <cell r="B279" t="str">
            <v>Allocated Exp In - District</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A280">
            <v>52149</v>
          </cell>
          <cell r="B280" t="str">
            <v>Allocated Exp In Out - District</v>
          </cell>
          <cell r="E280">
            <v>0</v>
          </cell>
          <cell r="F280">
            <v>0</v>
          </cell>
          <cell r="G280">
            <v>0</v>
          </cell>
          <cell r="H280">
            <v>0</v>
          </cell>
          <cell r="I280">
            <v>0</v>
          </cell>
          <cell r="J280">
            <v>0</v>
          </cell>
          <cell r="K280">
            <v>0</v>
          </cell>
          <cell r="L280">
            <v>0</v>
          </cell>
          <cell r="M280">
            <v>0</v>
          </cell>
          <cell r="N280">
            <v>0</v>
          </cell>
          <cell r="O280">
            <v>0</v>
          </cell>
          <cell r="P280">
            <v>0</v>
          </cell>
          <cell r="Q280">
            <v>0</v>
          </cell>
        </row>
        <row r="281">
          <cell r="A281">
            <v>52150</v>
          </cell>
          <cell r="B281" t="str">
            <v>Utilities</v>
          </cell>
          <cell r="E281">
            <v>3181.16</v>
          </cell>
          <cell r="F281">
            <v>2292.6799999999998</v>
          </cell>
          <cell r="G281">
            <v>2139.2399999999998</v>
          </cell>
          <cell r="H281">
            <v>1852.79</v>
          </cell>
          <cell r="I281">
            <v>1236.6600000000001</v>
          </cell>
          <cell r="J281">
            <v>1066.23</v>
          </cell>
          <cell r="K281">
            <v>890.6</v>
          </cell>
          <cell r="L281">
            <v>864.21</v>
          </cell>
          <cell r="M281">
            <v>875.77</v>
          </cell>
          <cell r="N281">
            <v>889.61</v>
          </cell>
          <cell r="O281">
            <v>1635.02</v>
          </cell>
          <cell r="P281">
            <v>2991.91</v>
          </cell>
          <cell r="Q281">
            <v>19915.88</v>
          </cell>
        </row>
        <row r="282">
          <cell r="A282">
            <v>52165</v>
          </cell>
          <cell r="B282" t="str">
            <v>Communications</v>
          </cell>
          <cell r="E282">
            <v>1324.81</v>
          </cell>
          <cell r="F282">
            <v>1312.75</v>
          </cell>
          <cell r="G282">
            <v>1300.6099999999999</v>
          </cell>
          <cell r="H282">
            <v>1324.91</v>
          </cell>
          <cell r="I282">
            <v>1652.06</v>
          </cell>
          <cell r="J282">
            <v>1336.3</v>
          </cell>
          <cell r="K282">
            <v>1291.19</v>
          </cell>
          <cell r="L282">
            <v>1252.44</v>
          </cell>
          <cell r="M282">
            <v>1871.82</v>
          </cell>
          <cell r="N282">
            <v>1105.6099999999999</v>
          </cell>
          <cell r="O282">
            <v>1351.41</v>
          </cell>
          <cell r="P282">
            <v>1424.14</v>
          </cell>
          <cell r="Q282">
            <v>16548.05</v>
          </cell>
        </row>
        <row r="283">
          <cell r="A283">
            <v>52170</v>
          </cell>
          <cell r="B283" t="str">
            <v>Real Estate Rentals</v>
          </cell>
          <cell r="E283">
            <v>0</v>
          </cell>
          <cell r="F283">
            <v>0</v>
          </cell>
          <cell r="G283">
            <v>0</v>
          </cell>
          <cell r="H283">
            <v>0</v>
          </cell>
          <cell r="I283">
            <v>0</v>
          </cell>
          <cell r="J283">
            <v>0</v>
          </cell>
          <cell r="K283">
            <v>0</v>
          </cell>
          <cell r="L283">
            <v>0</v>
          </cell>
          <cell r="M283">
            <v>0</v>
          </cell>
          <cell r="N283">
            <v>0</v>
          </cell>
          <cell r="O283">
            <v>0</v>
          </cell>
          <cell r="P283">
            <v>0</v>
          </cell>
          <cell r="Q283">
            <v>0</v>
          </cell>
        </row>
        <row r="284">
          <cell r="A284">
            <v>52172</v>
          </cell>
          <cell r="B284" t="str">
            <v>Chassis Lease Expense</v>
          </cell>
          <cell r="E284">
            <v>0</v>
          </cell>
          <cell r="F284">
            <v>0</v>
          </cell>
          <cell r="G284">
            <v>0</v>
          </cell>
          <cell r="H284">
            <v>0</v>
          </cell>
          <cell r="I284">
            <v>0</v>
          </cell>
          <cell r="J284">
            <v>0</v>
          </cell>
          <cell r="K284">
            <v>0</v>
          </cell>
          <cell r="L284">
            <v>0</v>
          </cell>
          <cell r="M284">
            <v>0</v>
          </cell>
          <cell r="N284">
            <v>0</v>
          </cell>
          <cell r="O284">
            <v>0</v>
          </cell>
          <cell r="P284">
            <v>0</v>
          </cell>
          <cell r="Q284">
            <v>0</v>
          </cell>
        </row>
        <row r="285">
          <cell r="A285">
            <v>52175</v>
          </cell>
          <cell r="B285" t="str">
            <v>Equip/Vehicle Rental</v>
          </cell>
          <cell r="E285">
            <v>230.74</v>
          </cell>
          <cell r="F285">
            <v>0</v>
          </cell>
          <cell r="G285">
            <v>0</v>
          </cell>
          <cell r="H285">
            <v>0</v>
          </cell>
          <cell r="I285">
            <v>0</v>
          </cell>
          <cell r="J285">
            <v>0</v>
          </cell>
          <cell r="K285">
            <v>0</v>
          </cell>
          <cell r="L285">
            <v>0</v>
          </cell>
          <cell r="M285">
            <v>0</v>
          </cell>
          <cell r="N285">
            <v>0</v>
          </cell>
          <cell r="O285">
            <v>0</v>
          </cell>
          <cell r="P285">
            <v>0</v>
          </cell>
          <cell r="Q285">
            <v>230.74</v>
          </cell>
        </row>
        <row r="286">
          <cell r="A286">
            <v>52181</v>
          </cell>
          <cell r="B286" t="str">
            <v>Freight</v>
          </cell>
          <cell r="E286">
            <v>0</v>
          </cell>
          <cell r="F286">
            <v>0</v>
          </cell>
          <cell r="G286">
            <v>0</v>
          </cell>
          <cell r="H286">
            <v>16.23</v>
          </cell>
          <cell r="I286">
            <v>369.59000000000003</v>
          </cell>
          <cell r="J286">
            <v>0</v>
          </cell>
          <cell r="K286">
            <v>0</v>
          </cell>
          <cell r="L286">
            <v>95.38</v>
          </cell>
          <cell r="M286">
            <v>0</v>
          </cell>
          <cell r="N286">
            <v>0</v>
          </cell>
          <cell r="O286">
            <v>0</v>
          </cell>
          <cell r="P286">
            <v>103.97</v>
          </cell>
          <cell r="Q286">
            <v>585.17000000000007</v>
          </cell>
        </row>
        <row r="287">
          <cell r="A287">
            <v>52182</v>
          </cell>
          <cell r="B287" t="str">
            <v>Towing Expense</v>
          </cell>
          <cell r="E287">
            <v>455.28</v>
          </cell>
          <cell r="F287">
            <v>428.18</v>
          </cell>
          <cell r="G287">
            <v>195.12</v>
          </cell>
          <cell r="H287">
            <v>627.72</v>
          </cell>
          <cell r="I287">
            <v>1626</v>
          </cell>
          <cell r="J287">
            <v>0</v>
          </cell>
          <cell r="K287">
            <v>569.1</v>
          </cell>
          <cell r="L287">
            <v>0</v>
          </cell>
          <cell r="M287">
            <v>238.48</v>
          </cell>
          <cell r="N287">
            <v>0</v>
          </cell>
          <cell r="O287">
            <v>661.24</v>
          </cell>
          <cell r="P287">
            <v>514.9</v>
          </cell>
          <cell r="Q287">
            <v>5316.0199999999995</v>
          </cell>
        </row>
        <row r="288">
          <cell r="A288">
            <v>52185</v>
          </cell>
          <cell r="B288" t="str">
            <v>Travel</v>
          </cell>
          <cell r="E288">
            <v>0</v>
          </cell>
          <cell r="F288">
            <v>0</v>
          </cell>
          <cell r="G288">
            <v>0</v>
          </cell>
          <cell r="H288">
            <v>0</v>
          </cell>
          <cell r="I288">
            <v>0</v>
          </cell>
          <cell r="J288">
            <v>0</v>
          </cell>
          <cell r="K288">
            <v>0</v>
          </cell>
          <cell r="L288">
            <v>0</v>
          </cell>
          <cell r="M288">
            <v>0</v>
          </cell>
          <cell r="N288">
            <v>0</v>
          </cell>
          <cell r="O288">
            <v>0</v>
          </cell>
          <cell r="P288">
            <v>0</v>
          </cell>
          <cell r="Q288">
            <v>0</v>
          </cell>
        </row>
        <row r="289">
          <cell r="A289">
            <v>52200</v>
          </cell>
          <cell r="B289" t="str">
            <v>Office Supply and Equip</v>
          </cell>
          <cell r="E289">
            <v>302.27999999999997</v>
          </cell>
          <cell r="F289">
            <v>504.92</v>
          </cell>
          <cell r="G289">
            <v>245.31</v>
          </cell>
          <cell r="H289">
            <v>1615.6</v>
          </cell>
          <cell r="I289">
            <v>152.86000000000001</v>
          </cell>
          <cell r="J289">
            <v>155.44</v>
          </cell>
          <cell r="K289">
            <v>66.27</v>
          </cell>
          <cell r="L289">
            <v>678.01</v>
          </cell>
          <cell r="M289">
            <v>154.47999999999999</v>
          </cell>
          <cell r="N289">
            <v>1193.94</v>
          </cell>
          <cell r="O289">
            <v>147.13</v>
          </cell>
          <cell r="P289">
            <v>809.46</v>
          </cell>
          <cell r="Q289">
            <v>6025.7</v>
          </cell>
        </row>
        <row r="290">
          <cell r="A290">
            <v>52275</v>
          </cell>
          <cell r="B290" t="str">
            <v>Property Taxes</v>
          </cell>
          <cell r="E290">
            <v>0</v>
          </cell>
          <cell r="F290">
            <v>0</v>
          </cell>
          <cell r="G290">
            <v>0</v>
          </cell>
          <cell r="H290">
            <v>0</v>
          </cell>
          <cell r="I290">
            <v>0</v>
          </cell>
          <cell r="J290">
            <v>0</v>
          </cell>
          <cell r="K290">
            <v>0</v>
          </cell>
          <cell r="L290">
            <v>0</v>
          </cell>
          <cell r="M290">
            <v>0</v>
          </cell>
          <cell r="N290">
            <v>0</v>
          </cell>
          <cell r="O290">
            <v>0</v>
          </cell>
          <cell r="P290">
            <v>0</v>
          </cell>
          <cell r="Q290">
            <v>0</v>
          </cell>
        </row>
        <row r="291">
          <cell r="A291">
            <v>52335</v>
          </cell>
          <cell r="B291" t="str">
            <v>Miscellaneous</v>
          </cell>
          <cell r="E291">
            <v>27</v>
          </cell>
          <cell r="F291">
            <v>0</v>
          </cell>
          <cell r="G291">
            <v>13.5</v>
          </cell>
          <cell r="H291">
            <v>0</v>
          </cell>
          <cell r="I291">
            <v>0</v>
          </cell>
          <cell r="J291">
            <v>0</v>
          </cell>
          <cell r="K291">
            <v>0</v>
          </cell>
          <cell r="L291">
            <v>0</v>
          </cell>
          <cell r="M291">
            <v>0</v>
          </cell>
          <cell r="N291">
            <v>0</v>
          </cell>
          <cell r="O291">
            <v>0</v>
          </cell>
          <cell r="P291">
            <v>0</v>
          </cell>
          <cell r="Q291">
            <v>40.5</v>
          </cell>
        </row>
        <row r="292">
          <cell r="A292">
            <v>52900</v>
          </cell>
          <cell r="B292" t="str">
            <v>Capitalized Costs</v>
          </cell>
          <cell r="E292">
            <v>0</v>
          </cell>
          <cell r="F292">
            <v>0</v>
          </cell>
          <cell r="G292">
            <v>0</v>
          </cell>
          <cell r="H292">
            <v>0</v>
          </cell>
          <cell r="I292">
            <v>0</v>
          </cell>
          <cell r="J292">
            <v>0</v>
          </cell>
          <cell r="K292">
            <v>0</v>
          </cell>
          <cell r="L292">
            <v>0</v>
          </cell>
          <cell r="M292">
            <v>0</v>
          </cell>
          <cell r="N292">
            <v>0</v>
          </cell>
          <cell r="O292">
            <v>0</v>
          </cell>
          <cell r="P292">
            <v>0</v>
          </cell>
          <cell r="Q292">
            <v>0</v>
          </cell>
        </row>
        <row r="293">
          <cell r="A293">
            <v>52901</v>
          </cell>
          <cell r="B293" t="str">
            <v>Costs Awaiting Capitilization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A294">
            <v>52998</v>
          </cell>
          <cell r="B294" t="str">
            <v>Allocation Out - District</v>
          </cell>
          <cell r="E294">
            <v>0</v>
          </cell>
          <cell r="F294">
            <v>0</v>
          </cell>
          <cell r="G294">
            <v>0</v>
          </cell>
          <cell r="H294">
            <v>0</v>
          </cell>
          <cell r="I294">
            <v>0</v>
          </cell>
          <cell r="J294">
            <v>0</v>
          </cell>
          <cell r="K294">
            <v>0</v>
          </cell>
          <cell r="L294">
            <v>0</v>
          </cell>
          <cell r="M294">
            <v>0</v>
          </cell>
          <cell r="N294">
            <v>0</v>
          </cell>
          <cell r="O294">
            <v>0</v>
          </cell>
          <cell r="P294">
            <v>0</v>
          </cell>
          <cell r="Q294">
            <v>0</v>
          </cell>
        </row>
        <row r="295">
          <cell r="A295">
            <v>52999</v>
          </cell>
          <cell r="B295" t="str">
            <v>Allocation Out - Out District</v>
          </cell>
          <cell r="E295">
            <v>-8839.42</v>
          </cell>
          <cell r="F295">
            <v>-11223.85</v>
          </cell>
          <cell r="G295">
            <v>-12345.57</v>
          </cell>
          <cell r="H295">
            <v>-17818.71</v>
          </cell>
          <cell r="I295">
            <v>-8260.7000000000007</v>
          </cell>
          <cell r="J295">
            <v>-18104.939999999999</v>
          </cell>
          <cell r="K295">
            <v>-8429.56</v>
          </cell>
          <cell r="L295">
            <v>-12829.3</v>
          </cell>
          <cell r="M295">
            <v>-6149.56</v>
          </cell>
          <cell r="N295">
            <v>-5808.26</v>
          </cell>
          <cell r="O295">
            <v>-5947.92</v>
          </cell>
          <cell r="P295">
            <v>-45343.87</v>
          </cell>
          <cell r="Q295">
            <v>-161101.66</v>
          </cell>
        </row>
        <row r="296">
          <cell r="A296" t="str">
            <v>Total Truck Variable</v>
          </cell>
          <cell r="E296">
            <v>228977.27999999997</v>
          </cell>
          <cell r="F296">
            <v>205622.06000000003</v>
          </cell>
          <cell r="G296">
            <v>219279.73999999996</v>
          </cell>
          <cell r="H296">
            <v>210675.40000000005</v>
          </cell>
          <cell r="I296">
            <v>225803.05999999997</v>
          </cell>
          <cell r="J296">
            <v>201182.51</v>
          </cell>
          <cell r="K296">
            <v>241614.46</v>
          </cell>
          <cell r="L296">
            <v>225220.32000000004</v>
          </cell>
          <cell r="M296">
            <v>262765.23</v>
          </cell>
          <cell r="N296">
            <v>211264.55</v>
          </cell>
          <cell r="O296">
            <v>238591.60999999996</v>
          </cell>
          <cell r="P296">
            <v>240660.66999999993</v>
          </cell>
          <cell r="Q296">
            <v>2711656.8899999997</v>
          </cell>
        </row>
        <row r="298">
          <cell r="A298" t="str">
            <v>Container</v>
          </cell>
        </row>
        <row r="299">
          <cell r="A299">
            <v>54148</v>
          </cell>
          <cell r="B299" t="str">
            <v>Allocation In - District</v>
          </cell>
          <cell r="E299">
            <v>0</v>
          </cell>
          <cell r="F299">
            <v>0</v>
          </cell>
          <cell r="G299">
            <v>0</v>
          </cell>
          <cell r="H299">
            <v>0</v>
          </cell>
          <cell r="I299">
            <v>0</v>
          </cell>
          <cell r="J299">
            <v>0</v>
          </cell>
          <cell r="K299">
            <v>0</v>
          </cell>
          <cell r="L299">
            <v>0</v>
          </cell>
          <cell r="M299">
            <v>0</v>
          </cell>
          <cell r="N299">
            <v>0</v>
          </cell>
          <cell r="O299">
            <v>0</v>
          </cell>
          <cell r="P299">
            <v>0</v>
          </cell>
          <cell r="Q299">
            <v>0</v>
          </cell>
        </row>
        <row r="300">
          <cell r="A300">
            <v>54149</v>
          </cell>
          <cell r="B300" t="str">
            <v>Allocation In - Out District</v>
          </cell>
          <cell r="E300">
            <v>0</v>
          </cell>
          <cell r="F300">
            <v>0</v>
          </cell>
          <cell r="G300">
            <v>0</v>
          </cell>
          <cell r="H300">
            <v>0</v>
          </cell>
          <cell r="I300">
            <v>0</v>
          </cell>
          <cell r="J300">
            <v>0</v>
          </cell>
          <cell r="K300">
            <v>0</v>
          </cell>
          <cell r="L300">
            <v>0</v>
          </cell>
          <cell r="M300">
            <v>0</v>
          </cell>
          <cell r="N300">
            <v>0</v>
          </cell>
          <cell r="O300">
            <v>0</v>
          </cell>
          <cell r="P300">
            <v>0</v>
          </cell>
          <cell r="Q300">
            <v>0</v>
          </cell>
        </row>
        <row r="301">
          <cell r="A301">
            <v>54175</v>
          </cell>
          <cell r="B301" t="str">
            <v>Equipment/Vehicle Rental</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v>54275</v>
          </cell>
          <cell r="B302" t="str">
            <v>Property Taxes</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v>54335</v>
          </cell>
          <cell r="B303" t="str">
            <v>Miscellaneous</v>
          </cell>
          <cell r="E303">
            <v>0</v>
          </cell>
          <cell r="F303">
            <v>0</v>
          </cell>
          <cell r="G303">
            <v>0</v>
          </cell>
          <cell r="H303">
            <v>0</v>
          </cell>
          <cell r="I303">
            <v>0</v>
          </cell>
          <cell r="J303">
            <v>0</v>
          </cell>
          <cell r="K303">
            <v>0</v>
          </cell>
          <cell r="L303">
            <v>0</v>
          </cell>
          <cell r="M303">
            <v>0</v>
          </cell>
          <cell r="N303">
            <v>0</v>
          </cell>
          <cell r="O303">
            <v>0</v>
          </cell>
          <cell r="P303">
            <v>0</v>
          </cell>
          <cell r="Q303">
            <v>0</v>
          </cell>
        </row>
        <row r="304">
          <cell r="A304">
            <v>54998</v>
          </cell>
          <cell r="B304" t="str">
            <v>Allocation Out - District</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A305">
            <v>54999</v>
          </cell>
          <cell r="B305" t="str">
            <v>Allocation Out - Out District</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v>55010</v>
          </cell>
          <cell r="B306" t="str">
            <v>Salaries</v>
          </cell>
          <cell r="E306">
            <v>0</v>
          </cell>
          <cell r="F306">
            <v>0</v>
          </cell>
          <cell r="G306">
            <v>0</v>
          </cell>
          <cell r="H306">
            <v>0</v>
          </cell>
          <cell r="I306">
            <v>0</v>
          </cell>
          <cell r="J306">
            <v>0</v>
          </cell>
          <cell r="K306">
            <v>0</v>
          </cell>
          <cell r="L306">
            <v>0</v>
          </cell>
          <cell r="M306">
            <v>0</v>
          </cell>
          <cell r="N306">
            <v>0</v>
          </cell>
          <cell r="O306">
            <v>0</v>
          </cell>
          <cell r="P306">
            <v>0</v>
          </cell>
          <cell r="Q306">
            <v>0</v>
          </cell>
        </row>
        <row r="307">
          <cell r="A307">
            <v>55020</v>
          </cell>
          <cell r="B307" t="str">
            <v>Wages Regular</v>
          </cell>
          <cell r="E307">
            <v>4237.87</v>
          </cell>
          <cell r="F307">
            <v>3645.1</v>
          </cell>
          <cell r="G307">
            <v>5053.71</v>
          </cell>
          <cell r="H307">
            <v>3782.98</v>
          </cell>
          <cell r="I307">
            <v>4116.55</v>
          </cell>
          <cell r="J307">
            <v>4866.5600000000004</v>
          </cell>
          <cell r="K307">
            <v>3450.41</v>
          </cell>
          <cell r="L307">
            <v>-895.79</v>
          </cell>
          <cell r="M307">
            <v>2790.36</v>
          </cell>
          <cell r="N307">
            <v>2211.17</v>
          </cell>
          <cell r="O307">
            <v>1382.48</v>
          </cell>
          <cell r="P307">
            <v>2606.41</v>
          </cell>
          <cell r="Q307">
            <v>37247.81</v>
          </cell>
        </row>
        <row r="308">
          <cell r="A308">
            <v>55025</v>
          </cell>
          <cell r="B308" t="str">
            <v>Wages O.T.</v>
          </cell>
          <cell r="E308">
            <v>207.52</v>
          </cell>
          <cell r="F308">
            <v>12.82</v>
          </cell>
          <cell r="G308">
            <v>38.619999999999997</v>
          </cell>
          <cell r="H308">
            <v>37.99</v>
          </cell>
          <cell r="I308">
            <v>485</v>
          </cell>
          <cell r="J308">
            <v>319.70999999999998</v>
          </cell>
          <cell r="K308">
            <v>215.61</v>
          </cell>
          <cell r="L308">
            <v>-99.64</v>
          </cell>
          <cell r="M308">
            <v>16.27</v>
          </cell>
          <cell r="N308">
            <v>59.9</v>
          </cell>
          <cell r="O308">
            <v>192.29</v>
          </cell>
          <cell r="P308">
            <v>-41.94</v>
          </cell>
          <cell r="Q308">
            <v>1444.1499999999999</v>
          </cell>
        </row>
        <row r="309">
          <cell r="A309">
            <v>55035</v>
          </cell>
          <cell r="B309" t="str">
            <v>Safety Bonuses</v>
          </cell>
          <cell r="E309">
            <v>0</v>
          </cell>
          <cell r="F309">
            <v>0</v>
          </cell>
          <cell r="G309">
            <v>0</v>
          </cell>
          <cell r="H309">
            <v>0</v>
          </cell>
          <cell r="I309">
            <v>0</v>
          </cell>
          <cell r="J309">
            <v>0</v>
          </cell>
          <cell r="K309">
            <v>0</v>
          </cell>
          <cell r="L309">
            <v>0</v>
          </cell>
          <cell r="M309">
            <v>0</v>
          </cell>
          <cell r="N309">
            <v>0</v>
          </cell>
          <cell r="O309">
            <v>0</v>
          </cell>
          <cell r="P309">
            <v>0</v>
          </cell>
          <cell r="Q309">
            <v>0</v>
          </cell>
        </row>
        <row r="310">
          <cell r="A310">
            <v>55036</v>
          </cell>
          <cell r="B310" t="str">
            <v>Other Bonus/Commission - Non-Safety</v>
          </cell>
          <cell r="E310">
            <v>0</v>
          </cell>
          <cell r="F310">
            <v>0</v>
          </cell>
          <cell r="G310">
            <v>0</v>
          </cell>
          <cell r="H310">
            <v>0</v>
          </cell>
          <cell r="I310">
            <v>0</v>
          </cell>
          <cell r="J310">
            <v>0</v>
          </cell>
          <cell r="K310">
            <v>0</v>
          </cell>
          <cell r="L310">
            <v>0</v>
          </cell>
          <cell r="M310">
            <v>0</v>
          </cell>
          <cell r="N310">
            <v>0</v>
          </cell>
          <cell r="O310">
            <v>0</v>
          </cell>
          <cell r="P310">
            <v>0</v>
          </cell>
          <cell r="Q310">
            <v>0</v>
          </cell>
        </row>
        <row r="311">
          <cell r="A311">
            <v>55045</v>
          </cell>
          <cell r="B311" t="str">
            <v>Contract Labor</v>
          </cell>
          <cell r="E311">
            <v>0</v>
          </cell>
          <cell r="F311">
            <v>0</v>
          </cell>
          <cell r="G311">
            <v>0</v>
          </cell>
          <cell r="H311">
            <v>0</v>
          </cell>
          <cell r="I311">
            <v>0</v>
          </cell>
          <cell r="J311">
            <v>0</v>
          </cell>
          <cell r="K311">
            <v>0</v>
          </cell>
          <cell r="L311">
            <v>0</v>
          </cell>
          <cell r="M311">
            <v>0</v>
          </cell>
          <cell r="N311">
            <v>0</v>
          </cell>
          <cell r="O311">
            <v>0</v>
          </cell>
          <cell r="P311">
            <v>0</v>
          </cell>
          <cell r="Q311">
            <v>0</v>
          </cell>
        </row>
        <row r="312">
          <cell r="A312">
            <v>55050</v>
          </cell>
          <cell r="B312" t="str">
            <v>Payroll Taxes</v>
          </cell>
          <cell r="E312">
            <v>526.11</v>
          </cell>
          <cell r="F312">
            <v>376.89</v>
          </cell>
          <cell r="G312">
            <v>487.16</v>
          </cell>
          <cell r="H312">
            <v>433.36</v>
          </cell>
          <cell r="I312">
            <v>441.95</v>
          </cell>
          <cell r="J312">
            <v>479.57</v>
          </cell>
          <cell r="K312">
            <v>386.21</v>
          </cell>
          <cell r="L312">
            <v>296.14999999999998</v>
          </cell>
          <cell r="M312">
            <v>200.44</v>
          </cell>
          <cell r="N312">
            <v>209.02</v>
          </cell>
          <cell r="O312">
            <v>287.25</v>
          </cell>
          <cell r="P312">
            <v>160.52000000000001</v>
          </cell>
          <cell r="Q312">
            <v>4284.630000000001</v>
          </cell>
        </row>
        <row r="313">
          <cell r="A313">
            <v>55060</v>
          </cell>
          <cell r="B313" t="str">
            <v>Group Insurance</v>
          </cell>
          <cell r="E313">
            <v>592</v>
          </cell>
          <cell r="F313">
            <v>592</v>
          </cell>
          <cell r="G313">
            <v>488</v>
          </cell>
          <cell r="H313">
            <v>696</v>
          </cell>
          <cell r="I313">
            <v>592</v>
          </cell>
          <cell r="J313">
            <v>592</v>
          </cell>
          <cell r="K313">
            <v>592</v>
          </cell>
          <cell r="L313">
            <v>592</v>
          </cell>
          <cell r="M313">
            <v>589</v>
          </cell>
          <cell r="N313">
            <v>693</v>
          </cell>
          <cell r="O313">
            <v>641</v>
          </cell>
          <cell r="P313">
            <v>641</v>
          </cell>
          <cell r="Q313">
            <v>7300</v>
          </cell>
        </row>
        <row r="314">
          <cell r="A314">
            <v>55065</v>
          </cell>
          <cell r="B314" t="str">
            <v>Vacation Pay</v>
          </cell>
          <cell r="E314">
            <v>1530.51</v>
          </cell>
          <cell r="F314">
            <v>299.68</v>
          </cell>
          <cell r="G314">
            <v>-333.52</v>
          </cell>
          <cell r="H314">
            <v>791.16</v>
          </cell>
          <cell r="I314">
            <v>342.62</v>
          </cell>
          <cell r="J314">
            <v>95.96</v>
          </cell>
          <cell r="K314">
            <v>412.42</v>
          </cell>
          <cell r="L314">
            <v>663.21</v>
          </cell>
          <cell r="M314">
            <v>-476.38</v>
          </cell>
          <cell r="N314">
            <v>100.96</v>
          </cell>
          <cell r="O314">
            <v>-21.16</v>
          </cell>
          <cell r="P314">
            <v>202.89</v>
          </cell>
          <cell r="Q314">
            <v>3608.35</v>
          </cell>
        </row>
        <row r="315">
          <cell r="A315">
            <v>55070</v>
          </cell>
          <cell r="B315" t="str">
            <v>Sick Pay</v>
          </cell>
          <cell r="E315">
            <v>0</v>
          </cell>
          <cell r="F315">
            <v>106.8</v>
          </cell>
          <cell r="G315">
            <v>0</v>
          </cell>
          <cell r="H315">
            <v>207</v>
          </cell>
          <cell r="I315">
            <v>107.64</v>
          </cell>
          <cell r="J315">
            <v>-66.239999999999995</v>
          </cell>
          <cell r="K315">
            <v>386.4</v>
          </cell>
          <cell r="L315">
            <v>0</v>
          </cell>
          <cell r="M315">
            <v>0</v>
          </cell>
          <cell r="N315">
            <v>0</v>
          </cell>
          <cell r="O315">
            <v>1048.8</v>
          </cell>
          <cell r="P315">
            <v>-386.4</v>
          </cell>
          <cell r="Q315">
            <v>1404</v>
          </cell>
        </row>
        <row r="316">
          <cell r="A316">
            <v>55086</v>
          </cell>
          <cell r="B316" t="str">
            <v>Safety and Training</v>
          </cell>
          <cell r="E316">
            <v>0</v>
          </cell>
          <cell r="F316">
            <v>0</v>
          </cell>
          <cell r="G316">
            <v>0</v>
          </cell>
          <cell r="H316">
            <v>102.92</v>
          </cell>
          <cell r="I316">
            <v>87.01</v>
          </cell>
          <cell r="J316">
            <v>0</v>
          </cell>
          <cell r="K316">
            <v>0</v>
          </cell>
          <cell r="L316">
            <v>0</v>
          </cell>
          <cell r="M316">
            <v>0</v>
          </cell>
          <cell r="N316">
            <v>25</v>
          </cell>
          <cell r="O316">
            <v>0</v>
          </cell>
          <cell r="P316">
            <v>0</v>
          </cell>
          <cell r="Q316">
            <v>214.93</v>
          </cell>
        </row>
        <row r="317">
          <cell r="A317">
            <v>55090</v>
          </cell>
          <cell r="B317" t="str">
            <v>Uniforms</v>
          </cell>
          <cell r="E317">
            <v>150.38</v>
          </cell>
          <cell r="F317">
            <v>176.83</v>
          </cell>
          <cell r="G317">
            <v>194.81</v>
          </cell>
          <cell r="H317">
            <v>160.08000000000001</v>
          </cell>
          <cell r="I317">
            <v>148.47</v>
          </cell>
          <cell r="J317">
            <v>225.16</v>
          </cell>
          <cell r="K317">
            <v>214.31</v>
          </cell>
          <cell r="L317">
            <v>616.44000000000005</v>
          </cell>
          <cell r="M317">
            <v>125.04</v>
          </cell>
          <cell r="N317">
            <v>178.98</v>
          </cell>
          <cell r="O317">
            <v>138.13999999999999</v>
          </cell>
          <cell r="P317">
            <v>154.04</v>
          </cell>
          <cell r="Q317">
            <v>2482.6799999999998</v>
          </cell>
        </row>
        <row r="318">
          <cell r="A318">
            <v>55115</v>
          </cell>
          <cell r="B318" t="str">
            <v>Pension and Profit Sharing</v>
          </cell>
          <cell r="E318">
            <v>0</v>
          </cell>
          <cell r="F318">
            <v>0</v>
          </cell>
          <cell r="G318">
            <v>0</v>
          </cell>
          <cell r="H318">
            <v>0</v>
          </cell>
          <cell r="I318">
            <v>0</v>
          </cell>
          <cell r="J318">
            <v>0</v>
          </cell>
          <cell r="K318">
            <v>0</v>
          </cell>
          <cell r="L318">
            <v>0</v>
          </cell>
          <cell r="M318">
            <v>0</v>
          </cell>
          <cell r="N318">
            <v>0</v>
          </cell>
          <cell r="O318">
            <v>0</v>
          </cell>
          <cell r="P318">
            <v>0</v>
          </cell>
          <cell r="Q318">
            <v>0</v>
          </cell>
        </row>
        <row r="319">
          <cell r="A319">
            <v>55116</v>
          </cell>
          <cell r="B319" t="str">
            <v>Union Benefit Expense</v>
          </cell>
          <cell r="E319">
            <v>0</v>
          </cell>
          <cell r="F319">
            <v>0</v>
          </cell>
          <cell r="G319">
            <v>0</v>
          </cell>
          <cell r="H319">
            <v>0</v>
          </cell>
          <cell r="I319">
            <v>0</v>
          </cell>
          <cell r="J319">
            <v>0</v>
          </cell>
          <cell r="K319">
            <v>0</v>
          </cell>
          <cell r="L319">
            <v>0</v>
          </cell>
          <cell r="M319">
            <v>0</v>
          </cell>
          <cell r="N319">
            <v>0</v>
          </cell>
          <cell r="O319">
            <v>0</v>
          </cell>
          <cell r="P319">
            <v>0</v>
          </cell>
          <cell r="Q319">
            <v>0</v>
          </cell>
        </row>
        <row r="320">
          <cell r="A320">
            <v>55117</v>
          </cell>
          <cell r="B320" t="str">
            <v>Union Pension</v>
          </cell>
          <cell r="E320">
            <v>0</v>
          </cell>
          <cell r="F320">
            <v>0</v>
          </cell>
          <cell r="G320">
            <v>0</v>
          </cell>
          <cell r="H320">
            <v>0</v>
          </cell>
          <cell r="I320">
            <v>0</v>
          </cell>
          <cell r="J320">
            <v>0</v>
          </cell>
          <cell r="K320">
            <v>0</v>
          </cell>
          <cell r="L320">
            <v>0</v>
          </cell>
          <cell r="M320">
            <v>0</v>
          </cell>
          <cell r="N320">
            <v>0</v>
          </cell>
          <cell r="O320">
            <v>0</v>
          </cell>
          <cell r="P320">
            <v>0</v>
          </cell>
          <cell r="Q320">
            <v>0</v>
          </cell>
        </row>
        <row r="321">
          <cell r="A321">
            <v>55120</v>
          </cell>
          <cell r="B321" t="str">
            <v>Parts and Materials</v>
          </cell>
          <cell r="E321">
            <v>8487.7999999999993</v>
          </cell>
          <cell r="F321">
            <v>7446.84</v>
          </cell>
          <cell r="G321">
            <v>15850.27</v>
          </cell>
          <cell r="H321">
            <v>18201.75</v>
          </cell>
          <cell r="I321">
            <v>9184.14</v>
          </cell>
          <cell r="J321">
            <v>13165.81</v>
          </cell>
          <cell r="K321">
            <v>11588.02</v>
          </cell>
          <cell r="L321">
            <v>15366.43</v>
          </cell>
          <cell r="M321">
            <v>-29929.23</v>
          </cell>
          <cell r="N321">
            <v>8572.4699999999993</v>
          </cell>
          <cell r="O321">
            <v>2939.21</v>
          </cell>
          <cell r="P321">
            <v>7744.74</v>
          </cell>
          <cell r="Q321">
            <v>88618.250000000015</v>
          </cell>
        </row>
        <row r="322">
          <cell r="A322">
            <v>55125</v>
          </cell>
          <cell r="B322" t="str">
            <v>Operating Supplies</v>
          </cell>
          <cell r="E322">
            <v>625.29999999999995</v>
          </cell>
          <cell r="F322">
            <v>287.99</v>
          </cell>
          <cell r="G322">
            <v>0</v>
          </cell>
          <cell r="H322">
            <v>809.74</v>
          </cell>
          <cell r="I322">
            <v>404.7</v>
          </cell>
          <cell r="J322">
            <v>0</v>
          </cell>
          <cell r="K322">
            <v>0</v>
          </cell>
          <cell r="L322">
            <v>0</v>
          </cell>
          <cell r="M322">
            <v>0</v>
          </cell>
          <cell r="N322">
            <v>0</v>
          </cell>
          <cell r="O322">
            <v>64.819999999999993</v>
          </cell>
          <cell r="P322">
            <v>0</v>
          </cell>
          <cell r="Q322">
            <v>2192.5500000000002</v>
          </cell>
        </row>
        <row r="323">
          <cell r="A323">
            <v>55135</v>
          </cell>
          <cell r="B323" t="str">
            <v>Equipment and Maint Repair</v>
          </cell>
          <cell r="E323">
            <v>0</v>
          </cell>
          <cell r="F323">
            <v>321.35000000000002</v>
          </cell>
          <cell r="G323">
            <v>309.18</v>
          </cell>
          <cell r="H323">
            <v>826.48</v>
          </cell>
          <cell r="I323">
            <v>87.89</v>
          </cell>
          <cell r="J323">
            <v>0</v>
          </cell>
          <cell r="K323">
            <v>0</v>
          </cell>
          <cell r="L323">
            <v>0</v>
          </cell>
          <cell r="M323">
            <v>531.54999999999995</v>
          </cell>
          <cell r="N323">
            <v>172.24</v>
          </cell>
          <cell r="O323">
            <v>0</v>
          </cell>
          <cell r="P323">
            <v>250.34</v>
          </cell>
          <cell r="Q323">
            <v>2499.0299999999997</v>
          </cell>
        </row>
        <row r="324">
          <cell r="A324">
            <v>55140</v>
          </cell>
          <cell r="B324" t="str">
            <v>Tires</v>
          </cell>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A325">
            <v>55142</v>
          </cell>
          <cell r="B325" t="str">
            <v>Fuel Expense</v>
          </cell>
          <cell r="E325">
            <v>0</v>
          </cell>
          <cell r="F325">
            <v>0</v>
          </cell>
          <cell r="G325">
            <v>0</v>
          </cell>
          <cell r="H325">
            <v>0</v>
          </cell>
          <cell r="I325">
            <v>0</v>
          </cell>
          <cell r="J325">
            <v>0</v>
          </cell>
          <cell r="K325">
            <v>0</v>
          </cell>
          <cell r="L325">
            <v>0</v>
          </cell>
          <cell r="M325">
            <v>0</v>
          </cell>
          <cell r="N325">
            <v>0</v>
          </cell>
          <cell r="O325">
            <v>0</v>
          </cell>
          <cell r="P325">
            <v>0</v>
          </cell>
          <cell r="Q325">
            <v>0</v>
          </cell>
        </row>
        <row r="326">
          <cell r="A326">
            <v>55143</v>
          </cell>
          <cell r="B326" t="str">
            <v>Corporate Medical Waste Supplies</v>
          </cell>
          <cell r="E326">
            <v>0</v>
          </cell>
          <cell r="F326">
            <v>0</v>
          </cell>
          <cell r="G326">
            <v>0</v>
          </cell>
          <cell r="H326">
            <v>0</v>
          </cell>
          <cell r="I326">
            <v>0</v>
          </cell>
          <cell r="J326">
            <v>0</v>
          </cell>
          <cell r="K326">
            <v>0</v>
          </cell>
          <cell r="L326">
            <v>0</v>
          </cell>
          <cell r="M326">
            <v>0</v>
          </cell>
          <cell r="N326">
            <v>0</v>
          </cell>
          <cell r="O326">
            <v>0</v>
          </cell>
          <cell r="P326">
            <v>0</v>
          </cell>
          <cell r="Q326">
            <v>0</v>
          </cell>
        </row>
        <row r="327">
          <cell r="A327">
            <v>55146</v>
          </cell>
          <cell r="B327" t="str">
            <v>Oil and Grease</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A328">
            <v>55147</v>
          </cell>
          <cell r="B328" t="str">
            <v>Outside Repairs</v>
          </cell>
          <cell r="E328">
            <v>0</v>
          </cell>
          <cell r="F328">
            <v>292.57</v>
          </cell>
          <cell r="G328">
            <v>0</v>
          </cell>
          <cell r="H328">
            <v>0</v>
          </cell>
          <cell r="I328">
            <v>0</v>
          </cell>
          <cell r="J328">
            <v>0</v>
          </cell>
          <cell r="K328">
            <v>0</v>
          </cell>
          <cell r="L328">
            <v>0</v>
          </cell>
          <cell r="M328">
            <v>0</v>
          </cell>
          <cell r="N328">
            <v>0</v>
          </cell>
          <cell r="O328">
            <v>0</v>
          </cell>
          <cell r="P328">
            <v>0</v>
          </cell>
          <cell r="Q328">
            <v>292.57</v>
          </cell>
        </row>
        <row r="329">
          <cell r="A329">
            <v>55148</v>
          </cell>
          <cell r="B329" t="str">
            <v>Allocated Exp In - District</v>
          </cell>
          <cell r="E329">
            <v>0</v>
          </cell>
          <cell r="F329">
            <v>116.52</v>
          </cell>
          <cell r="G329">
            <v>0</v>
          </cell>
          <cell r="H329">
            <v>0</v>
          </cell>
          <cell r="I329">
            <v>0</v>
          </cell>
          <cell r="J329">
            <v>0</v>
          </cell>
          <cell r="K329">
            <v>0</v>
          </cell>
          <cell r="L329">
            <v>0</v>
          </cell>
          <cell r="M329">
            <v>0</v>
          </cell>
          <cell r="N329">
            <v>0</v>
          </cell>
          <cell r="O329">
            <v>0</v>
          </cell>
          <cell r="P329">
            <v>0</v>
          </cell>
          <cell r="Q329">
            <v>116.52</v>
          </cell>
        </row>
        <row r="330">
          <cell r="A330">
            <v>55149</v>
          </cell>
          <cell r="B330" t="str">
            <v>Allocated Exp In Out - District</v>
          </cell>
          <cell r="E330">
            <v>0</v>
          </cell>
          <cell r="F330">
            <v>0</v>
          </cell>
          <cell r="G330">
            <v>0</v>
          </cell>
          <cell r="H330">
            <v>0</v>
          </cell>
          <cell r="I330">
            <v>0</v>
          </cell>
          <cell r="J330">
            <v>0</v>
          </cell>
          <cell r="K330">
            <v>0</v>
          </cell>
          <cell r="L330">
            <v>0</v>
          </cell>
          <cell r="M330">
            <v>0</v>
          </cell>
          <cell r="N330">
            <v>0</v>
          </cell>
          <cell r="O330">
            <v>0</v>
          </cell>
          <cell r="P330">
            <v>0</v>
          </cell>
          <cell r="Q330">
            <v>0</v>
          </cell>
        </row>
        <row r="331">
          <cell r="A331">
            <v>55150</v>
          </cell>
          <cell r="B331" t="str">
            <v>Utilities</v>
          </cell>
          <cell r="E331">
            <v>437.73</v>
          </cell>
          <cell r="F331">
            <v>510</v>
          </cell>
          <cell r="G331">
            <v>480.44</v>
          </cell>
          <cell r="H331">
            <v>460.73</v>
          </cell>
          <cell r="I331">
            <v>398.31</v>
          </cell>
          <cell r="J331">
            <v>372.03</v>
          </cell>
          <cell r="K331">
            <v>329.33</v>
          </cell>
          <cell r="L331">
            <v>0</v>
          </cell>
          <cell r="M331">
            <v>370.51</v>
          </cell>
          <cell r="N331">
            <v>344.08</v>
          </cell>
          <cell r="O331">
            <v>368.05</v>
          </cell>
          <cell r="P331">
            <v>368.05</v>
          </cell>
          <cell r="Q331">
            <v>4439.26</v>
          </cell>
        </row>
        <row r="332">
          <cell r="A332">
            <v>55181</v>
          </cell>
          <cell r="B332" t="str">
            <v>Freight</v>
          </cell>
          <cell r="E332">
            <v>0</v>
          </cell>
          <cell r="F332">
            <v>0</v>
          </cell>
          <cell r="G332">
            <v>0</v>
          </cell>
          <cell r="H332">
            <v>0</v>
          </cell>
          <cell r="I332">
            <v>0</v>
          </cell>
          <cell r="J332">
            <v>0</v>
          </cell>
          <cell r="K332">
            <v>0</v>
          </cell>
          <cell r="L332">
            <v>0</v>
          </cell>
          <cell r="M332">
            <v>0</v>
          </cell>
          <cell r="N332">
            <v>0</v>
          </cell>
          <cell r="O332">
            <v>0</v>
          </cell>
          <cell r="P332">
            <v>0</v>
          </cell>
          <cell r="Q332">
            <v>0</v>
          </cell>
        </row>
        <row r="333">
          <cell r="A333">
            <v>55335</v>
          </cell>
          <cell r="B333" t="str">
            <v>Miscellaneous</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v>55900</v>
          </cell>
          <cell r="B334" t="str">
            <v>Capitalized Costs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v>55998</v>
          </cell>
          <cell r="B335" t="str">
            <v>Allocation Out - District</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v>55999</v>
          </cell>
          <cell r="B336" t="str">
            <v>Allocation Out - Out District</v>
          </cell>
          <cell r="E336">
            <v>-3211.72</v>
          </cell>
          <cell r="F336">
            <v>-1377.44</v>
          </cell>
          <cell r="G336">
            <v>-15514.36</v>
          </cell>
          <cell r="H336">
            <v>-20245.62</v>
          </cell>
          <cell r="I336">
            <v>-8044.68</v>
          </cell>
          <cell r="J336">
            <v>-1309.6400000000001</v>
          </cell>
          <cell r="K336">
            <v>-416.83</v>
          </cell>
          <cell r="L336">
            <v>-3864.87</v>
          </cell>
          <cell r="M336">
            <v>-3105</v>
          </cell>
          <cell r="N336">
            <v>-3070</v>
          </cell>
          <cell r="O336">
            <v>-7561.32</v>
          </cell>
          <cell r="P336">
            <v>-4472.33</v>
          </cell>
          <cell r="Q336">
            <v>-72193.810000000012</v>
          </cell>
        </row>
        <row r="337">
          <cell r="A337" t="str">
            <v>Total Container</v>
          </cell>
          <cell r="E337">
            <v>13583.499999999998</v>
          </cell>
          <cell r="F337">
            <v>12807.949999999999</v>
          </cell>
          <cell r="G337">
            <v>7054.3099999999977</v>
          </cell>
          <cell r="H337">
            <v>6264.57</v>
          </cell>
          <cell r="I337">
            <v>8351.6000000000022</v>
          </cell>
          <cell r="J337">
            <v>18740.919999999998</v>
          </cell>
          <cell r="K337">
            <v>17157.88</v>
          </cell>
          <cell r="L337">
            <v>12673.93</v>
          </cell>
          <cell r="M337">
            <v>-28887.440000000002</v>
          </cell>
          <cell r="N337">
            <v>9496.82</v>
          </cell>
          <cell r="O337">
            <v>-520.4399999999996</v>
          </cell>
          <cell r="P337">
            <v>7227.3199999999979</v>
          </cell>
          <cell r="Q337">
            <v>83950.92</v>
          </cell>
        </row>
        <row r="339">
          <cell r="A339" t="str">
            <v>Supervisor</v>
          </cell>
        </row>
        <row r="340">
          <cell r="A340">
            <v>56010</v>
          </cell>
          <cell r="B340" t="str">
            <v>Salaries</v>
          </cell>
          <cell r="E340">
            <v>8076.93</v>
          </cell>
          <cell r="F340">
            <v>7692.32</v>
          </cell>
          <cell r="G340">
            <v>8846.17</v>
          </cell>
          <cell r="H340">
            <v>8461.56</v>
          </cell>
          <cell r="I340">
            <v>8176.05</v>
          </cell>
          <cell r="J340">
            <v>8565.3799999999992</v>
          </cell>
          <cell r="K340">
            <v>8565.39</v>
          </cell>
          <cell r="L340">
            <v>8565.39</v>
          </cell>
          <cell r="M340">
            <v>8565.39</v>
          </cell>
          <cell r="N340">
            <v>8176.07</v>
          </cell>
          <cell r="O340">
            <v>8565.39</v>
          </cell>
          <cell r="P340">
            <v>8954.7199999999993</v>
          </cell>
          <cell r="Q340">
            <v>101210.76</v>
          </cell>
        </row>
        <row r="341">
          <cell r="A341">
            <v>56020</v>
          </cell>
          <cell r="B341" t="str">
            <v>Wages Regular</v>
          </cell>
          <cell r="E341">
            <v>2832.84</v>
          </cell>
          <cell r="F341">
            <v>5053.68</v>
          </cell>
          <cell r="G341">
            <v>4774.8999999999996</v>
          </cell>
          <cell r="H341">
            <v>4762.42</v>
          </cell>
          <cell r="I341">
            <v>2680.17</v>
          </cell>
          <cell r="J341">
            <v>3378.56</v>
          </cell>
          <cell r="K341">
            <v>5325.53</v>
          </cell>
          <cell r="L341">
            <v>3835.06</v>
          </cell>
          <cell r="M341">
            <v>4435.92</v>
          </cell>
          <cell r="N341">
            <v>4522.72</v>
          </cell>
          <cell r="O341">
            <v>4731.6499999999996</v>
          </cell>
          <cell r="P341">
            <v>4844.54</v>
          </cell>
          <cell r="Q341">
            <v>51177.990000000005</v>
          </cell>
        </row>
        <row r="342">
          <cell r="A342">
            <v>56025</v>
          </cell>
          <cell r="B342" t="str">
            <v>Wages O.T.</v>
          </cell>
          <cell r="E342">
            <v>274.88</v>
          </cell>
          <cell r="F342">
            <v>259.24</v>
          </cell>
          <cell r="G342">
            <v>649.44000000000005</v>
          </cell>
          <cell r="H342">
            <v>504.21</v>
          </cell>
          <cell r="I342">
            <v>341.07</v>
          </cell>
          <cell r="J342">
            <v>196.68</v>
          </cell>
          <cell r="K342">
            <v>716.35</v>
          </cell>
          <cell r="L342">
            <v>71.97</v>
          </cell>
          <cell r="M342">
            <v>716.15</v>
          </cell>
          <cell r="N342">
            <v>388.74</v>
          </cell>
          <cell r="O342">
            <v>560.69000000000005</v>
          </cell>
          <cell r="P342">
            <v>692.62</v>
          </cell>
          <cell r="Q342">
            <v>5372.04</v>
          </cell>
        </row>
        <row r="343">
          <cell r="A343">
            <v>56035</v>
          </cell>
          <cell r="B343" t="str">
            <v>Safety Bonuses</v>
          </cell>
          <cell r="E343">
            <v>0</v>
          </cell>
          <cell r="F343">
            <v>0</v>
          </cell>
          <cell r="G343">
            <v>0</v>
          </cell>
          <cell r="H343">
            <v>0</v>
          </cell>
          <cell r="I343">
            <v>0</v>
          </cell>
          <cell r="J343">
            <v>0</v>
          </cell>
          <cell r="K343">
            <v>0</v>
          </cell>
          <cell r="L343">
            <v>0</v>
          </cell>
          <cell r="M343">
            <v>0</v>
          </cell>
          <cell r="N343">
            <v>0</v>
          </cell>
          <cell r="O343">
            <v>0</v>
          </cell>
          <cell r="P343">
            <v>0</v>
          </cell>
          <cell r="Q343">
            <v>0</v>
          </cell>
        </row>
        <row r="344">
          <cell r="A344">
            <v>56036</v>
          </cell>
          <cell r="B344" t="str">
            <v>Other Bonus/Commission - Non-Safety</v>
          </cell>
          <cell r="E344">
            <v>0</v>
          </cell>
          <cell r="F344">
            <v>0</v>
          </cell>
          <cell r="G344">
            <v>0</v>
          </cell>
          <cell r="H344">
            <v>0</v>
          </cell>
          <cell r="I344">
            <v>0</v>
          </cell>
          <cell r="J344">
            <v>0</v>
          </cell>
          <cell r="K344">
            <v>0</v>
          </cell>
          <cell r="L344">
            <v>0</v>
          </cell>
          <cell r="M344">
            <v>0</v>
          </cell>
          <cell r="N344">
            <v>0</v>
          </cell>
          <cell r="O344">
            <v>0</v>
          </cell>
          <cell r="P344">
            <v>0</v>
          </cell>
          <cell r="Q344">
            <v>0</v>
          </cell>
        </row>
        <row r="345">
          <cell r="A345">
            <v>56037</v>
          </cell>
          <cell r="B345" t="str">
            <v>Termination Pay</v>
          </cell>
          <cell r="E345">
            <v>0</v>
          </cell>
          <cell r="F345">
            <v>0</v>
          </cell>
          <cell r="G345">
            <v>0</v>
          </cell>
          <cell r="H345">
            <v>0</v>
          </cell>
          <cell r="I345">
            <v>0</v>
          </cell>
          <cell r="J345">
            <v>0</v>
          </cell>
          <cell r="K345">
            <v>0</v>
          </cell>
          <cell r="L345">
            <v>0</v>
          </cell>
          <cell r="M345">
            <v>0</v>
          </cell>
          <cell r="N345">
            <v>0</v>
          </cell>
          <cell r="O345">
            <v>0</v>
          </cell>
          <cell r="P345">
            <v>0</v>
          </cell>
          <cell r="Q345">
            <v>0</v>
          </cell>
        </row>
        <row r="346">
          <cell r="A346">
            <v>56045</v>
          </cell>
          <cell r="B346" t="str">
            <v>Contract Labor</v>
          </cell>
          <cell r="E346">
            <v>0</v>
          </cell>
          <cell r="F346">
            <v>0</v>
          </cell>
          <cell r="G346">
            <v>0</v>
          </cell>
          <cell r="H346">
            <v>0</v>
          </cell>
          <cell r="I346">
            <v>2127.6</v>
          </cell>
          <cell r="J346">
            <v>283.68</v>
          </cell>
          <cell r="K346">
            <v>0</v>
          </cell>
          <cell r="L346">
            <v>0</v>
          </cell>
          <cell r="M346">
            <v>0</v>
          </cell>
          <cell r="N346">
            <v>0</v>
          </cell>
          <cell r="O346">
            <v>0</v>
          </cell>
          <cell r="P346">
            <v>0</v>
          </cell>
          <cell r="Q346">
            <v>2411.2799999999997</v>
          </cell>
        </row>
        <row r="347">
          <cell r="A347">
            <v>56050</v>
          </cell>
          <cell r="B347" t="str">
            <v>Payroll Taxes</v>
          </cell>
          <cell r="E347">
            <v>1457.13</v>
          </cell>
          <cell r="F347">
            <v>1086.04</v>
          </cell>
          <cell r="G347">
            <v>1432.76</v>
          </cell>
          <cell r="H347">
            <v>1237.58</v>
          </cell>
          <cell r="I347">
            <v>1015.69</v>
          </cell>
          <cell r="J347">
            <v>1252.47</v>
          </cell>
          <cell r="K347">
            <v>1534.22</v>
          </cell>
          <cell r="L347">
            <v>1138.26</v>
          </cell>
          <cell r="M347">
            <v>1122.4100000000001</v>
          </cell>
          <cell r="N347">
            <v>1083.83</v>
          </cell>
          <cell r="O347">
            <v>1262.81</v>
          </cell>
          <cell r="P347">
            <v>1237.03</v>
          </cell>
          <cell r="Q347">
            <v>14860.230000000001</v>
          </cell>
        </row>
        <row r="348">
          <cell r="A348">
            <v>56060</v>
          </cell>
          <cell r="B348" t="str">
            <v>Group Insurance</v>
          </cell>
          <cell r="E348">
            <v>2260</v>
          </cell>
          <cell r="F348">
            <v>2260</v>
          </cell>
          <cell r="G348">
            <v>2015</v>
          </cell>
          <cell r="H348">
            <v>2505</v>
          </cell>
          <cell r="I348">
            <v>2286.75</v>
          </cell>
          <cell r="J348">
            <v>2260</v>
          </cell>
          <cell r="K348">
            <v>2233.2399999999998</v>
          </cell>
          <cell r="L348">
            <v>2260</v>
          </cell>
          <cell r="M348">
            <v>2015</v>
          </cell>
          <cell r="N348">
            <v>2505</v>
          </cell>
          <cell r="O348">
            <v>2260</v>
          </cell>
          <cell r="P348">
            <v>2260</v>
          </cell>
          <cell r="Q348">
            <v>27119.989999999998</v>
          </cell>
        </row>
        <row r="349">
          <cell r="A349">
            <v>56065</v>
          </cell>
          <cell r="B349" t="str">
            <v>Vacation Pay</v>
          </cell>
          <cell r="E349">
            <v>1525.21</v>
          </cell>
          <cell r="F349">
            <v>-107.25</v>
          </cell>
          <cell r="G349">
            <v>686</v>
          </cell>
          <cell r="H349">
            <v>651.78</v>
          </cell>
          <cell r="I349">
            <v>5006.99</v>
          </cell>
          <cell r="J349">
            <v>-77.53</v>
          </cell>
          <cell r="K349">
            <v>1031.8800000000001</v>
          </cell>
          <cell r="L349">
            <v>1229.18</v>
          </cell>
          <cell r="M349">
            <v>-193.57</v>
          </cell>
          <cell r="N349">
            <v>1097.0899999999999</v>
          </cell>
          <cell r="O349">
            <v>647.59</v>
          </cell>
          <cell r="P349">
            <v>92.16</v>
          </cell>
          <cell r="Q349">
            <v>11589.53</v>
          </cell>
        </row>
        <row r="350">
          <cell r="A350">
            <v>56070</v>
          </cell>
          <cell r="B350" t="str">
            <v>Sick Pay</v>
          </cell>
          <cell r="E350">
            <v>197.6</v>
          </cell>
          <cell r="F350">
            <v>-54.84</v>
          </cell>
          <cell r="G350">
            <v>58.3</v>
          </cell>
          <cell r="H350">
            <v>30.87</v>
          </cell>
          <cell r="I350">
            <v>0</v>
          </cell>
          <cell r="J350">
            <v>421.35</v>
          </cell>
          <cell r="K350">
            <v>0</v>
          </cell>
          <cell r="L350">
            <v>0</v>
          </cell>
          <cell r="M350">
            <v>371.67</v>
          </cell>
          <cell r="N350">
            <v>-106.19</v>
          </cell>
          <cell r="O350">
            <v>333.34</v>
          </cell>
          <cell r="P350">
            <v>-137.26</v>
          </cell>
          <cell r="Q350">
            <v>1114.8399999999999</v>
          </cell>
        </row>
        <row r="351">
          <cell r="A351">
            <v>56086</v>
          </cell>
          <cell r="B351" t="str">
            <v>Safety and Training</v>
          </cell>
          <cell r="E351">
            <v>259.02</v>
          </cell>
          <cell r="F351">
            <v>48.7</v>
          </cell>
          <cell r="G351">
            <v>93.68</v>
          </cell>
          <cell r="H351">
            <v>64.45</v>
          </cell>
          <cell r="I351">
            <v>0</v>
          </cell>
          <cell r="J351">
            <v>194.76</v>
          </cell>
          <cell r="K351">
            <v>1077.77</v>
          </cell>
          <cell r="L351">
            <v>241.93</v>
          </cell>
          <cell r="M351">
            <v>798.35</v>
          </cell>
          <cell r="N351">
            <v>821.91</v>
          </cell>
          <cell r="O351">
            <v>200.16</v>
          </cell>
          <cell r="P351">
            <v>135.97999999999999</v>
          </cell>
          <cell r="Q351">
            <v>3936.7099999999996</v>
          </cell>
        </row>
        <row r="352">
          <cell r="A352">
            <v>56090</v>
          </cell>
          <cell r="B352" t="str">
            <v>Uniforms</v>
          </cell>
          <cell r="E352">
            <v>1795.66</v>
          </cell>
          <cell r="F352">
            <v>143.75</v>
          </cell>
          <cell r="G352">
            <v>1117.68</v>
          </cell>
          <cell r="H352">
            <v>663</v>
          </cell>
          <cell r="I352">
            <v>503.29</v>
          </cell>
          <cell r="J352">
            <v>889.18</v>
          </cell>
          <cell r="K352">
            <v>1081.28</v>
          </cell>
          <cell r="L352">
            <v>680.36</v>
          </cell>
          <cell r="M352">
            <v>906.86</v>
          </cell>
          <cell r="N352">
            <v>144.98000000000002</v>
          </cell>
          <cell r="O352">
            <v>1093.78</v>
          </cell>
          <cell r="P352">
            <v>477.8</v>
          </cell>
          <cell r="Q352">
            <v>9497.619999999999</v>
          </cell>
        </row>
        <row r="353">
          <cell r="A353">
            <v>56095</v>
          </cell>
          <cell r="B353" t="str">
            <v>Empl &amp; Commun Activ</v>
          </cell>
          <cell r="E353">
            <v>727.54</v>
          </cell>
          <cell r="F353">
            <v>-266.95</v>
          </cell>
          <cell r="G353">
            <v>0</v>
          </cell>
          <cell r="H353">
            <v>92.48</v>
          </cell>
          <cell r="I353">
            <v>485.76</v>
          </cell>
          <cell r="J353">
            <v>463.36</v>
          </cell>
          <cell r="K353">
            <v>0</v>
          </cell>
          <cell r="L353">
            <v>0</v>
          </cell>
          <cell r="M353">
            <v>293.06</v>
          </cell>
          <cell r="N353">
            <v>28.73</v>
          </cell>
          <cell r="O353">
            <v>-181.04</v>
          </cell>
          <cell r="P353">
            <v>0</v>
          </cell>
          <cell r="Q353">
            <v>1642.94</v>
          </cell>
        </row>
        <row r="354">
          <cell r="A354">
            <v>56105</v>
          </cell>
          <cell r="B354" t="str">
            <v>Employee Relocation</v>
          </cell>
          <cell r="E354">
            <v>0</v>
          </cell>
          <cell r="F354">
            <v>0</v>
          </cell>
          <cell r="G354">
            <v>0</v>
          </cell>
          <cell r="H354">
            <v>0</v>
          </cell>
          <cell r="I354">
            <v>0</v>
          </cell>
          <cell r="J354">
            <v>0</v>
          </cell>
          <cell r="K354">
            <v>0</v>
          </cell>
          <cell r="L354">
            <v>0</v>
          </cell>
          <cell r="M354">
            <v>0</v>
          </cell>
          <cell r="N354">
            <v>0</v>
          </cell>
          <cell r="O354">
            <v>0</v>
          </cell>
          <cell r="P354">
            <v>0</v>
          </cell>
          <cell r="Q354">
            <v>0</v>
          </cell>
        </row>
        <row r="355">
          <cell r="A355">
            <v>56108</v>
          </cell>
          <cell r="B355" t="str">
            <v>School Tuition</v>
          </cell>
          <cell r="E355">
            <v>0</v>
          </cell>
          <cell r="F355">
            <v>0</v>
          </cell>
          <cell r="G355">
            <v>0</v>
          </cell>
          <cell r="H355">
            <v>0</v>
          </cell>
          <cell r="I355">
            <v>0</v>
          </cell>
          <cell r="J355">
            <v>0</v>
          </cell>
          <cell r="K355">
            <v>0</v>
          </cell>
          <cell r="L355">
            <v>0</v>
          </cell>
          <cell r="M355">
            <v>0</v>
          </cell>
          <cell r="N355">
            <v>0</v>
          </cell>
          <cell r="O355">
            <v>0</v>
          </cell>
          <cell r="P355">
            <v>0</v>
          </cell>
          <cell r="Q355">
            <v>0</v>
          </cell>
        </row>
        <row r="356">
          <cell r="A356">
            <v>56115</v>
          </cell>
          <cell r="B356" t="str">
            <v>Pension and Profit Sharing</v>
          </cell>
          <cell r="E356">
            <v>226.28</v>
          </cell>
          <cell r="F356">
            <v>217.62</v>
          </cell>
          <cell r="G356">
            <v>333.09</v>
          </cell>
          <cell r="H356">
            <v>220.44</v>
          </cell>
          <cell r="I356">
            <v>189.47</v>
          </cell>
          <cell r="J356">
            <v>211.84</v>
          </cell>
          <cell r="K356">
            <v>270.73</v>
          </cell>
          <cell r="L356">
            <v>224.38</v>
          </cell>
          <cell r="M356">
            <v>228.09</v>
          </cell>
          <cell r="N356">
            <v>329.68</v>
          </cell>
          <cell r="O356">
            <v>224.86</v>
          </cell>
          <cell r="P356">
            <v>246.21</v>
          </cell>
          <cell r="Q356">
            <v>2922.69</v>
          </cell>
        </row>
        <row r="357">
          <cell r="A357">
            <v>56116</v>
          </cell>
          <cell r="B357" t="str">
            <v>Union Benefit Expense</v>
          </cell>
          <cell r="E357">
            <v>0</v>
          </cell>
          <cell r="F357">
            <v>0</v>
          </cell>
          <cell r="G357">
            <v>0</v>
          </cell>
          <cell r="H357">
            <v>0</v>
          </cell>
          <cell r="I357">
            <v>0</v>
          </cell>
          <cell r="J357">
            <v>0</v>
          </cell>
          <cell r="K357">
            <v>0</v>
          </cell>
          <cell r="L357">
            <v>0</v>
          </cell>
          <cell r="M357">
            <v>0</v>
          </cell>
          <cell r="N357">
            <v>0</v>
          </cell>
          <cell r="O357">
            <v>0</v>
          </cell>
          <cell r="P357">
            <v>0</v>
          </cell>
          <cell r="Q357">
            <v>0</v>
          </cell>
        </row>
        <row r="358">
          <cell r="A358">
            <v>56117</v>
          </cell>
          <cell r="B358" t="str">
            <v>Union Pension</v>
          </cell>
          <cell r="E358">
            <v>0</v>
          </cell>
          <cell r="F358">
            <v>0</v>
          </cell>
          <cell r="G358">
            <v>0</v>
          </cell>
          <cell r="H358">
            <v>0</v>
          </cell>
          <cell r="I358">
            <v>0</v>
          </cell>
          <cell r="J358">
            <v>0</v>
          </cell>
          <cell r="K358">
            <v>0</v>
          </cell>
          <cell r="L358">
            <v>0</v>
          </cell>
          <cell r="M358">
            <v>0</v>
          </cell>
          <cell r="N358">
            <v>0</v>
          </cell>
          <cell r="O358">
            <v>0</v>
          </cell>
          <cell r="P358">
            <v>0</v>
          </cell>
          <cell r="Q358">
            <v>0</v>
          </cell>
        </row>
        <row r="359">
          <cell r="A359">
            <v>56125</v>
          </cell>
          <cell r="B359" t="str">
            <v>Operating Supplies</v>
          </cell>
          <cell r="E359">
            <v>1415.21</v>
          </cell>
          <cell r="F359">
            <v>1483.02</v>
          </cell>
          <cell r="G359">
            <v>1740.94</v>
          </cell>
          <cell r="H359">
            <v>445.37</v>
          </cell>
          <cell r="I359">
            <v>804.72</v>
          </cell>
          <cell r="J359">
            <v>164.82</v>
          </cell>
          <cell r="K359">
            <v>658.52</v>
          </cell>
          <cell r="L359">
            <v>1100.71</v>
          </cell>
          <cell r="M359">
            <v>1250.03</v>
          </cell>
          <cell r="N359">
            <v>1674.36</v>
          </cell>
          <cell r="O359">
            <v>765.8</v>
          </cell>
          <cell r="P359">
            <v>382.82</v>
          </cell>
          <cell r="Q359">
            <v>11886.32</v>
          </cell>
        </row>
        <row r="360">
          <cell r="A360">
            <v>56140</v>
          </cell>
          <cell r="B360" t="str">
            <v>Tires</v>
          </cell>
          <cell r="E360">
            <v>0</v>
          </cell>
          <cell r="F360">
            <v>0</v>
          </cell>
          <cell r="G360">
            <v>0</v>
          </cell>
          <cell r="H360">
            <v>0</v>
          </cell>
          <cell r="I360">
            <v>0</v>
          </cell>
          <cell r="J360">
            <v>0</v>
          </cell>
          <cell r="K360">
            <v>0</v>
          </cell>
          <cell r="L360">
            <v>0</v>
          </cell>
          <cell r="M360">
            <v>0</v>
          </cell>
          <cell r="N360">
            <v>0</v>
          </cell>
          <cell r="O360">
            <v>0</v>
          </cell>
          <cell r="P360">
            <v>0</v>
          </cell>
          <cell r="Q360">
            <v>0</v>
          </cell>
        </row>
        <row r="361">
          <cell r="A361">
            <v>56142</v>
          </cell>
          <cell r="B361" t="str">
            <v>Fuel Expense</v>
          </cell>
          <cell r="E361">
            <v>0</v>
          </cell>
          <cell r="F361">
            <v>0</v>
          </cell>
          <cell r="G361">
            <v>0</v>
          </cell>
          <cell r="H361">
            <v>0</v>
          </cell>
          <cell r="I361">
            <v>0</v>
          </cell>
          <cell r="J361">
            <v>0</v>
          </cell>
          <cell r="K361">
            <v>0</v>
          </cell>
          <cell r="L361">
            <v>0</v>
          </cell>
          <cell r="M361">
            <v>0</v>
          </cell>
          <cell r="N361">
            <v>0</v>
          </cell>
          <cell r="O361">
            <v>0</v>
          </cell>
          <cell r="P361">
            <v>20</v>
          </cell>
          <cell r="Q361">
            <v>20</v>
          </cell>
        </row>
        <row r="362">
          <cell r="A362">
            <v>56148</v>
          </cell>
          <cell r="B362" t="str">
            <v>Allocated Exp In - District</v>
          </cell>
          <cell r="E362">
            <v>0</v>
          </cell>
          <cell r="F362">
            <v>0</v>
          </cell>
          <cell r="G362">
            <v>0</v>
          </cell>
          <cell r="H362">
            <v>0</v>
          </cell>
          <cell r="I362">
            <v>0</v>
          </cell>
          <cell r="J362">
            <v>0</v>
          </cell>
          <cell r="K362">
            <v>0</v>
          </cell>
          <cell r="L362">
            <v>0</v>
          </cell>
          <cell r="M362">
            <v>0</v>
          </cell>
          <cell r="N362">
            <v>0</v>
          </cell>
          <cell r="O362">
            <v>0</v>
          </cell>
          <cell r="P362">
            <v>0</v>
          </cell>
          <cell r="Q362">
            <v>0</v>
          </cell>
        </row>
        <row r="363">
          <cell r="A363">
            <v>56149</v>
          </cell>
          <cell r="B363" t="str">
            <v>Allocated Exp In Out - District</v>
          </cell>
          <cell r="E363">
            <v>0</v>
          </cell>
          <cell r="F363">
            <v>0</v>
          </cell>
          <cell r="G363">
            <v>0</v>
          </cell>
          <cell r="H363">
            <v>0</v>
          </cell>
          <cell r="I363">
            <v>0</v>
          </cell>
          <cell r="J363">
            <v>0</v>
          </cell>
          <cell r="K363">
            <v>0</v>
          </cell>
          <cell r="L363">
            <v>0</v>
          </cell>
          <cell r="M363">
            <v>0</v>
          </cell>
          <cell r="N363">
            <v>0</v>
          </cell>
          <cell r="O363">
            <v>0</v>
          </cell>
          <cell r="P363">
            <v>0</v>
          </cell>
          <cell r="Q363">
            <v>0</v>
          </cell>
        </row>
        <row r="364">
          <cell r="A364">
            <v>56165</v>
          </cell>
          <cell r="B364" t="str">
            <v>Communications</v>
          </cell>
          <cell r="E364">
            <v>4606.6000000000004</v>
          </cell>
          <cell r="F364">
            <v>4350.2299999999996</v>
          </cell>
          <cell r="G364">
            <v>4615.41</v>
          </cell>
          <cell r="H364">
            <v>1003.34</v>
          </cell>
          <cell r="I364">
            <v>7555.03</v>
          </cell>
          <cell r="J364">
            <v>4491</v>
          </cell>
          <cell r="K364">
            <v>4590.99</v>
          </cell>
          <cell r="L364">
            <v>470.11</v>
          </cell>
          <cell r="M364">
            <v>4254.96</v>
          </cell>
          <cell r="N364">
            <v>4208.18</v>
          </cell>
          <cell r="O364">
            <v>512.84</v>
          </cell>
          <cell r="P364">
            <v>4070.45</v>
          </cell>
          <cell r="Q364">
            <v>44729.139999999992</v>
          </cell>
        </row>
        <row r="365">
          <cell r="A365">
            <v>56200</v>
          </cell>
          <cell r="B365" t="str">
            <v>Travel</v>
          </cell>
          <cell r="E365">
            <v>0</v>
          </cell>
          <cell r="F365">
            <v>69</v>
          </cell>
          <cell r="G365">
            <v>98.25</v>
          </cell>
          <cell r="H365">
            <v>52.88</v>
          </cell>
          <cell r="I365">
            <v>0</v>
          </cell>
          <cell r="J365">
            <v>0</v>
          </cell>
          <cell r="K365">
            <v>0</v>
          </cell>
          <cell r="L365">
            <v>0</v>
          </cell>
          <cell r="M365">
            <v>0</v>
          </cell>
          <cell r="N365">
            <v>5.62</v>
          </cell>
          <cell r="O365">
            <v>0</v>
          </cell>
          <cell r="P365">
            <v>0</v>
          </cell>
          <cell r="Q365">
            <v>225.75</v>
          </cell>
        </row>
        <row r="366">
          <cell r="A366">
            <v>56201</v>
          </cell>
          <cell r="B366" t="str">
            <v>Meal and Entertainment</v>
          </cell>
          <cell r="E366">
            <v>0</v>
          </cell>
          <cell r="F366">
            <v>0</v>
          </cell>
          <cell r="G366">
            <v>0</v>
          </cell>
          <cell r="H366">
            <v>0</v>
          </cell>
          <cell r="I366">
            <v>0</v>
          </cell>
          <cell r="J366">
            <v>103.1</v>
          </cell>
          <cell r="K366">
            <v>0</v>
          </cell>
          <cell r="L366">
            <v>0</v>
          </cell>
          <cell r="M366">
            <v>0</v>
          </cell>
          <cell r="N366">
            <v>44.52</v>
          </cell>
          <cell r="O366">
            <v>90.55</v>
          </cell>
          <cell r="P366">
            <v>110.62</v>
          </cell>
          <cell r="Q366">
            <v>348.79</v>
          </cell>
        </row>
        <row r="367">
          <cell r="A367">
            <v>56210</v>
          </cell>
          <cell r="B367" t="str">
            <v>Office Supply and Equip</v>
          </cell>
          <cell r="E367">
            <v>907.9</v>
          </cell>
          <cell r="F367">
            <v>1266.8599999999999</v>
          </cell>
          <cell r="G367">
            <v>1175.05</v>
          </cell>
          <cell r="H367">
            <v>2018.74</v>
          </cell>
          <cell r="I367">
            <v>1340.75</v>
          </cell>
          <cell r="J367">
            <v>1056.72</v>
          </cell>
          <cell r="K367">
            <v>1348.09</v>
          </cell>
          <cell r="L367">
            <v>2224.39</v>
          </cell>
          <cell r="M367">
            <v>1094.46</v>
          </cell>
          <cell r="N367">
            <v>1045.8699999999999</v>
          </cell>
          <cell r="O367">
            <v>1613.32</v>
          </cell>
          <cell r="P367">
            <v>1365.17</v>
          </cell>
          <cell r="Q367">
            <v>16457.32</v>
          </cell>
        </row>
        <row r="368">
          <cell r="A368">
            <v>56335</v>
          </cell>
          <cell r="B368" t="str">
            <v>Miscellaneous</v>
          </cell>
          <cell r="E368">
            <v>0</v>
          </cell>
          <cell r="F368">
            <v>0</v>
          </cell>
          <cell r="G368">
            <v>0</v>
          </cell>
          <cell r="H368">
            <v>0</v>
          </cell>
          <cell r="I368">
            <v>0</v>
          </cell>
          <cell r="J368">
            <v>0</v>
          </cell>
          <cell r="K368">
            <v>0</v>
          </cell>
          <cell r="L368">
            <v>0</v>
          </cell>
          <cell r="M368">
            <v>0</v>
          </cell>
          <cell r="N368">
            <v>0</v>
          </cell>
          <cell r="O368">
            <v>0</v>
          </cell>
          <cell r="P368">
            <v>0</v>
          </cell>
          <cell r="Q368">
            <v>0</v>
          </cell>
        </row>
        <row r="369">
          <cell r="A369">
            <v>56998</v>
          </cell>
          <cell r="B369" t="str">
            <v>Allocation Out - District</v>
          </cell>
          <cell r="E369">
            <v>0</v>
          </cell>
          <cell r="F369">
            <v>0</v>
          </cell>
          <cell r="G369">
            <v>0</v>
          </cell>
          <cell r="H369">
            <v>0</v>
          </cell>
          <cell r="I369">
            <v>0</v>
          </cell>
          <cell r="J369">
            <v>0</v>
          </cell>
          <cell r="K369">
            <v>0</v>
          </cell>
          <cell r="L369">
            <v>0</v>
          </cell>
          <cell r="M369">
            <v>0</v>
          </cell>
          <cell r="N369">
            <v>0</v>
          </cell>
          <cell r="O369">
            <v>0</v>
          </cell>
          <cell r="P369">
            <v>0</v>
          </cell>
          <cell r="Q369">
            <v>0</v>
          </cell>
        </row>
        <row r="370">
          <cell r="A370">
            <v>56999</v>
          </cell>
          <cell r="B370" t="str">
            <v>Allocation Out - Out District</v>
          </cell>
          <cell r="E370">
            <v>0</v>
          </cell>
          <cell r="F370">
            <v>0</v>
          </cell>
          <cell r="G370">
            <v>0</v>
          </cell>
          <cell r="H370">
            <v>0</v>
          </cell>
          <cell r="I370">
            <v>0</v>
          </cell>
          <cell r="J370">
            <v>0</v>
          </cell>
          <cell r="K370">
            <v>0</v>
          </cell>
          <cell r="L370">
            <v>0</v>
          </cell>
          <cell r="M370">
            <v>0</v>
          </cell>
          <cell r="N370">
            <v>0</v>
          </cell>
          <cell r="O370">
            <v>0</v>
          </cell>
          <cell r="P370">
            <v>0</v>
          </cell>
          <cell r="Q370">
            <v>0</v>
          </cell>
        </row>
        <row r="371">
          <cell r="A371" t="str">
            <v>Total Supervisor</v>
          </cell>
          <cell r="E371">
            <v>26562.799999999996</v>
          </cell>
          <cell r="F371">
            <v>23501.42</v>
          </cell>
          <cell r="G371">
            <v>27636.67</v>
          </cell>
          <cell r="H371">
            <v>22714.119999999995</v>
          </cell>
          <cell r="I371">
            <v>32513.34</v>
          </cell>
          <cell r="J371">
            <v>23855.37</v>
          </cell>
          <cell r="K371">
            <v>28433.989999999994</v>
          </cell>
          <cell r="L371">
            <v>22041.739999999998</v>
          </cell>
          <cell r="M371">
            <v>25858.779999999995</v>
          </cell>
          <cell r="N371">
            <v>25971.11</v>
          </cell>
          <cell r="O371">
            <v>22681.739999999998</v>
          </cell>
          <cell r="P371">
            <v>24752.86</v>
          </cell>
          <cell r="Q371">
            <v>306523.94</v>
          </cell>
        </row>
        <row r="373">
          <cell r="A373" t="str">
            <v>Other Operating Expense</v>
          </cell>
        </row>
        <row r="374">
          <cell r="A374">
            <v>46020</v>
          </cell>
          <cell r="B374" t="str">
            <v>Post Closure Amortization</v>
          </cell>
          <cell r="E374">
            <v>0</v>
          </cell>
          <cell r="F374">
            <v>0</v>
          </cell>
          <cell r="G374">
            <v>0</v>
          </cell>
          <cell r="H374">
            <v>0</v>
          </cell>
          <cell r="I374">
            <v>0</v>
          </cell>
          <cell r="J374">
            <v>0</v>
          </cell>
          <cell r="K374">
            <v>0</v>
          </cell>
          <cell r="L374">
            <v>0</v>
          </cell>
          <cell r="M374">
            <v>0</v>
          </cell>
          <cell r="N374">
            <v>0</v>
          </cell>
          <cell r="O374">
            <v>0</v>
          </cell>
          <cell r="P374">
            <v>0</v>
          </cell>
          <cell r="Q374">
            <v>0</v>
          </cell>
        </row>
        <row r="375">
          <cell r="A375">
            <v>57051</v>
          </cell>
          <cell r="B375" t="str">
            <v>AA Premiums</v>
          </cell>
          <cell r="E375">
            <v>0</v>
          </cell>
          <cell r="F375">
            <v>0</v>
          </cell>
          <cell r="G375">
            <v>0</v>
          </cell>
          <cell r="H375">
            <v>0</v>
          </cell>
          <cell r="I375">
            <v>0</v>
          </cell>
          <cell r="J375">
            <v>0</v>
          </cell>
          <cell r="K375">
            <v>0</v>
          </cell>
          <cell r="L375">
            <v>0</v>
          </cell>
          <cell r="M375">
            <v>0</v>
          </cell>
          <cell r="N375">
            <v>0</v>
          </cell>
          <cell r="O375">
            <v>0</v>
          </cell>
          <cell r="P375">
            <v>0</v>
          </cell>
          <cell r="Q375">
            <v>0</v>
          </cell>
        </row>
        <row r="376">
          <cell r="A376">
            <v>57125</v>
          </cell>
          <cell r="B376" t="str">
            <v>Operating Supplies</v>
          </cell>
          <cell r="E376">
            <v>0</v>
          </cell>
          <cell r="F376">
            <v>0</v>
          </cell>
          <cell r="G376">
            <v>0</v>
          </cell>
          <cell r="H376">
            <v>427.66</v>
          </cell>
          <cell r="I376">
            <v>0</v>
          </cell>
          <cell r="J376">
            <v>0</v>
          </cell>
          <cell r="K376">
            <v>0</v>
          </cell>
          <cell r="L376">
            <v>0</v>
          </cell>
          <cell r="M376">
            <v>0</v>
          </cell>
          <cell r="N376">
            <v>224.45</v>
          </cell>
          <cell r="O376">
            <v>3002.92</v>
          </cell>
          <cell r="P376">
            <v>0</v>
          </cell>
          <cell r="Q376">
            <v>3655.03</v>
          </cell>
        </row>
        <row r="377">
          <cell r="A377">
            <v>57147</v>
          </cell>
          <cell r="B377" t="str">
            <v>Bldg &amp; Property</v>
          </cell>
          <cell r="E377">
            <v>8063.84</v>
          </cell>
          <cell r="F377">
            <v>8169.88</v>
          </cell>
          <cell r="G377">
            <v>6041.82</v>
          </cell>
          <cell r="H377">
            <v>6588.54</v>
          </cell>
          <cell r="I377">
            <v>4365.71</v>
          </cell>
          <cell r="J377">
            <v>4713.99</v>
          </cell>
          <cell r="K377">
            <v>10806.84</v>
          </cell>
          <cell r="L377">
            <v>9251.0400000000009</v>
          </cell>
          <cell r="M377">
            <v>6193.48</v>
          </cell>
          <cell r="N377">
            <v>8759.64</v>
          </cell>
          <cell r="O377">
            <v>5195.24</v>
          </cell>
          <cell r="P377">
            <v>16632.82</v>
          </cell>
          <cell r="Q377">
            <v>94782.84</v>
          </cell>
        </row>
        <row r="378">
          <cell r="A378">
            <v>57148</v>
          </cell>
          <cell r="B378" t="str">
            <v>Allocated In - District</v>
          </cell>
          <cell r="E378">
            <v>0</v>
          </cell>
          <cell r="F378">
            <v>0</v>
          </cell>
          <cell r="G378">
            <v>0</v>
          </cell>
          <cell r="H378">
            <v>0</v>
          </cell>
          <cell r="I378">
            <v>0</v>
          </cell>
          <cell r="J378">
            <v>0</v>
          </cell>
          <cell r="K378">
            <v>0</v>
          </cell>
          <cell r="L378">
            <v>0</v>
          </cell>
          <cell r="M378">
            <v>0</v>
          </cell>
          <cell r="N378">
            <v>0</v>
          </cell>
          <cell r="O378">
            <v>0</v>
          </cell>
          <cell r="P378">
            <v>0</v>
          </cell>
          <cell r="Q378">
            <v>0</v>
          </cell>
        </row>
        <row r="379">
          <cell r="A379">
            <v>57149</v>
          </cell>
          <cell r="B379" t="str">
            <v>Allocated In - Out District</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v>57150</v>
          </cell>
          <cell r="B380" t="str">
            <v>Utilities</v>
          </cell>
          <cell r="E380">
            <v>1384.3</v>
          </cell>
          <cell r="F380">
            <v>289.72000000000003</v>
          </cell>
          <cell r="G380">
            <v>352.8</v>
          </cell>
          <cell r="H380">
            <v>250.3</v>
          </cell>
          <cell r="I380">
            <v>272.69</v>
          </cell>
          <cell r="J380">
            <v>171.46</v>
          </cell>
          <cell r="K380">
            <v>268.27</v>
          </cell>
          <cell r="L380">
            <v>157.77000000000001</v>
          </cell>
          <cell r="M380">
            <v>921.26</v>
          </cell>
          <cell r="N380">
            <v>178.68</v>
          </cell>
          <cell r="O380">
            <v>1625.08</v>
          </cell>
          <cell r="P380">
            <v>312.62</v>
          </cell>
          <cell r="Q380">
            <v>6184.95</v>
          </cell>
        </row>
        <row r="381">
          <cell r="A381">
            <v>57165</v>
          </cell>
          <cell r="B381" t="str">
            <v>Communications</v>
          </cell>
          <cell r="E381">
            <v>0</v>
          </cell>
          <cell r="F381">
            <v>0</v>
          </cell>
          <cell r="G381">
            <v>0</v>
          </cell>
          <cell r="H381">
            <v>0</v>
          </cell>
          <cell r="I381">
            <v>0</v>
          </cell>
          <cell r="J381">
            <v>0</v>
          </cell>
          <cell r="K381">
            <v>0</v>
          </cell>
          <cell r="L381">
            <v>0</v>
          </cell>
          <cell r="M381">
            <v>0</v>
          </cell>
          <cell r="N381">
            <v>0</v>
          </cell>
          <cell r="O381">
            <v>0</v>
          </cell>
          <cell r="P381">
            <v>0</v>
          </cell>
          <cell r="Q381">
            <v>0</v>
          </cell>
        </row>
        <row r="382">
          <cell r="A382">
            <v>57166</v>
          </cell>
          <cell r="B382" t="str">
            <v>Leachate Treatment</v>
          </cell>
          <cell r="E382">
            <v>0</v>
          </cell>
          <cell r="F382">
            <v>0</v>
          </cell>
          <cell r="G382">
            <v>0</v>
          </cell>
          <cell r="H382">
            <v>0</v>
          </cell>
          <cell r="I382">
            <v>0</v>
          </cell>
          <cell r="J382">
            <v>0</v>
          </cell>
          <cell r="K382">
            <v>0</v>
          </cell>
          <cell r="L382">
            <v>0</v>
          </cell>
          <cell r="M382">
            <v>0</v>
          </cell>
          <cell r="N382">
            <v>0</v>
          </cell>
          <cell r="O382">
            <v>0</v>
          </cell>
          <cell r="P382">
            <v>0</v>
          </cell>
          <cell r="Q382">
            <v>0</v>
          </cell>
        </row>
        <row r="383">
          <cell r="A383">
            <v>57170</v>
          </cell>
          <cell r="B383" t="str">
            <v>Real Estate Rentals</v>
          </cell>
          <cell r="E383">
            <v>17643.07</v>
          </cell>
          <cell r="F383">
            <v>17035.48</v>
          </cell>
          <cell r="G383">
            <v>17673.07</v>
          </cell>
          <cell r="H383">
            <v>17402.849999999999</v>
          </cell>
          <cell r="I383">
            <v>17402.849999999999</v>
          </cell>
          <cell r="J383">
            <v>17402.849999999999</v>
          </cell>
          <cell r="K383">
            <v>17402.849999999999</v>
          </cell>
          <cell r="L383">
            <v>17402.849999999999</v>
          </cell>
          <cell r="M383">
            <v>18791.8</v>
          </cell>
          <cell r="N383">
            <v>17402.849999999999</v>
          </cell>
          <cell r="O383">
            <v>18791.8</v>
          </cell>
          <cell r="P383">
            <v>2852.62</v>
          </cell>
          <cell r="Q383">
            <v>197204.94</v>
          </cell>
        </row>
        <row r="384">
          <cell r="A384">
            <v>57175</v>
          </cell>
          <cell r="B384" t="str">
            <v>Equipment Vehicle Rental</v>
          </cell>
          <cell r="E384">
            <v>328.66</v>
          </cell>
          <cell r="F384">
            <v>0</v>
          </cell>
          <cell r="G384">
            <v>0</v>
          </cell>
          <cell r="H384">
            <v>0</v>
          </cell>
          <cell r="I384">
            <v>0</v>
          </cell>
          <cell r="J384">
            <v>0</v>
          </cell>
          <cell r="K384">
            <v>0</v>
          </cell>
          <cell r="L384">
            <v>0</v>
          </cell>
          <cell r="M384">
            <v>0</v>
          </cell>
          <cell r="N384">
            <v>0</v>
          </cell>
          <cell r="O384">
            <v>2091.2399999999998</v>
          </cell>
          <cell r="P384">
            <v>397.36</v>
          </cell>
          <cell r="Q384">
            <v>2817.2599999999998</v>
          </cell>
        </row>
        <row r="385">
          <cell r="A385">
            <v>57185</v>
          </cell>
          <cell r="B385" t="str">
            <v>Postage</v>
          </cell>
          <cell r="E385">
            <v>0</v>
          </cell>
          <cell r="F385">
            <v>0</v>
          </cell>
          <cell r="G385">
            <v>0</v>
          </cell>
          <cell r="H385">
            <v>0</v>
          </cell>
          <cell r="I385">
            <v>0</v>
          </cell>
          <cell r="J385">
            <v>0</v>
          </cell>
          <cell r="K385">
            <v>0</v>
          </cell>
          <cell r="L385">
            <v>0</v>
          </cell>
          <cell r="M385">
            <v>0</v>
          </cell>
          <cell r="N385">
            <v>0</v>
          </cell>
          <cell r="O385">
            <v>0</v>
          </cell>
          <cell r="P385">
            <v>0</v>
          </cell>
          <cell r="Q385">
            <v>0</v>
          </cell>
        </row>
        <row r="386">
          <cell r="A386">
            <v>57252</v>
          </cell>
          <cell r="B386" t="str">
            <v>Subcontract Expense</v>
          </cell>
          <cell r="E386">
            <v>0</v>
          </cell>
          <cell r="F386">
            <v>0</v>
          </cell>
          <cell r="G386">
            <v>0</v>
          </cell>
          <cell r="H386">
            <v>0</v>
          </cell>
          <cell r="I386">
            <v>0</v>
          </cell>
          <cell r="J386">
            <v>0</v>
          </cell>
          <cell r="K386">
            <v>0</v>
          </cell>
          <cell r="L386">
            <v>0</v>
          </cell>
          <cell r="M386">
            <v>0</v>
          </cell>
          <cell r="N386">
            <v>0</v>
          </cell>
          <cell r="O386">
            <v>0</v>
          </cell>
          <cell r="P386">
            <v>0</v>
          </cell>
          <cell r="Q386">
            <v>0</v>
          </cell>
        </row>
        <row r="387">
          <cell r="A387">
            <v>57254</v>
          </cell>
          <cell r="B387" t="str">
            <v>Drive Cam Fees</v>
          </cell>
          <cell r="E387">
            <v>5737.5</v>
          </cell>
          <cell r="F387">
            <v>5737.5</v>
          </cell>
          <cell r="G387">
            <v>5737.5</v>
          </cell>
          <cell r="H387">
            <v>5737.5</v>
          </cell>
          <cell r="I387">
            <v>3780</v>
          </cell>
          <cell r="J387">
            <v>3780</v>
          </cell>
          <cell r="K387">
            <v>3780</v>
          </cell>
          <cell r="L387">
            <v>3780</v>
          </cell>
          <cell r="M387">
            <v>3780</v>
          </cell>
          <cell r="N387">
            <v>3780</v>
          </cell>
          <cell r="O387">
            <v>3780</v>
          </cell>
          <cell r="P387">
            <v>3780</v>
          </cell>
          <cell r="Q387">
            <v>53190</v>
          </cell>
        </row>
        <row r="388">
          <cell r="A388">
            <v>57255</v>
          </cell>
          <cell r="B388" t="str">
            <v>Other Prof Fees</v>
          </cell>
          <cell r="E388">
            <v>0</v>
          </cell>
          <cell r="F388">
            <v>0</v>
          </cell>
          <cell r="G388">
            <v>13.5</v>
          </cell>
          <cell r="H388">
            <v>13.5</v>
          </cell>
          <cell r="I388">
            <v>13.5</v>
          </cell>
          <cell r="J388">
            <v>13.5</v>
          </cell>
          <cell r="K388">
            <v>0</v>
          </cell>
          <cell r="L388">
            <v>13.5</v>
          </cell>
          <cell r="M388">
            <v>13.5</v>
          </cell>
          <cell r="N388">
            <v>13.5</v>
          </cell>
          <cell r="O388">
            <v>13.5</v>
          </cell>
          <cell r="P388">
            <v>0</v>
          </cell>
          <cell r="Q388">
            <v>108</v>
          </cell>
        </row>
        <row r="389">
          <cell r="A389">
            <v>57256</v>
          </cell>
          <cell r="B389" t="str">
            <v>Laboratory Fees</v>
          </cell>
          <cell r="E389">
            <v>0</v>
          </cell>
          <cell r="F389">
            <v>0</v>
          </cell>
          <cell r="G389">
            <v>0</v>
          </cell>
          <cell r="H389">
            <v>0</v>
          </cell>
          <cell r="I389">
            <v>0</v>
          </cell>
          <cell r="J389">
            <v>0</v>
          </cell>
          <cell r="K389">
            <v>0</v>
          </cell>
          <cell r="L389">
            <v>0</v>
          </cell>
          <cell r="M389">
            <v>0</v>
          </cell>
          <cell r="N389">
            <v>0</v>
          </cell>
          <cell r="O389">
            <v>0</v>
          </cell>
          <cell r="P389">
            <v>0</v>
          </cell>
          <cell r="Q389">
            <v>0</v>
          </cell>
        </row>
        <row r="390">
          <cell r="A390">
            <v>57257</v>
          </cell>
          <cell r="B390" t="str">
            <v>Engineering Fees</v>
          </cell>
          <cell r="E390">
            <v>0</v>
          </cell>
          <cell r="F390">
            <v>0</v>
          </cell>
          <cell r="G390">
            <v>0</v>
          </cell>
          <cell r="H390">
            <v>0</v>
          </cell>
          <cell r="I390">
            <v>0</v>
          </cell>
          <cell r="J390">
            <v>54300.08</v>
          </cell>
          <cell r="K390">
            <v>3763.13</v>
          </cell>
          <cell r="L390">
            <v>4344.38</v>
          </cell>
          <cell r="M390">
            <v>0</v>
          </cell>
          <cell r="N390">
            <v>0</v>
          </cell>
          <cell r="O390">
            <v>0</v>
          </cell>
          <cell r="P390">
            <v>0</v>
          </cell>
          <cell r="Q390">
            <v>62407.59</v>
          </cell>
        </row>
        <row r="391">
          <cell r="A391">
            <v>57275</v>
          </cell>
          <cell r="B391" t="str">
            <v>Property Taxes</v>
          </cell>
          <cell r="E391">
            <v>648.66999999999996</v>
          </cell>
          <cell r="F391">
            <v>748.26</v>
          </cell>
          <cell r="G391">
            <v>748.26</v>
          </cell>
          <cell r="H391">
            <v>931.59</v>
          </cell>
          <cell r="I391">
            <v>931.59</v>
          </cell>
          <cell r="J391">
            <v>931.61</v>
          </cell>
          <cell r="K391">
            <v>676.33</v>
          </cell>
          <cell r="L391">
            <v>676.33</v>
          </cell>
          <cell r="M391">
            <v>676.33</v>
          </cell>
          <cell r="N391">
            <v>676.33</v>
          </cell>
          <cell r="O391">
            <v>676.33</v>
          </cell>
          <cell r="P391">
            <v>676.33</v>
          </cell>
          <cell r="Q391">
            <v>8997.9599999999991</v>
          </cell>
        </row>
        <row r="392">
          <cell r="A392">
            <v>57280</v>
          </cell>
          <cell r="B392" t="str">
            <v>Other Taxes</v>
          </cell>
          <cell r="E392">
            <v>0</v>
          </cell>
          <cell r="F392">
            <v>0</v>
          </cell>
          <cell r="G392">
            <v>0</v>
          </cell>
          <cell r="H392">
            <v>0</v>
          </cell>
          <cell r="I392">
            <v>0</v>
          </cell>
          <cell r="J392">
            <v>0</v>
          </cell>
          <cell r="K392">
            <v>0</v>
          </cell>
          <cell r="L392">
            <v>0</v>
          </cell>
          <cell r="M392">
            <v>0</v>
          </cell>
          <cell r="N392">
            <v>0</v>
          </cell>
          <cell r="O392">
            <v>0</v>
          </cell>
          <cell r="P392">
            <v>0</v>
          </cell>
          <cell r="Q392">
            <v>0</v>
          </cell>
        </row>
        <row r="393">
          <cell r="A393">
            <v>57324</v>
          </cell>
          <cell r="B393" t="str">
            <v>Penalties and Violations</v>
          </cell>
          <cell r="E393">
            <v>0</v>
          </cell>
          <cell r="F393">
            <v>0</v>
          </cell>
          <cell r="G393">
            <v>0</v>
          </cell>
          <cell r="H393">
            <v>0</v>
          </cell>
          <cell r="I393">
            <v>0</v>
          </cell>
          <cell r="J393">
            <v>0</v>
          </cell>
          <cell r="K393">
            <v>0</v>
          </cell>
          <cell r="L393">
            <v>0</v>
          </cell>
          <cell r="M393">
            <v>0</v>
          </cell>
          <cell r="N393">
            <v>266.95</v>
          </cell>
          <cell r="O393">
            <v>266.95</v>
          </cell>
          <cell r="P393">
            <v>0</v>
          </cell>
          <cell r="Q393">
            <v>533.9</v>
          </cell>
        </row>
        <row r="394">
          <cell r="A394">
            <v>57335</v>
          </cell>
          <cell r="B394" t="str">
            <v>Miscellaneous</v>
          </cell>
          <cell r="E394">
            <v>0</v>
          </cell>
          <cell r="F394">
            <v>0</v>
          </cell>
          <cell r="G394">
            <v>0</v>
          </cell>
          <cell r="H394">
            <v>0</v>
          </cell>
          <cell r="I394">
            <v>0</v>
          </cell>
          <cell r="J394">
            <v>-33322.47</v>
          </cell>
          <cell r="K394">
            <v>33322.47</v>
          </cell>
          <cell r="L394">
            <v>0</v>
          </cell>
          <cell r="M394">
            <v>0</v>
          </cell>
          <cell r="N394">
            <v>0</v>
          </cell>
          <cell r="O394">
            <v>0</v>
          </cell>
          <cell r="P394">
            <v>0</v>
          </cell>
          <cell r="Q394">
            <v>0</v>
          </cell>
        </row>
        <row r="395">
          <cell r="A395">
            <v>57345</v>
          </cell>
          <cell r="B395" t="str">
            <v>Secruity Services</v>
          </cell>
          <cell r="E395">
            <v>187.5</v>
          </cell>
          <cell r="F395">
            <v>187.5</v>
          </cell>
          <cell r="G395">
            <v>187.5</v>
          </cell>
          <cell r="H395">
            <v>187.5</v>
          </cell>
          <cell r="I395">
            <v>187.5</v>
          </cell>
          <cell r="J395">
            <v>187.5</v>
          </cell>
          <cell r="K395">
            <v>187.5</v>
          </cell>
          <cell r="L395">
            <v>187.5</v>
          </cell>
          <cell r="M395">
            <v>187.5</v>
          </cell>
          <cell r="N395">
            <v>187.5</v>
          </cell>
          <cell r="O395">
            <v>187.5</v>
          </cell>
          <cell r="P395">
            <v>250</v>
          </cell>
          <cell r="Q395">
            <v>2312.5</v>
          </cell>
        </row>
        <row r="396">
          <cell r="A396">
            <v>57353</v>
          </cell>
          <cell r="B396" t="str">
            <v>Monitoring and Maint</v>
          </cell>
          <cell r="E396">
            <v>0</v>
          </cell>
          <cell r="F396">
            <v>0</v>
          </cell>
          <cell r="G396">
            <v>0</v>
          </cell>
          <cell r="H396">
            <v>0</v>
          </cell>
          <cell r="I396">
            <v>0</v>
          </cell>
          <cell r="J396">
            <v>0</v>
          </cell>
          <cell r="K396">
            <v>0</v>
          </cell>
          <cell r="L396">
            <v>0</v>
          </cell>
          <cell r="M396">
            <v>0</v>
          </cell>
          <cell r="N396">
            <v>0</v>
          </cell>
          <cell r="O396">
            <v>0</v>
          </cell>
          <cell r="P396">
            <v>0</v>
          </cell>
          <cell r="Q396">
            <v>0</v>
          </cell>
        </row>
        <row r="397">
          <cell r="A397">
            <v>57356</v>
          </cell>
          <cell r="B397" t="str">
            <v>Cover Cost</v>
          </cell>
          <cell r="E397">
            <v>0</v>
          </cell>
          <cell r="F397">
            <v>0</v>
          </cell>
          <cell r="G397">
            <v>0</v>
          </cell>
          <cell r="H397">
            <v>0</v>
          </cell>
          <cell r="I397">
            <v>0</v>
          </cell>
          <cell r="J397">
            <v>0</v>
          </cell>
          <cell r="K397">
            <v>0</v>
          </cell>
          <cell r="L397">
            <v>0</v>
          </cell>
          <cell r="M397">
            <v>0</v>
          </cell>
          <cell r="N397">
            <v>0</v>
          </cell>
          <cell r="O397">
            <v>0</v>
          </cell>
          <cell r="P397">
            <v>0</v>
          </cell>
          <cell r="Q397">
            <v>0</v>
          </cell>
        </row>
        <row r="398">
          <cell r="A398">
            <v>57357</v>
          </cell>
          <cell r="B398" t="str">
            <v>Permits</v>
          </cell>
          <cell r="E398">
            <v>65</v>
          </cell>
          <cell r="F398">
            <v>0</v>
          </cell>
          <cell r="G398">
            <v>132.5</v>
          </cell>
          <cell r="H398">
            <v>0</v>
          </cell>
          <cell r="I398">
            <v>0</v>
          </cell>
          <cell r="J398">
            <v>132.5</v>
          </cell>
          <cell r="K398">
            <v>0</v>
          </cell>
          <cell r="L398">
            <v>0</v>
          </cell>
          <cell r="M398">
            <v>132.5</v>
          </cell>
          <cell r="N398">
            <v>1975</v>
          </cell>
          <cell r="O398">
            <v>0</v>
          </cell>
          <cell r="P398">
            <v>132.5</v>
          </cell>
          <cell r="Q398">
            <v>2570</v>
          </cell>
        </row>
        <row r="399">
          <cell r="A399">
            <v>57360</v>
          </cell>
          <cell r="B399" t="str">
            <v>Royalties</v>
          </cell>
          <cell r="E399">
            <v>0</v>
          </cell>
          <cell r="F399">
            <v>0</v>
          </cell>
          <cell r="G399">
            <v>0</v>
          </cell>
          <cell r="H399">
            <v>0</v>
          </cell>
          <cell r="I399">
            <v>0</v>
          </cell>
          <cell r="J399">
            <v>0</v>
          </cell>
          <cell r="K399">
            <v>0</v>
          </cell>
          <cell r="L399">
            <v>0</v>
          </cell>
          <cell r="M399">
            <v>0</v>
          </cell>
          <cell r="N399">
            <v>0</v>
          </cell>
          <cell r="O399">
            <v>0</v>
          </cell>
          <cell r="P399">
            <v>0</v>
          </cell>
          <cell r="Q399">
            <v>0</v>
          </cell>
        </row>
        <row r="400">
          <cell r="A400">
            <v>57370</v>
          </cell>
          <cell r="B400" t="str">
            <v>Bonds Expense</v>
          </cell>
          <cell r="E400">
            <v>4619.28</v>
          </cell>
          <cell r="F400">
            <v>6292.28</v>
          </cell>
          <cell r="G400">
            <v>6547.28</v>
          </cell>
          <cell r="H400">
            <v>5761.53</v>
          </cell>
          <cell r="I400">
            <v>5761.53</v>
          </cell>
          <cell r="J400">
            <v>5761.53</v>
          </cell>
          <cell r="K400">
            <v>5761.49</v>
          </cell>
          <cell r="L400">
            <v>5761.53</v>
          </cell>
          <cell r="M400">
            <v>5761.53</v>
          </cell>
          <cell r="N400">
            <v>5761.53</v>
          </cell>
          <cell r="O400">
            <v>6186.53</v>
          </cell>
          <cell r="P400">
            <v>4741.53</v>
          </cell>
          <cell r="Q400">
            <v>68717.569999999992</v>
          </cell>
        </row>
        <row r="401">
          <cell r="A401">
            <v>57900</v>
          </cell>
          <cell r="B401" t="str">
            <v>Capitalized Costs</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v>57998</v>
          </cell>
          <cell r="B402" t="str">
            <v>Allocation Out - District</v>
          </cell>
          <cell r="E402">
            <v>0</v>
          </cell>
          <cell r="F402">
            <v>0</v>
          </cell>
          <cell r="G402">
            <v>0</v>
          </cell>
          <cell r="H402">
            <v>0</v>
          </cell>
          <cell r="I402">
            <v>0</v>
          </cell>
          <cell r="J402">
            <v>0</v>
          </cell>
          <cell r="K402">
            <v>0</v>
          </cell>
          <cell r="L402">
            <v>0</v>
          </cell>
          <cell r="M402">
            <v>0</v>
          </cell>
          <cell r="N402">
            <v>0</v>
          </cell>
          <cell r="O402">
            <v>0</v>
          </cell>
          <cell r="P402">
            <v>0</v>
          </cell>
          <cell r="Q402">
            <v>0</v>
          </cell>
        </row>
        <row r="403">
          <cell r="A403">
            <v>57999</v>
          </cell>
          <cell r="B403" t="str">
            <v>Allocation Out - Out District</v>
          </cell>
          <cell r="E403">
            <v>0</v>
          </cell>
          <cell r="F403">
            <v>0</v>
          </cell>
          <cell r="G403">
            <v>0</v>
          </cell>
          <cell r="H403">
            <v>0</v>
          </cell>
          <cell r="I403">
            <v>0</v>
          </cell>
          <cell r="J403">
            <v>0</v>
          </cell>
          <cell r="K403">
            <v>0</v>
          </cell>
          <cell r="L403">
            <v>0</v>
          </cell>
          <cell r="M403">
            <v>0</v>
          </cell>
          <cell r="N403">
            <v>0</v>
          </cell>
          <cell r="O403">
            <v>0</v>
          </cell>
          <cell r="P403">
            <v>0</v>
          </cell>
          <cell r="Q403">
            <v>0</v>
          </cell>
        </row>
        <row r="404">
          <cell r="A404">
            <v>70265</v>
          </cell>
          <cell r="B404" t="str">
            <v>Amortization of Long Term Contracts</v>
          </cell>
          <cell r="E404">
            <v>0</v>
          </cell>
          <cell r="F404">
            <v>0</v>
          </cell>
          <cell r="G404">
            <v>0</v>
          </cell>
          <cell r="H404">
            <v>0</v>
          </cell>
          <cell r="I404">
            <v>0</v>
          </cell>
          <cell r="J404">
            <v>0</v>
          </cell>
          <cell r="K404">
            <v>0</v>
          </cell>
          <cell r="L404">
            <v>0</v>
          </cell>
          <cell r="M404">
            <v>0</v>
          </cell>
          <cell r="N404">
            <v>0</v>
          </cell>
          <cell r="O404">
            <v>0</v>
          </cell>
          <cell r="P404">
            <v>0</v>
          </cell>
          <cell r="Q404">
            <v>0</v>
          </cell>
        </row>
        <row r="405">
          <cell r="A405">
            <v>80050</v>
          </cell>
          <cell r="B405" t="str">
            <v>Interest Expense Closure/Post Closure</v>
          </cell>
          <cell r="E405">
            <v>0</v>
          </cell>
          <cell r="F405">
            <v>0</v>
          </cell>
          <cell r="G405">
            <v>0</v>
          </cell>
          <cell r="H405">
            <v>0</v>
          </cell>
          <cell r="I405">
            <v>0</v>
          </cell>
          <cell r="J405">
            <v>0</v>
          </cell>
          <cell r="K405">
            <v>0</v>
          </cell>
          <cell r="L405">
            <v>0</v>
          </cell>
          <cell r="M405">
            <v>0</v>
          </cell>
          <cell r="N405">
            <v>0</v>
          </cell>
          <cell r="O405">
            <v>0</v>
          </cell>
          <cell r="P405">
            <v>0</v>
          </cell>
          <cell r="Q405">
            <v>0</v>
          </cell>
        </row>
        <row r="406">
          <cell r="A406" t="str">
            <v>Total Other Operating Expense</v>
          </cell>
          <cell r="E406">
            <v>38677.819999999992</v>
          </cell>
          <cell r="F406">
            <v>38460.620000000003</v>
          </cell>
          <cell r="G406">
            <v>37434.229999999996</v>
          </cell>
          <cell r="H406">
            <v>37300.97</v>
          </cell>
          <cell r="I406">
            <v>32715.37</v>
          </cell>
          <cell r="J406">
            <v>54072.55</v>
          </cell>
          <cell r="K406">
            <v>75968.88</v>
          </cell>
          <cell r="L406">
            <v>41574.9</v>
          </cell>
          <cell r="M406">
            <v>36457.9</v>
          </cell>
          <cell r="N406">
            <v>39226.43</v>
          </cell>
          <cell r="O406">
            <v>41817.089999999997</v>
          </cell>
          <cell r="P406">
            <v>29775.78</v>
          </cell>
          <cell r="Q406">
            <v>503482.54000000004</v>
          </cell>
        </row>
        <row r="408">
          <cell r="A408" t="str">
            <v>Insurance</v>
          </cell>
        </row>
        <row r="409">
          <cell r="A409">
            <v>59148</v>
          </cell>
          <cell r="B409" t="str">
            <v>Allocation In - District</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v>59149</v>
          </cell>
          <cell r="B410" t="str">
            <v>Allocation In - Out District</v>
          </cell>
          <cell r="E410">
            <v>0</v>
          </cell>
          <cell r="F410">
            <v>0</v>
          </cell>
          <cell r="G410">
            <v>0</v>
          </cell>
          <cell r="H410">
            <v>0</v>
          </cell>
          <cell r="I410">
            <v>0</v>
          </cell>
          <cell r="J410">
            <v>0</v>
          </cell>
          <cell r="K410">
            <v>0</v>
          </cell>
          <cell r="L410">
            <v>0</v>
          </cell>
          <cell r="M410">
            <v>0</v>
          </cell>
          <cell r="N410">
            <v>0</v>
          </cell>
          <cell r="O410">
            <v>0</v>
          </cell>
          <cell r="P410">
            <v>0</v>
          </cell>
          <cell r="Q410">
            <v>0</v>
          </cell>
        </row>
        <row r="411">
          <cell r="A411">
            <v>59271</v>
          </cell>
          <cell r="B411" t="str">
            <v>Property and Liability Insurance</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v>59326</v>
          </cell>
          <cell r="B412" t="str">
            <v>Deductible - Current</v>
          </cell>
          <cell r="E412">
            <v>0</v>
          </cell>
          <cell r="F412">
            <v>0</v>
          </cell>
          <cell r="G412">
            <v>0</v>
          </cell>
          <cell r="H412">
            <v>0</v>
          </cell>
          <cell r="I412">
            <v>0</v>
          </cell>
          <cell r="J412">
            <v>0</v>
          </cell>
          <cell r="K412">
            <v>0</v>
          </cell>
          <cell r="L412">
            <v>0</v>
          </cell>
          <cell r="M412">
            <v>0</v>
          </cell>
          <cell r="N412">
            <v>0</v>
          </cell>
          <cell r="O412">
            <v>0</v>
          </cell>
          <cell r="P412">
            <v>0</v>
          </cell>
          <cell r="Q412">
            <v>0</v>
          </cell>
        </row>
        <row r="413">
          <cell r="A413">
            <v>59327</v>
          </cell>
          <cell r="B413" t="str">
            <v>Deductible - Damage</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v>59328</v>
          </cell>
          <cell r="B414" t="str">
            <v>Claim Recoveries</v>
          </cell>
          <cell r="E414">
            <v>0</v>
          </cell>
          <cell r="F414">
            <v>0</v>
          </cell>
          <cell r="G414">
            <v>0</v>
          </cell>
          <cell r="H414">
            <v>0</v>
          </cell>
          <cell r="I414">
            <v>0</v>
          </cell>
          <cell r="J414">
            <v>0</v>
          </cell>
          <cell r="K414">
            <v>0</v>
          </cell>
          <cell r="L414">
            <v>0</v>
          </cell>
          <cell r="M414">
            <v>0</v>
          </cell>
          <cell r="N414">
            <v>0</v>
          </cell>
          <cell r="O414">
            <v>0</v>
          </cell>
          <cell r="P414">
            <v>0</v>
          </cell>
          <cell r="Q414">
            <v>0</v>
          </cell>
        </row>
        <row r="415">
          <cell r="A415">
            <v>59330</v>
          </cell>
          <cell r="B415" t="str">
            <v>Deduct - Prior Year</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v>59331</v>
          </cell>
          <cell r="B416" t="str">
            <v>RM Fixed Costs</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v>59340</v>
          </cell>
          <cell r="B417" t="str">
            <v>Self Insurance Premium</v>
          </cell>
          <cell r="E417">
            <v>10091.379999999999</v>
          </cell>
          <cell r="F417">
            <v>10091.379999999999</v>
          </cell>
          <cell r="G417">
            <v>10091.379999999999</v>
          </cell>
          <cell r="H417">
            <v>10091.379999999999</v>
          </cell>
          <cell r="I417">
            <v>10091.379999999999</v>
          </cell>
          <cell r="J417">
            <v>10091.379999999999</v>
          </cell>
          <cell r="K417">
            <v>10091.379999999999</v>
          </cell>
          <cell r="L417">
            <v>10091.379999999999</v>
          </cell>
          <cell r="M417">
            <v>10091.379999999999</v>
          </cell>
          <cell r="N417">
            <v>10091.379999999999</v>
          </cell>
          <cell r="O417">
            <v>10091.379999999999</v>
          </cell>
          <cell r="P417">
            <v>10091.379999999999</v>
          </cell>
          <cell r="Q417">
            <v>121096.56000000001</v>
          </cell>
        </row>
        <row r="418">
          <cell r="A418">
            <v>59341</v>
          </cell>
          <cell r="B418" t="str">
            <v>A&amp;L - Current Year Claims</v>
          </cell>
          <cell r="E418">
            <v>-6142.07</v>
          </cell>
          <cell r="F418">
            <v>-2400</v>
          </cell>
          <cell r="G418">
            <v>400</v>
          </cell>
          <cell r="H418">
            <v>9853.9</v>
          </cell>
          <cell r="I418">
            <v>0</v>
          </cell>
          <cell r="J418">
            <v>0</v>
          </cell>
          <cell r="K418">
            <v>0</v>
          </cell>
          <cell r="L418">
            <v>4250</v>
          </cell>
          <cell r="M418">
            <v>8924.2000000000007</v>
          </cell>
          <cell r="N418">
            <v>751</v>
          </cell>
          <cell r="O418">
            <v>2071.27</v>
          </cell>
          <cell r="P418">
            <v>24430</v>
          </cell>
          <cell r="Q418">
            <v>42138.3</v>
          </cell>
        </row>
        <row r="419">
          <cell r="A419">
            <v>59342</v>
          </cell>
          <cell r="B419" t="str">
            <v>A&amp;L - Prior Year Claims</v>
          </cell>
          <cell r="E419">
            <v>0</v>
          </cell>
          <cell r="F419">
            <v>0</v>
          </cell>
          <cell r="G419">
            <v>0</v>
          </cell>
          <cell r="H419">
            <v>-10802.07</v>
          </cell>
          <cell r="I419">
            <v>-2004.25</v>
          </cell>
          <cell r="J419">
            <v>1249.05</v>
          </cell>
          <cell r="K419">
            <v>6999.75</v>
          </cell>
          <cell r="L419">
            <v>0</v>
          </cell>
          <cell r="M419">
            <v>0</v>
          </cell>
          <cell r="N419">
            <v>2499.5</v>
          </cell>
          <cell r="O419">
            <v>0</v>
          </cell>
          <cell r="P419">
            <v>0</v>
          </cell>
          <cell r="Q419">
            <v>-2058.0200000000004</v>
          </cell>
        </row>
        <row r="420">
          <cell r="A420">
            <v>59343</v>
          </cell>
          <cell r="B420" t="str">
            <v>WC - Current Year Claims</v>
          </cell>
          <cell r="E420">
            <v>7290.88</v>
          </cell>
          <cell r="F420">
            <v>-17465.98</v>
          </cell>
          <cell r="G420">
            <v>13819.28</v>
          </cell>
          <cell r="H420">
            <v>8553.6</v>
          </cell>
          <cell r="I420">
            <v>5696</v>
          </cell>
          <cell r="J420">
            <v>3275.7</v>
          </cell>
          <cell r="K420">
            <v>6448.16</v>
          </cell>
          <cell r="L420">
            <v>2722</v>
          </cell>
          <cell r="M420">
            <v>820</v>
          </cell>
          <cell r="N420">
            <v>-18388.02</v>
          </cell>
          <cell r="O420">
            <v>-1818.92</v>
          </cell>
          <cell r="P420">
            <v>2266.29</v>
          </cell>
          <cell r="Q420">
            <v>13218.990000000002</v>
          </cell>
        </row>
        <row r="421">
          <cell r="A421">
            <v>59344</v>
          </cell>
          <cell r="B421" t="str">
            <v>WC - Prior Year Claims</v>
          </cell>
          <cell r="E421">
            <v>0</v>
          </cell>
          <cell r="F421">
            <v>0</v>
          </cell>
          <cell r="G421">
            <v>0</v>
          </cell>
          <cell r="H421">
            <v>-9078.02</v>
          </cell>
          <cell r="I421">
            <v>16579.04</v>
          </cell>
          <cell r="J421">
            <v>98644.06</v>
          </cell>
          <cell r="K421">
            <v>-15344.09</v>
          </cell>
          <cell r="L421">
            <v>-28729.19</v>
          </cell>
          <cell r="M421">
            <v>17918.650000000001</v>
          </cell>
          <cell r="N421">
            <v>-103.64</v>
          </cell>
          <cell r="O421">
            <v>1197.08</v>
          </cell>
          <cell r="P421">
            <v>-19684.740000000002</v>
          </cell>
          <cell r="Q421">
            <v>61399.150000000009</v>
          </cell>
        </row>
        <row r="422">
          <cell r="A422">
            <v>59350</v>
          </cell>
          <cell r="B422" t="str">
            <v>Self Isurance IBNR Estimates</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v>59400</v>
          </cell>
          <cell r="B423" t="str">
            <v>Damages paid by District</v>
          </cell>
          <cell r="E423">
            <v>5142.99</v>
          </cell>
          <cell r="F423">
            <v>1000</v>
          </cell>
          <cell r="G423">
            <v>2757.56</v>
          </cell>
          <cell r="H423">
            <v>0</v>
          </cell>
          <cell r="I423">
            <v>1701.74</v>
          </cell>
          <cell r="J423">
            <v>6490.95</v>
          </cell>
          <cell r="K423">
            <v>104.97</v>
          </cell>
          <cell r="L423">
            <v>48.7</v>
          </cell>
          <cell r="M423">
            <v>0</v>
          </cell>
          <cell r="N423">
            <v>11054.22</v>
          </cell>
          <cell r="O423">
            <v>655.83</v>
          </cell>
          <cell r="P423">
            <v>11383.6</v>
          </cell>
          <cell r="Q423">
            <v>40340.559999999998</v>
          </cell>
        </row>
        <row r="424">
          <cell r="A424">
            <v>59401</v>
          </cell>
          <cell r="B424" t="str">
            <v>Insurance claim repairs</v>
          </cell>
          <cell r="E424">
            <v>0</v>
          </cell>
          <cell r="F424">
            <v>0</v>
          </cell>
          <cell r="G424">
            <v>0</v>
          </cell>
          <cell r="H424">
            <v>0</v>
          </cell>
          <cell r="I424">
            <v>0</v>
          </cell>
          <cell r="J424">
            <v>0</v>
          </cell>
          <cell r="K424">
            <v>0</v>
          </cell>
          <cell r="L424">
            <v>0</v>
          </cell>
          <cell r="M424">
            <v>0</v>
          </cell>
          <cell r="N424">
            <v>10000</v>
          </cell>
          <cell r="O424">
            <v>31.43</v>
          </cell>
          <cell r="P424">
            <v>-10904.79</v>
          </cell>
          <cell r="Q424">
            <v>-873.36000000000058</v>
          </cell>
        </row>
        <row r="425">
          <cell r="A425">
            <v>59500</v>
          </cell>
          <cell r="B425" t="str">
            <v>Workers Comp Prem</v>
          </cell>
          <cell r="E425">
            <v>4000</v>
          </cell>
          <cell r="F425">
            <v>2000</v>
          </cell>
          <cell r="G425">
            <v>2000</v>
          </cell>
          <cell r="H425">
            <v>2000</v>
          </cell>
          <cell r="I425">
            <v>1000</v>
          </cell>
          <cell r="J425">
            <v>2000</v>
          </cell>
          <cell r="K425">
            <v>2000</v>
          </cell>
          <cell r="L425">
            <v>2000</v>
          </cell>
          <cell r="M425">
            <v>3000</v>
          </cell>
          <cell r="N425">
            <v>3000</v>
          </cell>
          <cell r="O425">
            <v>3000</v>
          </cell>
          <cell r="P425">
            <v>0</v>
          </cell>
          <cell r="Q425">
            <v>26000</v>
          </cell>
        </row>
        <row r="426">
          <cell r="A426">
            <v>59998</v>
          </cell>
          <cell r="B426" t="str">
            <v>Allocation Out - District</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v>59999</v>
          </cell>
          <cell r="B427" t="str">
            <v>Allocation Out - Out District</v>
          </cell>
          <cell r="E427">
            <v>0</v>
          </cell>
          <cell r="F427">
            <v>0</v>
          </cell>
          <cell r="G427">
            <v>0</v>
          </cell>
          <cell r="H427">
            <v>0</v>
          </cell>
          <cell r="I427">
            <v>0</v>
          </cell>
          <cell r="J427">
            <v>0</v>
          </cell>
          <cell r="K427">
            <v>0</v>
          </cell>
          <cell r="L427">
            <v>0</v>
          </cell>
          <cell r="M427">
            <v>0</v>
          </cell>
          <cell r="N427">
            <v>0</v>
          </cell>
          <cell r="O427">
            <v>0</v>
          </cell>
          <cell r="P427">
            <v>0</v>
          </cell>
          <cell r="Q427">
            <v>0</v>
          </cell>
        </row>
        <row r="428">
          <cell r="A428" t="str">
            <v>Total Insurance</v>
          </cell>
          <cell r="E428">
            <v>20383.18</v>
          </cell>
          <cell r="F428">
            <v>-6774.6</v>
          </cell>
          <cell r="G428">
            <v>29068.22</v>
          </cell>
          <cell r="H428">
            <v>10618.789999999997</v>
          </cell>
          <cell r="I428">
            <v>33063.910000000003</v>
          </cell>
          <cell r="J428">
            <v>121751.14</v>
          </cell>
          <cell r="K428">
            <v>10300.169999999996</v>
          </cell>
          <cell r="L428">
            <v>-9617.11</v>
          </cell>
          <cell r="M428">
            <v>40754.230000000003</v>
          </cell>
          <cell r="N428">
            <v>18904.439999999999</v>
          </cell>
          <cell r="O428">
            <v>15228.07</v>
          </cell>
          <cell r="P428">
            <v>17581.739999999998</v>
          </cell>
          <cell r="Q428">
            <v>301262.18000000005</v>
          </cell>
        </row>
        <row r="430">
          <cell r="A430" t="str">
            <v>Disposal of Assets and Operations</v>
          </cell>
        </row>
        <row r="431">
          <cell r="A431">
            <v>72000</v>
          </cell>
          <cell r="B431" t="str">
            <v>Gain/Loss on Disposal of Operations</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v>91010</v>
          </cell>
          <cell r="B432" t="str">
            <v>Gain/Loss on Sale of Asset</v>
          </cell>
          <cell r="E432">
            <v>0</v>
          </cell>
          <cell r="F432">
            <v>0</v>
          </cell>
          <cell r="G432">
            <v>0</v>
          </cell>
          <cell r="H432">
            <v>1319.45</v>
          </cell>
          <cell r="I432">
            <v>0</v>
          </cell>
          <cell r="J432">
            <v>24949.35</v>
          </cell>
          <cell r="K432">
            <v>-33354.22</v>
          </cell>
          <cell r="L432">
            <v>-3080</v>
          </cell>
          <cell r="M432">
            <v>0</v>
          </cell>
          <cell r="N432">
            <v>0</v>
          </cell>
          <cell r="O432">
            <v>0</v>
          </cell>
          <cell r="P432">
            <v>0</v>
          </cell>
          <cell r="Q432">
            <v>-10165.420000000002</v>
          </cell>
        </row>
        <row r="433">
          <cell r="A433" t="str">
            <v>Total Disposal of Assets and Operations</v>
          </cell>
          <cell r="E433">
            <v>0</v>
          </cell>
          <cell r="F433">
            <v>0</v>
          </cell>
          <cell r="G433">
            <v>0</v>
          </cell>
          <cell r="H433">
            <v>1319.45</v>
          </cell>
          <cell r="I433">
            <v>0</v>
          </cell>
          <cell r="J433">
            <v>24949.35</v>
          </cell>
          <cell r="K433">
            <v>-33354.22</v>
          </cell>
          <cell r="L433">
            <v>-3080</v>
          </cell>
          <cell r="M433">
            <v>0</v>
          </cell>
          <cell r="N433">
            <v>0</v>
          </cell>
          <cell r="O433">
            <v>0</v>
          </cell>
          <cell r="P433">
            <v>0</v>
          </cell>
          <cell r="Q433">
            <v>-10165.420000000002</v>
          </cell>
        </row>
        <row r="435">
          <cell r="A435" t="str">
            <v>Total Operating Costs</v>
          </cell>
          <cell r="E435">
            <v>691108.55</v>
          </cell>
          <cell r="F435">
            <v>591691.37000000011</v>
          </cell>
          <cell r="G435">
            <v>679572.21999999986</v>
          </cell>
          <cell r="H435">
            <v>649398.42000000004</v>
          </cell>
          <cell r="I435">
            <v>715012.80999999994</v>
          </cell>
          <cell r="J435">
            <v>823534.92999999993</v>
          </cell>
          <cell r="K435">
            <v>725146.60999999987</v>
          </cell>
          <cell r="L435">
            <v>671623.93</v>
          </cell>
          <cell r="M435">
            <v>721331.92999999993</v>
          </cell>
          <cell r="N435">
            <v>675314.14999999991</v>
          </cell>
          <cell r="O435">
            <v>713873.94</v>
          </cell>
          <cell r="P435">
            <v>696947.79999999981</v>
          </cell>
          <cell r="Q435">
            <v>8354556.6600000001</v>
          </cell>
        </row>
        <row r="437">
          <cell r="A437" t="str">
            <v>Gross Profit</v>
          </cell>
          <cell r="E437">
            <v>958596.29999999981</v>
          </cell>
          <cell r="F437">
            <v>1078399.0499999998</v>
          </cell>
          <cell r="G437">
            <v>980681.78999999992</v>
          </cell>
          <cell r="H437">
            <v>1060013.06</v>
          </cell>
          <cell r="I437">
            <v>998324.67999999935</v>
          </cell>
          <cell r="J437">
            <v>884006.14000000036</v>
          </cell>
          <cell r="K437">
            <v>999176.6099999994</v>
          </cell>
          <cell r="L437">
            <v>1029352.5499999995</v>
          </cell>
          <cell r="M437">
            <v>1005221.45</v>
          </cell>
          <cell r="N437">
            <v>1062170.0200000005</v>
          </cell>
          <cell r="O437">
            <v>1010676.3699999996</v>
          </cell>
          <cell r="P437">
            <v>1011952.0500000003</v>
          </cell>
          <cell r="Q437">
            <v>12078570.07</v>
          </cell>
        </row>
        <row r="439">
          <cell r="A439" t="str">
            <v>SG&amp;A</v>
          </cell>
        </row>
        <row r="440">
          <cell r="A440" t="str">
            <v>Sales</v>
          </cell>
        </row>
        <row r="441">
          <cell r="A441">
            <v>60010</v>
          </cell>
          <cell r="B441" t="str">
            <v>Salaries</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v>60020</v>
          </cell>
          <cell r="B442" t="str">
            <v>Wages Regular</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v>60025</v>
          </cell>
          <cell r="B443" t="str">
            <v>Wages O.T.</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v>60030</v>
          </cell>
          <cell r="B444" t="str">
            <v>Bonuses and Commissions</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v>60035</v>
          </cell>
          <cell r="B445" t="str">
            <v>Safety Bonuses</v>
          </cell>
          <cell r="E445">
            <v>0</v>
          </cell>
          <cell r="F445">
            <v>0</v>
          </cell>
          <cell r="G445">
            <v>0</v>
          </cell>
          <cell r="H445">
            <v>0</v>
          </cell>
          <cell r="I445">
            <v>0</v>
          </cell>
          <cell r="J445">
            <v>0</v>
          </cell>
          <cell r="K445">
            <v>0</v>
          </cell>
          <cell r="L445">
            <v>0</v>
          </cell>
          <cell r="M445">
            <v>0</v>
          </cell>
          <cell r="N445">
            <v>0</v>
          </cell>
          <cell r="O445">
            <v>0</v>
          </cell>
          <cell r="P445">
            <v>0</v>
          </cell>
          <cell r="Q445">
            <v>0</v>
          </cell>
        </row>
        <row r="446">
          <cell r="A446">
            <v>60037</v>
          </cell>
          <cell r="B446" t="str">
            <v>Termination Pay</v>
          </cell>
          <cell r="E446">
            <v>0</v>
          </cell>
          <cell r="F446">
            <v>0</v>
          </cell>
          <cell r="G446">
            <v>0</v>
          </cell>
          <cell r="H446">
            <v>0</v>
          </cell>
          <cell r="I446">
            <v>0</v>
          </cell>
          <cell r="J446">
            <v>0</v>
          </cell>
          <cell r="K446">
            <v>0</v>
          </cell>
          <cell r="L446">
            <v>0</v>
          </cell>
          <cell r="M446">
            <v>0</v>
          </cell>
          <cell r="N446">
            <v>0</v>
          </cell>
          <cell r="O446">
            <v>0</v>
          </cell>
          <cell r="P446">
            <v>0</v>
          </cell>
          <cell r="Q446">
            <v>0</v>
          </cell>
        </row>
        <row r="447">
          <cell r="A447">
            <v>60045</v>
          </cell>
          <cell r="B447" t="str">
            <v>Contract Labor</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v>60050</v>
          </cell>
          <cell r="B448" t="str">
            <v>Payroll Taxes</v>
          </cell>
          <cell r="E448">
            <v>0</v>
          </cell>
          <cell r="F448">
            <v>0</v>
          </cell>
          <cell r="G448">
            <v>0</v>
          </cell>
          <cell r="H448">
            <v>0</v>
          </cell>
          <cell r="I448">
            <v>0</v>
          </cell>
          <cell r="J448">
            <v>0</v>
          </cell>
          <cell r="K448">
            <v>0</v>
          </cell>
          <cell r="L448">
            <v>0</v>
          </cell>
          <cell r="M448">
            <v>0</v>
          </cell>
          <cell r="N448">
            <v>0</v>
          </cell>
          <cell r="O448">
            <v>0</v>
          </cell>
          <cell r="P448">
            <v>0</v>
          </cell>
          <cell r="Q448">
            <v>0</v>
          </cell>
        </row>
        <row r="449">
          <cell r="A449">
            <v>60060</v>
          </cell>
          <cell r="B449" t="str">
            <v>Group Insurance</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v>60065</v>
          </cell>
          <cell r="B450" t="str">
            <v>Vacation Pay</v>
          </cell>
          <cell r="E450">
            <v>0</v>
          </cell>
          <cell r="F450">
            <v>0</v>
          </cell>
          <cell r="G450">
            <v>0</v>
          </cell>
          <cell r="H450">
            <v>0</v>
          </cell>
          <cell r="I450">
            <v>0</v>
          </cell>
          <cell r="J450">
            <v>0</v>
          </cell>
          <cell r="K450">
            <v>0</v>
          </cell>
          <cell r="L450">
            <v>8.23</v>
          </cell>
          <cell r="M450">
            <v>-8.23</v>
          </cell>
          <cell r="N450">
            <v>0</v>
          </cell>
          <cell r="O450">
            <v>0</v>
          </cell>
          <cell r="P450">
            <v>0</v>
          </cell>
          <cell r="Q450">
            <v>0</v>
          </cell>
        </row>
        <row r="451">
          <cell r="A451">
            <v>60070</v>
          </cell>
          <cell r="B451" t="str">
            <v>Sick Pay</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v>60086</v>
          </cell>
          <cell r="B452" t="str">
            <v>Safety and Training</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v>60095</v>
          </cell>
          <cell r="B453" t="str">
            <v>Empl &amp; Commun Activ</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v>60105</v>
          </cell>
          <cell r="B454" t="str">
            <v>Employee Relocation</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v>60115</v>
          </cell>
          <cell r="B455" t="str">
            <v>School Tuition</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v>60116</v>
          </cell>
          <cell r="B456" t="str">
            <v>Pension and Profit Sharing</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A457">
            <v>60117</v>
          </cell>
          <cell r="B457" t="str">
            <v>Union Pension</v>
          </cell>
          <cell r="E457">
            <v>0</v>
          </cell>
          <cell r="F457">
            <v>0</v>
          </cell>
          <cell r="G457">
            <v>0</v>
          </cell>
          <cell r="H457">
            <v>0</v>
          </cell>
          <cell r="I457">
            <v>0</v>
          </cell>
          <cell r="J457">
            <v>0</v>
          </cell>
          <cell r="K457">
            <v>0</v>
          </cell>
          <cell r="L457">
            <v>0</v>
          </cell>
          <cell r="M457">
            <v>0</v>
          </cell>
          <cell r="N457">
            <v>0</v>
          </cell>
          <cell r="O457">
            <v>0</v>
          </cell>
          <cell r="P457">
            <v>0</v>
          </cell>
          <cell r="Q457">
            <v>0</v>
          </cell>
        </row>
        <row r="458">
          <cell r="A458">
            <v>60148</v>
          </cell>
          <cell r="B458" t="str">
            <v>Allocated Exp In - District</v>
          </cell>
          <cell r="E458">
            <v>2300</v>
          </cell>
          <cell r="F458">
            <v>2448</v>
          </cell>
          <cell r="G458">
            <v>2391</v>
          </cell>
          <cell r="H458">
            <v>2584.5</v>
          </cell>
          <cell r="I458">
            <v>2565</v>
          </cell>
          <cell r="J458">
            <v>3535</v>
          </cell>
          <cell r="K458">
            <v>2899</v>
          </cell>
          <cell r="L458">
            <v>2443</v>
          </cell>
          <cell r="M458">
            <v>1800</v>
          </cell>
          <cell r="N458">
            <v>2326</v>
          </cell>
          <cell r="O458">
            <v>2339</v>
          </cell>
          <cell r="P458">
            <v>0</v>
          </cell>
          <cell r="Q458">
            <v>27630.5</v>
          </cell>
        </row>
        <row r="459">
          <cell r="A459">
            <v>60149</v>
          </cell>
          <cell r="B459" t="str">
            <v>Allocated Exp In Out - District</v>
          </cell>
          <cell r="E459">
            <v>0</v>
          </cell>
          <cell r="F459">
            <v>0</v>
          </cell>
          <cell r="G459">
            <v>0</v>
          </cell>
          <cell r="H459">
            <v>0</v>
          </cell>
          <cell r="I459">
            <v>0</v>
          </cell>
          <cell r="J459">
            <v>0</v>
          </cell>
          <cell r="K459">
            <v>0</v>
          </cell>
          <cell r="L459">
            <v>0</v>
          </cell>
          <cell r="M459">
            <v>0</v>
          </cell>
          <cell r="N459">
            <v>0</v>
          </cell>
          <cell r="O459">
            <v>0</v>
          </cell>
          <cell r="P459">
            <v>0</v>
          </cell>
          <cell r="Q459">
            <v>0</v>
          </cell>
        </row>
        <row r="460">
          <cell r="A460">
            <v>60165</v>
          </cell>
          <cell r="B460" t="str">
            <v>Communications</v>
          </cell>
          <cell r="E460">
            <v>0</v>
          </cell>
          <cell r="F460">
            <v>0</v>
          </cell>
          <cell r="G460">
            <v>0</v>
          </cell>
          <cell r="H460">
            <v>0</v>
          </cell>
          <cell r="I460">
            <v>0</v>
          </cell>
          <cell r="J460">
            <v>0</v>
          </cell>
          <cell r="K460">
            <v>0</v>
          </cell>
          <cell r="L460">
            <v>0</v>
          </cell>
          <cell r="M460">
            <v>0</v>
          </cell>
          <cell r="N460">
            <v>0</v>
          </cell>
          <cell r="O460">
            <v>0</v>
          </cell>
          <cell r="P460">
            <v>0</v>
          </cell>
          <cell r="Q460">
            <v>0</v>
          </cell>
        </row>
        <row r="461">
          <cell r="A461">
            <v>60170</v>
          </cell>
          <cell r="B461" t="str">
            <v>Real Estate Rentals</v>
          </cell>
          <cell r="E461">
            <v>0</v>
          </cell>
          <cell r="F461">
            <v>0</v>
          </cell>
          <cell r="G461">
            <v>0</v>
          </cell>
          <cell r="H461">
            <v>0</v>
          </cell>
          <cell r="I461">
            <v>0</v>
          </cell>
          <cell r="J461">
            <v>0</v>
          </cell>
          <cell r="K461">
            <v>0</v>
          </cell>
          <cell r="L461">
            <v>0</v>
          </cell>
          <cell r="M461">
            <v>0</v>
          </cell>
          <cell r="N461">
            <v>0</v>
          </cell>
          <cell r="O461">
            <v>0</v>
          </cell>
          <cell r="P461">
            <v>0</v>
          </cell>
          <cell r="Q461">
            <v>0</v>
          </cell>
        </row>
        <row r="462">
          <cell r="A462">
            <v>60175</v>
          </cell>
          <cell r="B462" t="str">
            <v>Equip/Vehicle Rental</v>
          </cell>
          <cell r="E462">
            <v>0</v>
          </cell>
          <cell r="F462">
            <v>0</v>
          </cell>
          <cell r="G462">
            <v>0</v>
          </cell>
          <cell r="H462">
            <v>0</v>
          </cell>
          <cell r="I462">
            <v>0</v>
          </cell>
          <cell r="J462">
            <v>0</v>
          </cell>
          <cell r="K462">
            <v>0</v>
          </cell>
          <cell r="L462">
            <v>0</v>
          </cell>
          <cell r="M462">
            <v>0</v>
          </cell>
          <cell r="N462">
            <v>0</v>
          </cell>
          <cell r="O462">
            <v>0</v>
          </cell>
          <cell r="P462">
            <v>0</v>
          </cell>
          <cell r="Q462">
            <v>0</v>
          </cell>
        </row>
        <row r="463">
          <cell r="A463">
            <v>60185</v>
          </cell>
          <cell r="B463" t="str">
            <v>Postage</v>
          </cell>
          <cell r="E463">
            <v>198.54</v>
          </cell>
          <cell r="F463">
            <v>0</v>
          </cell>
          <cell r="G463">
            <v>0</v>
          </cell>
          <cell r="H463">
            <v>0</v>
          </cell>
          <cell r="I463">
            <v>0</v>
          </cell>
          <cell r="J463">
            <v>0</v>
          </cell>
          <cell r="K463">
            <v>0</v>
          </cell>
          <cell r="L463">
            <v>0</v>
          </cell>
          <cell r="M463">
            <v>0</v>
          </cell>
          <cell r="N463">
            <v>0</v>
          </cell>
          <cell r="O463">
            <v>0</v>
          </cell>
          <cell r="P463">
            <v>0</v>
          </cell>
          <cell r="Q463">
            <v>198.54</v>
          </cell>
        </row>
        <row r="464">
          <cell r="A464">
            <v>60195</v>
          </cell>
          <cell r="B464" t="str">
            <v>Dues and Subscriptions</v>
          </cell>
          <cell r="E464">
            <v>0</v>
          </cell>
          <cell r="F464">
            <v>0</v>
          </cell>
          <cell r="G464">
            <v>0</v>
          </cell>
          <cell r="H464">
            <v>0</v>
          </cell>
          <cell r="I464">
            <v>0</v>
          </cell>
          <cell r="J464">
            <v>0</v>
          </cell>
          <cell r="K464">
            <v>0</v>
          </cell>
          <cell r="L464">
            <v>0</v>
          </cell>
          <cell r="M464">
            <v>0</v>
          </cell>
          <cell r="N464">
            <v>0</v>
          </cell>
          <cell r="O464">
            <v>0</v>
          </cell>
          <cell r="P464">
            <v>0</v>
          </cell>
          <cell r="Q464">
            <v>0</v>
          </cell>
        </row>
        <row r="465">
          <cell r="A465">
            <v>60196</v>
          </cell>
          <cell r="B465" t="str">
            <v>Club Dues</v>
          </cell>
          <cell r="E465">
            <v>0</v>
          </cell>
          <cell r="F465">
            <v>0</v>
          </cell>
          <cell r="G465">
            <v>0</v>
          </cell>
          <cell r="H465">
            <v>0</v>
          </cell>
          <cell r="I465">
            <v>0</v>
          </cell>
          <cell r="J465">
            <v>0</v>
          </cell>
          <cell r="K465">
            <v>0</v>
          </cell>
          <cell r="L465">
            <v>0</v>
          </cell>
          <cell r="M465">
            <v>0</v>
          </cell>
          <cell r="N465">
            <v>0</v>
          </cell>
          <cell r="O465">
            <v>0</v>
          </cell>
          <cell r="P465">
            <v>0</v>
          </cell>
          <cell r="Q465">
            <v>0</v>
          </cell>
        </row>
        <row r="466">
          <cell r="A466">
            <v>60200</v>
          </cell>
          <cell r="B466" t="str">
            <v>Travel</v>
          </cell>
          <cell r="E466">
            <v>0</v>
          </cell>
          <cell r="F466">
            <v>0</v>
          </cell>
          <cell r="G466">
            <v>0</v>
          </cell>
          <cell r="H466">
            <v>0</v>
          </cell>
          <cell r="I466">
            <v>0</v>
          </cell>
          <cell r="J466">
            <v>0</v>
          </cell>
          <cell r="K466">
            <v>0</v>
          </cell>
          <cell r="L466">
            <v>0</v>
          </cell>
          <cell r="M466">
            <v>0</v>
          </cell>
          <cell r="N466">
            <v>0</v>
          </cell>
          <cell r="O466">
            <v>0</v>
          </cell>
          <cell r="P466">
            <v>0</v>
          </cell>
          <cell r="Q466">
            <v>0</v>
          </cell>
        </row>
        <row r="467">
          <cell r="A467">
            <v>60201</v>
          </cell>
          <cell r="B467" t="str">
            <v>Entertainment</v>
          </cell>
          <cell r="E467">
            <v>0</v>
          </cell>
          <cell r="F467">
            <v>0</v>
          </cell>
          <cell r="G467">
            <v>0</v>
          </cell>
          <cell r="H467">
            <v>0</v>
          </cell>
          <cell r="I467">
            <v>0</v>
          </cell>
          <cell r="J467">
            <v>0</v>
          </cell>
          <cell r="K467">
            <v>0</v>
          </cell>
          <cell r="L467">
            <v>0</v>
          </cell>
          <cell r="M467">
            <v>0</v>
          </cell>
          <cell r="N467">
            <v>0</v>
          </cell>
          <cell r="O467">
            <v>0</v>
          </cell>
          <cell r="P467">
            <v>0</v>
          </cell>
          <cell r="Q467">
            <v>0</v>
          </cell>
        </row>
        <row r="468">
          <cell r="A468">
            <v>60205</v>
          </cell>
          <cell r="B468" t="str">
            <v>Travel - Auto</v>
          </cell>
          <cell r="E468">
            <v>0</v>
          </cell>
          <cell r="F468">
            <v>0</v>
          </cell>
          <cell r="G468">
            <v>0</v>
          </cell>
          <cell r="H468">
            <v>0</v>
          </cell>
          <cell r="I468">
            <v>0</v>
          </cell>
          <cell r="J468">
            <v>0</v>
          </cell>
          <cell r="K468">
            <v>58.5</v>
          </cell>
          <cell r="L468">
            <v>177.74</v>
          </cell>
          <cell r="M468">
            <v>-77.739999999999995</v>
          </cell>
          <cell r="N468">
            <v>0</v>
          </cell>
          <cell r="O468">
            <v>75.52</v>
          </cell>
          <cell r="P468">
            <v>23.74</v>
          </cell>
          <cell r="Q468">
            <v>257.76</v>
          </cell>
        </row>
        <row r="469">
          <cell r="A469">
            <v>60210</v>
          </cell>
          <cell r="B469" t="str">
            <v>Office Supplies and Equip</v>
          </cell>
          <cell r="E469">
            <v>0</v>
          </cell>
          <cell r="F469">
            <v>0</v>
          </cell>
          <cell r="G469">
            <v>0</v>
          </cell>
          <cell r="H469">
            <v>0</v>
          </cell>
          <cell r="I469">
            <v>0</v>
          </cell>
          <cell r="J469">
            <v>0</v>
          </cell>
          <cell r="K469">
            <v>0</v>
          </cell>
          <cell r="L469">
            <v>0</v>
          </cell>
          <cell r="M469">
            <v>0</v>
          </cell>
          <cell r="N469">
            <v>0</v>
          </cell>
          <cell r="O469">
            <v>0</v>
          </cell>
          <cell r="P469">
            <v>0</v>
          </cell>
          <cell r="Q469">
            <v>0</v>
          </cell>
        </row>
        <row r="470">
          <cell r="A470">
            <v>60225</v>
          </cell>
          <cell r="B470" t="str">
            <v>Advertising and Promotions</v>
          </cell>
          <cell r="E470">
            <v>12977.33</v>
          </cell>
          <cell r="F470">
            <v>949.64</v>
          </cell>
          <cell r="G470">
            <v>5900.84</v>
          </cell>
          <cell r="H470">
            <v>4161.1099999999997</v>
          </cell>
          <cell r="I470">
            <v>3165.78</v>
          </cell>
          <cell r="J470">
            <v>4520.0600000000004</v>
          </cell>
          <cell r="K470">
            <v>1806.35</v>
          </cell>
          <cell r="L470">
            <v>955.59</v>
          </cell>
          <cell r="M470">
            <v>28827.18</v>
          </cell>
          <cell r="N470">
            <v>25999.119999999999</v>
          </cell>
          <cell r="O470">
            <v>1245.2</v>
          </cell>
          <cell r="P470">
            <v>38523.21</v>
          </cell>
          <cell r="Q470">
            <v>129031.41</v>
          </cell>
        </row>
        <row r="471">
          <cell r="A471">
            <v>60234</v>
          </cell>
          <cell r="B471" t="str">
            <v>O/S Sales Exp</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v>60255</v>
          </cell>
          <cell r="B472" t="str">
            <v>Other Prof Fees</v>
          </cell>
          <cell r="E472">
            <v>0</v>
          </cell>
          <cell r="F472">
            <v>0</v>
          </cell>
          <cell r="G472">
            <v>0</v>
          </cell>
          <cell r="H472">
            <v>0</v>
          </cell>
          <cell r="I472">
            <v>0</v>
          </cell>
          <cell r="J472">
            <v>0</v>
          </cell>
          <cell r="K472">
            <v>0</v>
          </cell>
          <cell r="L472">
            <v>0</v>
          </cell>
          <cell r="M472">
            <v>0</v>
          </cell>
          <cell r="N472">
            <v>0</v>
          </cell>
          <cell r="O472">
            <v>0</v>
          </cell>
          <cell r="P472">
            <v>0</v>
          </cell>
          <cell r="Q472">
            <v>0</v>
          </cell>
        </row>
        <row r="473">
          <cell r="A473">
            <v>60326</v>
          </cell>
          <cell r="B473" t="str">
            <v>Deduct - Current Yr</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A474">
            <v>60327</v>
          </cell>
          <cell r="B474" t="str">
            <v>Deduct - Damage</v>
          </cell>
          <cell r="E474">
            <v>0</v>
          </cell>
          <cell r="F474">
            <v>0</v>
          </cell>
          <cell r="G474">
            <v>0</v>
          </cell>
          <cell r="H474">
            <v>0</v>
          </cell>
          <cell r="I474">
            <v>0</v>
          </cell>
          <cell r="J474">
            <v>0</v>
          </cell>
          <cell r="K474">
            <v>0</v>
          </cell>
          <cell r="L474">
            <v>0</v>
          </cell>
          <cell r="M474">
            <v>0</v>
          </cell>
          <cell r="N474">
            <v>0</v>
          </cell>
          <cell r="O474">
            <v>0</v>
          </cell>
          <cell r="P474">
            <v>0</v>
          </cell>
          <cell r="Q474">
            <v>0</v>
          </cell>
        </row>
        <row r="475">
          <cell r="A475">
            <v>60328</v>
          </cell>
          <cell r="B475" t="str">
            <v>Claim Recoveries</v>
          </cell>
          <cell r="E475">
            <v>0</v>
          </cell>
          <cell r="F475">
            <v>0</v>
          </cell>
          <cell r="G475">
            <v>0</v>
          </cell>
          <cell r="H475">
            <v>0</v>
          </cell>
          <cell r="I475">
            <v>0</v>
          </cell>
          <cell r="J475">
            <v>0</v>
          </cell>
          <cell r="K475">
            <v>0</v>
          </cell>
          <cell r="L475">
            <v>0</v>
          </cell>
          <cell r="M475">
            <v>0</v>
          </cell>
          <cell r="N475">
            <v>0</v>
          </cell>
          <cell r="O475">
            <v>0</v>
          </cell>
          <cell r="P475">
            <v>0</v>
          </cell>
          <cell r="Q475">
            <v>0</v>
          </cell>
        </row>
        <row r="476">
          <cell r="A476">
            <v>60330</v>
          </cell>
          <cell r="B476" t="str">
            <v>Deduct Prior Year</v>
          </cell>
          <cell r="E476">
            <v>0</v>
          </cell>
          <cell r="F476">
            <v>0</v>
          </cell>
          <cell r="G476">
            <v>0</v>
          </cell>
          <cell r="H476">
            <v>0</v>
          </cell>
          <cell r="I476">
            <v>0</v>
          </cell>
          <cell r="J476">
            <v>0</v>
          </cell>
          <cell r="K476">
            <v>0</v>
          </cell>
          <cell r="L476">
            <v>0</v>
          </cell>
          <cell r="M476">
            <v>0</v>
          </cell>
          <cell r="N476">
            <v>0</v>
          </cell>
          <cell r="O476">
            <v>0</v>
          </cell>
          <cell r="P476">
            <v>0</v>
          </cell>
          <cell r="Q476">
            <v>0</v>
          </cell>
        </row>
        <row r="477">
          <cell r="A477">
            <v>60335</v>
          </cell>
          <cell r="B477" t="str">
            <v>Miscellaneous</v>
          </cell>
          <cell r="E477">
            <v>0</v>
          </cell>
          <cell r="F477">
            <v>0</v>
          </cell>
          <cell r="G477">
            <v>0</v>
          </cell>
          <cell r="H477">
            <v>0</v>
          </cell>
          <cell r="I477">
            <v>0</v>
          </cell>
          <cell r="J477">
            <v>0</v>
          </cell>
          <cell r="K477">
            <v>0</v>
          </cell>
          <cell r="L477">
            <v>0</v>
          </cell>
          <cell r="M477">
            <v>0</v>
          </cell>
          <cell r="N477">
            <v>0</v>
          </cell>
          <cell r="O477">
            <v>0</v>
          </cell>
          <cell r="P477">
            <v>0</v>
          </cell>
          <cell r="Q477">
            <v>0</v>
          </cell>
        </row>
        <row r="478">
          <cell r="A478">
            <v>60998</v>
          </cell>
          <cell r="B478" t="str">
            <v>Allocation Out - District</v>
          </cell>
          <cell r="E478">
            <v>0</v>
          </cell>
          <cell r="F478">
            <v>0</v>
          </cell>
          <cell r="G478">
            <v>0</v>
          </cell>
          <cell r="H478">
            <v>0</v>
          </cell>
          <cell r="I478">
            <v>0</v>
          </cell>
          <cell r="J478">
            <v>0</v>
          </cell>
          <cell r="K478">
            <v>0</v>
          </cell>
          <cell r="L478">
            <v>0</v>
          </cell>
          <cell r="M478">
            <v>0</v>
          </cell>
          <cell r="N478">
            <v>0</v>
          </cell>
          <cell r="O478">
            <v>0</v>
          </cell>
          <cell r="P478">
            <v>0</v>
          </cell>
          <cell r="Q478">
            <v>0</v>
          </cell>
        </row>
        <row r="479">
          <cell r="A479">
            <v>60999</v>
          </cell>
          <cell r="B479" t="str">
            <v>Allocation Out - Out District</v>
          </cell>
          <cell r="E479">
            <v>0</v>
          </cell>
          <cell r="F479">
            <v>0</v>
          </cell>
          <cell r="G479">
            <v>0</v>
          </cell>
          <cell r="H479">
            <v>0</v>
          </cell>
          <cell r="I479">
            <v>0</v>
          </cell>
          <cell r="J479">
            <v>0</v>
          </cell>
          <cell r="K479">
            <v>0</v>
          </cell>
          <cell r="L479">
            <v>0</v>
          </cell>
          <cell r="M479">
            <v>0</v>
          </cell>
          <cell r="N479">
            <v>0</v>
          </cell>
          <cell r="O479">
            <v>0</v>
          </cell>
          <cell r="P479">
            <v>0</v>
          </cell>
          <cell r="Q479">
            <v>0</v>
          </cell>
        </row>
        <row r="480">
          <cell r="A480" t="str">
            <v>Total Sales</v>
          </cell>
          <cell r="E480">
            <v>15475.869999999999</v>
          </cell>
          <cell r="F480">
            <v>3397.64</v>
          </cell>
          <cell r="G480">
            <v>8291.84</v>
          </cell>
          <cell r="H480">
            <v>6745.61</v>
          </cell>
          <cell r="I480">
            <v>5730.7800000000007</v>
          </cell>
          <cell r="J480">
            <v>8055.06</v>
          </cell>
          <cell r="K480">
            <v>4763.8500000000004</v>
          </cell>
          <cell r="L480">
            <v>3584.5600000000004</v>
          </cell>
          <cell r="M480">
            <v>30541.21</v>
          </cell>
          <cell r="N480">
            <v>28325.119999999999</v>
          </cell>
          <cell r="O480">
            <v>3659.7200000000003</v>
          </cell>
          <cell r="P480">
            <v>38546.949999999997</v>
          </cell>
          <cell r="Q480">
            <v>157118.21</v>
          </cell>
        </row>
        <row r="482">
          <cell r="A482" t="str">
            <v>G&amp;A</v>
          </cell>
        </row>
        <row r="483">
          <cell r="A483">
            <v>70010</v>
          </cell>
          <cell r="B483" t="str">
            <v>Salaries</v>
          </cell>
          <cell r="E483">
            <v>31950.25</v>
          </cell>
          <cell r="F483">
            <v>29217.37</v>
          </cell>
          <cell r="G483">
            <v>34993.21</v>
          </cell>
          <cell r="H483">
            <v>32805.65</v>
          </cell>
          <cell r="I483">
            <v>33117.839999999997</v>
          </cell>
          <cell r="J483">
            <v>36102.11</v>
          </cell>
          <cell r="K483">
            <v>36862.230000000003</v>
          </cell>
          <cell r="L483">
            <v>32246.880000000001</v>
          </cell>
          <cell r="M483">
            <v>35474.660000000003</v>
          </cell>
          <cell r="N483">
            <v>34757.17</v>
          </cell>
          <cell r="O483">
            <v>34601.15</v>
          </cell>
          <cell r="P483">
            <v>36751.879999999997</v>
          </cell>
          <cell r="Q483">
            <v>408880.39999999997</v>
          </cell>
        </row>
        <row r="484">
          <cell r="A484">
            <v>70015</v>
          </cell>
          <cell r="B484" t="str">
            <v>Deferred Comp Earnings</v>
          </cell>
          <cell r="E484">
            <v>0</v>
          </cell>
          <cell r="F484">
            <v>0</v>
          </cell>
          <cell r="G484">
            <v>0</v>
          </cell>
          <cell r="H484">
            <v>0</v>
          </cell>
          <cell r="I484">
            <v>0</v>
          </cell>
          <cell r="J484">
            <v>0</v>
          </cell>
          <cell r="K484">
            <v>0</v>
          </cell>
          <cell r="L484">
            <v>0</v>
          </cell>
          <cell r="M484">
            <v>0</v>
          </cell>
          <cell r="N484">
            <v>0</v>
          </cell>
          <cell r="O484">
            <v>0</v>
          </cell>
          <cell r="P484">
            <v>0</v>
          </cell>
          <cell r="Q484">
            <v>0</v>
          </cell>
        </row>
        <row r="485">
          <cell r="A485">
            <v>70020</v>
          </cell>
          <cell r="B485" t="str">
            <v>Wages Regular</v>
          </cell>
          <cell r="E485">
            <v>39238.25</v>
          </cell>
          <cell r="F485">
            <v>41055.800000000003</v>
          </cell>
          <cell r="G485">
            <v>43441.67</v>
          </cell>
          <cell r="H485">
            <v>43159.68</v>
          </cell>
          <cell r="I485">
            <v>40707.99</v>
          </cell>
          <cell r="J485">
            <v>44340.75</v>
          </cell>
          <cell r="K485">
            <v>44034.15</v>
          </cell>
          <cell r="L485">
            <v>37123.65</v>
          </cell>
          <cell r="M485">
            <v>40606.129999999997</v>
          </cell>
          <cell r="N485">
            <v>42194.06</v>
          </cell>
          <cell r="O485">
            <v>45471.69</v>
          </cell>
          <cell r="P485">
            <v>48949.11</v>
          </cell>
          <cell r="Q485">
            <v>510322.93</v>
          </cell>
        </row>
        <row r="486">
          <cell r="A486">
            <v>70025</v>
          </cell>
          <cell r="B486" t="str">
            <v>Wages O.T.</v>
          </cell>
          <cell r="E486">
            <v>2096.58</v>
          </cell>
          <cell r="F486">
            <v>2256.92</v>
          </cell>
          <cell r="G486">
            <v>520.88</v>
          </cell>
          <cell r="H486">
            <v>1862.34</v>
          </cell>
          <cell r="I486">
            <v>3126.98</v>
          </cell>
          <cell r="J486">
            <v>1540.45</v>
          </cell>
          <cell r="K486">
            <v>2442.46</v>
          </cell>
          <cell r="L486">
            <v>2985.84</v>
          </cell>
          <cell r="M486">
            <v>1455.97</v>
          </cell>
          <cell r="N486">
            <v>1845.98</v>
          </cell>
          <cell r="O486">
            <v>2373.81</v>
          </cell>
          <cell r="P486">
            <v>1626.79</v>
          </cell>
          <cell r="Q486">
            <v>24135.000000000004</v>
          </cell>
        </row>
        <row r="487">
          <cell r="A487">
            <v>70030</v>
          </cell>
          <cell r="B487" t="str">
            <v>Corp Allocated Bonus</v>
          </cell>
          <cell r="E487">
            <v>0</v>
          </cell>
          <cell r="F487">
            <v>0</v>
          </cell>
          <cell r="G487">
            <v>0</v>
          </cell>
          <cell r="H487">
            <v>0</v>
          </cell>
          <cell r="I487">
            <v>0</v>
          </cell>
          <cell r="J487">
            <v>0</v>
          </cell>
          <cell r="K487">
            <v>0</v>
          </cell>
          <cell r="L487">
            <v>0</v>
          </cell>
          <cell r="M487">
            <v>0</v>
          </cell>
          <cell r="N487">
            <v>0</v>
          </cell>
          <cell r="O487">
            <v>0</v>
          </cell>
          <cell r="P487">
            <v>0</v>
          </cell>
          <cell r="Q487">
            <v>0</v>
          </cell>
        </row>
        <row r="488">
          <cell r="A488">
            <v>70035</v>
          </cell>
          <cell r="B488" t="str">
            <v>Safety Bonuses</v>
          </cell>
          <cell r="E488">
            <v>0</v>
          </cell>
          <cell r="F488">
            <v>0</v>
          </cell>
          <cell r="G488">
            <v>0</v>
          </cell>
          <cell r="H488">
            <v>0</v>
          </cell>
          <cell r="I488">
            <v>0</v>
          </cell>
          <cell r="J488">
            <v>0</v>
          </cell>
          <cell r="K488">
            <v>0</v>
          </cell>
          <cell r="L488">
            <v>0</v>
          </cell>
          <cell r="M488">
            <v>0</v>
          </cell>
          <cell r="N488">
            <v>0</v>
          </cell>
          <cell r="O488">
            <v>0</v>
          </cell>
          <cell r="P488">
            <v>0</v>
          </cell>
          <cell r="Q488">
            <v>0</v>
          </cell>
        </row>
        <row r="489">
          <cell r="A489">
            <v>70036</v>
          </cell>
          <cell r="B489" t="str">
            <v>Other Bonus/Commission - Non-Safety</v>
          </cell>
          <cell r="E489">
            <v>4809.7700000000004</v>
          </cell>
          <cell r="F489">
            <v>2140.23</v>
          </cell>
          <cell r="G489">
            <v>5107.6499999999996</v>
          </cell>
          <cell r="H489">
            <v>4226.5600000000004</v>
          </cell>
          <cell r="I489">
            <v>1425.85</v>
          </cell>
          <cell r="J489">
            <v>387.84</v>
          </cell>
          <cell r="K489">
            <v>100</v>
          </cell>
          <cell r="L489">
            <v>3426.61</v>
          </cell>
          <cell r="M489">
            <v>665.4</v>
          </cell>
          <cell r="N489">
            <v>-1015.84</v>
          </cell>
          <cell r="O489">
            <v>581.19000000000005</v>
          </cell>
          <cell r="P489">
            <v>5025.8500000000004</v>
          </cell>
          <cell r="Q489">
            <v>26881.11</v>
          </cell>
        </row>
        <row r="490">
          <cell r="A490">
            <v>70037</v>
          </cell>
          <cell r="B490" t="str">
            <v>Termination Pay</v>
          </cell>
          <cell r="E490">
            <v>0</v>
          </cell>
          <cell r="F490">
            <v>0</v>
          </cell>
          <cell r="G490">
            <v>0</v>
          </cell>
          <cell r="H490">
            <v>0</v>
          </cell>
          <cell r="I490">
            <v>0</v>
          </cell>
          <cell r="J490">
            <v>0</v>
          </cell>
          <cell r="K490">
            <v>0</v>
          </cell>
          <cell r="L490">
            <v>0</v>
          </cell>
          <cell r="M490">
            <v>0</v>
          </cell>
          <cell r="N490">
            <v>0</v>
          </cell>
          <cell r="O490">
            <v>0</v>
          </cell>
          <cell r="P490">
            <v>0</v>
          </cell>
          <cell r="Q490">
            <v>0</v>
          </cell>
        </row>
        <row r="491">
          <cell r="A491">
            <v>70045</v>
          </cell>
          <cell r="B491" t="str">
            <v>Contract Labor</v>
          </cell>
          <cell r="E491">
            <v>6680.67</v>
          </cell>
          <cell r="F491">
            <v>232.03</v>
          </cell>
          <cell r="G491">
            <v>0</v>
          </cell>
          <cell r="H491">
            <v>0</v>
          </cell>
          <cell r="I491">
            <v>0</v>
          </cell>
          <cell r="J491">
            <v>0</v>
          </cell>
          <cell r="K491">
            <v>0</v>
          </cell>
          <cell r="L491">
            <v>10440.92</v>
          </cell>
          <cell r="M491">
            <v>7401.37</v>
          </cell>
          <cell r="N491">
            <v>14152.75</v>
          </cell>
          <cell r="O491">
            <v>1820.49</v>
          </cell>
          <cell r="P491">
            <v>6453.68</v>
          </cell>
          <cell r="Q491">
            <v>47181.909999999996</v>
          </cell>
        </row>
        <row r="492">
          <cell r="A492">
            <v>70050</v>
          </cell>
          <cell r="B492" t="str">
            <v>Payroll Taxes</v>
          </cell>
          <cell r="E492">
            <v>9179.65</v>
          </cell>
          <cell r="F492">
            <v>6291.4</v>
          </cell>
          <cell r="G492">
            <v>7661.43</v>
          </cell>
          <cell r="H492">
            <v>6697.51</v>
          </cell>
          <cell r="I492">
            <v>6629.71</v>
          </cell>
          <cell r="J492">
            <v>7324.51</v>
          </cell>
          <cell r="K492">
            <v>5887.85</v>
          </cell>
          <cell r="L492">
            <v>5608.72</v>
          </cell>
          <cell r="M492">
            <v>5768.98</v>
          </cell>
          <cell r="N492">
            <v>5999.27</v>
          </cell>
          <cell r="O492">
            <v>6190.7</v>
          </cell>
          <cell r="P492">
            <v>6776.28</v>
          </cell>
          <cell r="Q492">
            <v>80016.009999999995</v>
          </cell>
        </row>
        <row r="493">
          <cell r="A493">
            <v>70060</v>
          </cell>
          <cell r="B493" t="str">
            <v>Group Insurance</v>
          </cell>
          <cell r="E493">
            <v>10365.61</v>
          </cell>
          <cell r="F493">
            <v>10230.65</v>
          </cell>
          <cell r="G493">
            <v>8851.43</v>
          </cell>
          <cell r="H493">
            <v>12049.32</v>
          </cell>
          <cell r="I493">
            <v>9943.51</v>
          </cell>
          <cell r="J493">
            <v>9742.43</v>
          </cell>
          <cell r="K493">
            <v>9734.74</v>
          </cell>
          <cell r="L493">
            <v>9561.06</v>
          </cell>
          <cell r="M493">
            <v>8494.4699999999993</v>
          </cell>
          <cell r="N493">
            <v>11177.83</v>
          </cell>
          <cell r="O493">
            <v>11411.65</v>
          </cell>
          <cell r="P493">
            <v>11731.69</v>
          </cell>
          <cell r="Q493">
            <v>123294.39</v>
          </cell>
        </row>
        <row r="494">
          <cell r="A494">
            <v>70065</v>
          </cell>
          <cell r="B494" t="str">
            <v>Vacation Pay</v>
          </cell>
          <cell r="E494">
            <v>5445.15</v>
          </cell>
          <cell r="F494">
            <v>2867.53</v>
          </cell>
          <cell r="G494">
            <v>2000.31</v>
          </cell>
          <cell r="H494">
            <v>3981.39</v>
          </cell>
          <cell r="I494">
            <v>4870.18</v>
          </cell>
          <cell r="J494">
            <v>3114.5</v>
          </cell>
          <cell r="K494">
            <v>4765.6099999999997</v>
          </cell>
          <cell r="L494">
            <v>2058.0100000000002</v>
          </cell>
          <cell r="M494">
            <v>3147.12</v>
          </cell>
          <cell r="N494">
            <v>4048.56</v>
          </cell>
          <cell r="O494">
            <v>2256.75</v>
          </cell>
          <cell r="P494">
            <v>3468.68</v>
          </cell>
          <cell r="Q494">
            <v>42023.79</v>
          </cell>
        </row>
        <row r="495">
          <cell r="A495">
            <v>70070</v>
          </cell>
          <cell r="B495" t="str">
            <v>Sick Pay</v>
          </cell>
          <cell r="E495">
            <v>334.55</v>
          </cell>
          <cell r="F495">
            <v>550.89</v>
          </cell>
          <cell r="G495">
            <v>1270.23</v>
          </cell>
          <cell r="H495">
            <v>745.77</v>
          </cell>
          <cell r="I495">
            <v>1246.57</v>
          </cell>
          <cell r="J495">
            <v>334.08</v>
          </cell>
          <cell r="K495">
            <v>365.29</v>
          </cell>
          <cell r="L495">
            <v>1258.6099999999999</v>
          </cell>
          <cell r="M495">
            <v>594.48</v>
          </cell>
          <cell r="N495">
            <v>799.28</v>
          </cell>
          <cell r="O495">
            <v>359.64</v>
          </cell>
          <cell r="P495">
            <v>428.72</v>
          </cell>
          <cell r="Q495">
            <v>8288.1099999999988</v>
          </cell>
        </row>
        <row r="496">
          <cell r="A496">
            <v>70086</v>
          </cell>
          <cell r="B496" t="str">
            <v>Safety and Training</v>
          </cell>
          <cell r="E496">
            <v>307.08999999999997</v>
          </cell>
          <cell r="F496">
            <v>-262.68</v>
          </cell>
          <cell r="G496">
            <v>0</v>
          </cell>
          <cell r="H496">
            <v>0</v>
          </cell>
          <cell r="I496">
            <v>0</v>
          </cell>
          <cell r="J496">
            <v>0</v>
          </cell>
          <cell r="K496">
            <v>0</v>
          </cell>
          <cell r="L496">
            <v>0</v>
          </cell>
          <cell r="M496">
            <v>146.11000000000001</v>
          </cell>
          <cell r="N496">
            <v>550</v>
          </cell>
          <cell r="O496">
            <v>70</v>
          </cell>
          <cell r="P496">
            <v>2091.2399999999998</v>
          </cell>
          <cell r="Q496">
            <v>2901.7599999999998</v>
          </cell>
        </row>
        <row r="497">
          <cell r="A497">
            <v>70090</v>
          </cell>
          <cell r="B497" t="str">
            <v>WCN Training</v>
          </cell>
          <cell r="E497">
            <v>0</v>
          </cell>
          <cell r="F497">
            <v>912.78</v>
          </cell>
          <cell r="G497">
            <v>0</v>
          </cell>
          <cell r="H497">
            <v>0</v>
          </cell>
          <cell r="I497">
            <v>0</v>
          </cell>
          <cell r="J497">
            <v>0</v>
          </cell>
          <cell r="K497">
            <v>0</v>
          </cell>
          <cell r="L497">
            <v>0</v>
          </cell>
          <cell r="M497">
            <v>0</v>
          </cell>
          <cell r="N497">
            <v>0</v>
          </cell>
          <cell r="O497">
            <v>0</v>
          </cell>
          <cell r="P497">
            <v>0</v>
          </cell>
          <cell r="Q497">
            <v>912.78</v>
          </cell>
        </row>
        <row r="498">
          <cell r="A498">
            <v>70095</v>
          </cell>
          <cell r="B498" t="str">
            <v>Empl &amp; Commun Activ</v>
          </cell>
          <cell r="E498">
            <v>14055.36</v>
          </cell>
          <cell r="F498">
            <v>3129.49</v>
          </cell>
          <cell r="G498">
            <v>-8366.42</v>
          </cell>
          <cell r="H498">
            <v>1482.03</v>
          </cell>
          <cell r="I498">
            <v>4740.3999999999996</v>
          </cell>
          <cell r="J498">
            <v>5688.11</v>
          </cell>
          <cell r="K498">
            <v>11283.12</v>
          </cell>
          <cell r="L498">
            <v>21266.09</v>
          </cell>
          <cell r="M498">
            <v>1553.42</v>
          </cell>
          <cell r="N498">
            <v>3453.38</v>
          </cell>
          <cell r="O498">
            <v>4558.05</v>
          </cell>
          <cell r="P498">
            <v>3947.63</v>
          </cell>
          <cell r="Q498">
            <v>66790.659999999989</v>
          </cell>
        </row>
        <row r="499">
          <cell r="A499">
            <v>70105</v>
          </cell>
          <cell r="B499" t="str">
            <v>Employee Relocation</v>
          </cell>
          <cell r="E499">
            <v>0</v>
          </cell>
          <cell r="F499">
            <v>0</v>
          </cell>
          <cell r="G499">
            <v>0</v>
          </cell>
          <cell r="H499">
            <v>0</v>
          </cell>
          <cell r="I499">
            <v>0</v>
          </cell>
          <cell r="J499">
            <v>0</v>
          </cell>
          <cell r="K499">
            <v>0</v>
          </cell>
          <cell r="L499">
            <v>0</v>
          </cell>
          <cell r="M499">
            <v>0</v>
          </cell>
          <cell r="N499">
            <v>0</v>
          </cell>
          <cell r="O499">
            <v>0</v>
          </cell>
          <cell r="P499">
            <v>0</v>
          </cell>
          <cell r="Q499">
            <v>0</v>
          </cell>
        </row>
        <row r="500">
          <cell r="A500">
            <v>70107</v>
          </cell>
          <cell r="B500" t="str">
            <v>Housing Subsidy</v>
          </cell>
          <cell r="E500">
            <v>0</v>
          </cell>
          <cell r="F500">
            <v>0</v>
          </cell>
          <cell r="G500">
            <v>0</v>
          </cell>
          <cell r="H500">
            <v>0</v>
          </cell>
          <cell r="I500">
            <v>0</v>
          </cell>
          <cell r="J500">
            <v>0</v>
          </cell>
          <cell r="K500">
            <v>0</v>
          </cell>
          <cell r="L500">
            <v>0</v>
          </cell>
          <cell r="M500">
            <v>0</v>
          </cell>
          <cell r="N500">
            <v>0</v>
          </cell>
          <cell r="O500">
            <v>0</v>
          </cell>
          <cell r="P500">
            <v>0</v>
          </cell>
          <cell r="Q500">
            <v>0</v>
          </cell>
        </row>
        <row r="501">
          <cell r="A501">
            <v>70108</v>
          </cell>
          <cell r="B501" t="str">
            <v>School Tuition</v>
          </cell>
          <cell r="E501">
            <v>0</v>
          </cell>
          <cell r="F501">
            <v>0</v>
          </cell>
          <cell r="G501">
            <v>0</v>
          </cell>
          <cell r="H501">
            <v>0</v>
          </cell>
          <cell r="I501">
            <v>0</v>
          </cell>
          <cell r="J501">
            <v>0</v>
          </cell>
          <cell r="K501">
            <v>0</v>
          </cell>
          <cell r="L501">
            <v>0</v>
          </cell>
          <cell r="M501">
            <v>0</v>
          </cell>
          <cell r="N501">
            <v>0</v>
          </cell>
          <cell r="O501">
            <v>0</v>
          </cell>
          <cell r="P501">
            <v>0</v>
          </cell>
          <cell r="Q501">
            <v>0</v>
          </cell>
        </row>
        <row r="502">
          <cell r="A502">
            <v>70110</v>
          </cell>
          <cell r="B502" t="str">
            <v>Contributions</v>
          </cell>
          <cell r="E502">
            <v>937.5</v>
          </cell>
          <cell r="F502">
            <v>-1250</v>
          </cell>
          <cell r="G502">
            <v>500</v>
          </cell>
          <cell r="H502">
            <v>2250</v>
          </cell>
          <cell r="I502">
            <v>250</v>
          </cell>
          <cell r="J502">
            <v>500</v>
          </cell>
          <cell r="K502">
            <v>1191.54</v>
          </cell>
          <cell r="L502">
            <v>500</v>
          </cell>
          <cell r="M502">
            <v>0</v>
          </cell>
          <cell r="N502">
            <v>0</v>
          </cell>
          <cell r="O502">
            <v>500</v>
          </cell>
          <cell r="P502">
            <v>0</v>
          </cell>
          <cell r="Q502">
            <v>5379.04</v>
          </cell>
        </row>
        <row r="503">
          <cell r="A503">
            <v>70111</v>
          </cell>
          <cell r="B503" t="str">
            <v>Non Cash Charitable</v>
          </cell>
          <cell r="E503">
            <v>0</v>
          </cell>
          <cell r="F503">
            <v>0</v>
          </cell>
          <cell r="G503">
            <v>0</v>
          </cell>
          <cell r="H503">
            <v>0</v>
          </cell>
          <cell r="I503">
            <v>0</v>
          </cell>
          <cell r="J503">
            <v>0</v>
          </cell>
          <cell r="K503">
            <v>0</v>
          </cell>
          <cell r="L503">
            <v>0</v>
          </cell>
          <cell r="M503">
            <v>0</v>
          </cell>
          <cell r="N503">
            <v>0</v>
          </cell>
          <cell r="O503">
            <v>0</v>
          </cell>
          <cell r="P503">
            <v>0</v>
          </cell>
          <cell r="Q503">
            <v>0</v>
          </cell>
        </row>
        <row r="504">
          <cell r="A504">
            <v>70112</v>
          </cell>
          <cell r="B504" t="str">
            <v>Political Contributions</v>
          </cell>
          <cell r="E504">
            <v>0</v>
          </cell>
          <cell r="F504">
            <v>0</v>
          </cell>
          <cell r="G504">
            <v>0</v>
          </cell>
          <cell r="H504">
            <v>1250</v>
          </cell>
          <cell r="I504">
            <v>0</v>
          </cell>
          <cell r="J504">
            <v>0</v>
          </cell>
          <cell r="K504">
            <v>1250</v>
          </cell>
          <cell r="L504">
            <v>0</v>
          </cell>
          <cell r="M504">
            <v>500</v>
          </cell>
          <cell r="N504">
            <v>250</v>
          </cell>
          <cell r="O504">
            <v>0</v>
          </cell>
          <cell r="P504">
            <v>0</v>
          </cell>
          <cell r="Q504">
            <v>3250</v>
          </cell>
        </row>
        <row r="505">
          <cell r="A505">
            <v>70116</v>
          </cell>
          <cell r="B505" t="str">
            <v>Pension and Profit Sharing</v>
          </cell>
          <cell r="E505">
            <v>991.8</v>
          </cell>
          <cell r="F505">
            <v>1061.8</v>
          </cell>
          <cell r="G505">
            <v>1561.6</v>
          </cell>
          <cell r="H505">
            <v>1001.55</v>
          </cell>
          <cell r="I505">
            <v>1064.48</v>
          </cell>
          <cell r="J505">
            <v>880.04</v>
          </cell>
          <cell r="K505">
            <v>837.46</v>
          </cell>
          <cell r="L505">
            <v>818.44</v>
          </cell>
          <cell r="M505">
            <v>814.08</v>
          </cell>
          <cell r="N505">
            <v>1291.5999999999999</v>
          </cell>
          <cell r="O505">
            <v>832.75</v>
          </cell>
          <cell r="P505">
            <v>978.78</v>
          </cell>
          <cell r="Q505">
            <v>12134.380000000001</v>
          </cell>
        </row>
        <row r="506">
          <cell r="A506">
            <v>70117</v>
          </cell>
          <cell r="B506" t="str">
            <v>Union Pension</v>
          </cell>
          <cell r="E506">
            <v>0</v>
          </cell>
          <cell r="F506">
            <v>0</v>
          </cell>
          <cell r="G506">
            <v>0</v>
          </cell>
          <cell r="H506">
            <v>0</v>
          </cell>
          <cell r="I506">
            <v>0</v>
          </cell>
          <cell r="J506">
            <v>0</v>
          </cell>
          <cell r="K506">
            <v>0</v>
          </cell>
          <cell r="L506">
            <v>0</v>
          </cell>
          <cell r="M506">
            <v>0</v>
          </cell>
          <cell r="N506">
            <v>0</v>
          </cell>
          <cell r="O506">
            <v>0</v>
          </cell>
          <cell r="P506">
            <v>0</v>
          </cell>
          <cell r="Q506">
            <v>0</v>
          </cell>
        </row>
        <row r="507">
          <cell r="A507">
            <v>70142</v>
          </cell>
          <cell r="B507" t="str">
            <v>Fuel Expense</v>
          </cell>
          <cell r="E507">
            <v>0</v>
          </cell>
          <cell r="F507">
            <v>0</v>
          </cell>
          <cell r="G507">
            <v>0</v>
          </cell>
          <cell r="H507">
            <v>0</v>
          </cell>
          <cell r="I507">
            <v>0</v>
          </cell>
          <cell r="J507">
            <v>0</v>
          </cell>
          <cell r="K507">
            <v>0</v>
          </cell>
          <cell r="L507">
            <v>0</v>
          </cell>
          <cell r="M507">
            <v>0</v>
          </cell>
          <cell r="N507">
            <v>0</v>
          </cell>
          <cell r="O507">
            <v>0</v>
          </cell>
          <cell r="P507">
            <v>0</v>
          </cell>
          <cell r="Q507">
            <v>0</v>
          </cell>
        </row>
        <row r="508">
          <cell r="A508">
            <v>70145</v>
          </cell>
          <cell r="B508" t="str">
            <v>Outside Repairs</v>
          </cell>
          <cell r="E508">
            <v>0</v>
          </cell>
          <cell r="F508">
            <v>0</v>
          </cell>
          <cell r="G508">
            <v>0</v>
          </cell>
          <cell r="H508">
            <v>0</v>
          </cell>
          <cell r="I508">
            <v>0</v>
          </cell>
          <cell r="J508">
            <v>0</v>
          </cell>
          <cell r="K508">
            <v>0</v>
          </cell>
          <cell r="L508">
            <v>0</v>
          </cell>
          <cell r="M508">
            <v>0</v>
          </cell>
          <cell r="N508">
            <v>0</v>
          </cell>
          <cell r="O508">
            <v>0</v>
          </cell>
          <cell r="P508">
            <v>0</v>
          </cell>
          <cell r="Q508">
            <v>0</v>
          </cell>
        </row>
        <row r="509">
          <cell r="A509">
            <v>70147</v>
          </cell>
          <cell r="B509" t="str">
            <v>Bldg &amp; Property Maint</v>
          </cell>
          <cell r="E509">
            <v>0</v>
          </cell>
          <cell r="F509">
            <v>0</v>
          </cell>
          <cell r="G509">
            <v>0</v>
          </cell>
          <cell r="H509">
            <v>0</v>
          </cell>
          <cell r="I509">
            <v>0</v>
          </cell>
          <cell r="J509">
            <v>0</v>
          </cell>
          <cell r="K509">
            <v>0</v>
          </cell>
          <cell r="L509">
            <v>0</v>
          </cell>
          <cell r="M509">
            <v>0</v>
          </cell>
          <cell r="N509">
            <v>0</v>
          </cell>
          <cell r="O509">
            <v>0</v>
          </cell>
          <cell r="P509">
            <v>0</v>
          </cell>
          <cell r="Q509">
            <v>0</v>
          </cell>
        </row>
        <row r="510">
          <cell r="A510">
            <v>70148</v>
          </cell>
          <cell r="B510" t="str">
            <v>Allocated Exp In - District</v>
          </cell>
          <cell r="E510">
            <v>9455.33</v>
          </cell>
          <cell r="F510">
            <v>10366.76</v>
          </cell>
          <cell r="G510">
            <v>12777.28</v>
          </cell>
          <cell r="H510">
            <v>9429.9599999999991</v>
          </cell>
          <cell r="I510">
            <v>4111.67</v>
          </cell>
          <cell r="J510">
            <v>13752.97</v>
          </cell>
          <cell r="K510">
            <v>28825.42</v>
          </cell>
          <cell r="L510">
            <v>23366.78</v>
          </cell>
          <cell r="M510">
            <v>-1234.82</v>
          </cell>
          <cell r="N510">
            <v>8735.3799999999992</v>
          </cell>
          <cell r="O510">
            <v>11153.09</v>
          </cell>
          <cell r="P510">
            <v>9005.61</v>
          </cell>
          <cell r="Q510">
            <v>139745.43</v>
          </cell>
        </row>
        <row r="511">
          <cell r="A511">
            <v>70150</v>
          </cell>
          <cell r="B511" t="str">
            <v>Utilities</v>
          </cell>
          <cell r="E511">
            <v>1142.2</v>
          </cell>
          <cell r="F511">
            <v>1092.4000000000001</v>
          </cell>
          <cell r="G511">
            <v>1092.57</v>
          </cell>
          <cell r="H511">
            <v>1056.2</v>
          </cell>
          <cell r="I511">
            <v>971.23</v>
          </cell>
          <cell r="J511">
            <v>927.16</v>
          </cell>
          <cell r="K511">
            <v>0</v>
          </cell>
          <cell r="L511">
            <v>869.77</v>
          </cell>
          <cell r="M511">
            <v>868.91</v>
          </cell>
          <cell r="N511">
            <v>878.75</v>
          </cell>
          <cell r="O511">
            <v>973.97</v>
          </cell>
          <cell r="P511">
            <v>1678.97</v>
          </cell>
          <cell r="Q511">
            <v>11552.13</v>
          </cell>
        </row>
        <row r="512">
          <cell r="A512">
            <v>70165</v>
          </cell>
          <cell r="B512" t="str">
            <v>Communications</v>
          </cell>
          <cell r="E512">
            <v>1837.34</v>
          </cell>
          <cell r="F512">
            <v>1811.33</v>
          </cell>
          <cell r="G512">
            <v>2247.1</v>
          </cell>
          <cell r="H512">
            <v>1908.93</v>
          </cell>
          <cell r="I512">
            <v>2066.65</v>
          </cell>
          <cell r="J512">
            <v>2198.11</v>
          </cell>
          <cell r="K512">
            <v>2042.44</v>
          </cell>
          <cell r="L512">
            <v>2129.4</v>
          </cell>
          <cell r="M512">
            <v>2270.06</v>
          </cell>
          <cell r="N512">
            <v>2682.39</v>
          </cell>
          <cell r="O512">
            <v>1762.11</v>
          </cell>
          <cell r="P512">
            <v>2834.19</v>
          </cell>
          <cell r="Q512">
            <v>25790.05</v>
          </cell>
        </row>
        <row r="513">
          <cell r="A513">
            <v>70166</v>
          </cell>
          <cell r="B513" t="str">
            <v>Office Telephone</v>
          </cell>
          <cell r="E513">
            <v>0</v>
          </cell>
          <cell r="F513">
            <v>0</v>
          </cell>
          <cell r="G513">
            <v>0</v>
          </cell>
          <cell r="H513">
            <v>0</v>
          </cell>
          <cell r="I513">
            <v>0</v>
          </cell>
          <cell r="J513">
            <v>0</v>
          </cell>
          <cell r="K513">
            <v>0</v>
          </cell>
          <cell r="L513">
            <v>0</v>
          </cell>
          <cell r="M513">
            <v>0</v>
          </cell>
          <cell r="N513">
            <v>0</v>
          </cell>
          <cell r="O513">
            <v>0</v>
          </cell>
          <cell r="P513">
            <v>0</v>
          </cell>
          <cell r="Q513">
            <v>0</v>
          </cell>
        </row>
        <row r="514">
          <cell r="A514">
            <v>70167</v>
          </cell>
          <cell r="B514" t="str">
            <v>Cellular Telephone</v>
          </cell>
          <cell r="E514">
            <v>156.94999999999999</v>
          </cell>
          <cell r="F514">
            <v>186.7</v>
          </cell>
          <cell r="G514">
            <v>355.41</v>
          </cell>
          <cell r="H514">
            <v>205.54</v>
          </cell>
          <cell r="I514">
            <v>168.04</v>
          </cell>
          <cell r="J514">
            <v>205.54</v>
          </cell>
          <cell r="K514">
            <v>356.92</v>
          </cell>
          <cell r="L514">
            <v>187.5</v>
          </cell>
          <cell r="M514">
            <v>75</v>
          </cell>
          <cell r="N514">
            <v>223.5</v>
          </cell>
          <cell r="O514">
            <v>226.5</v>
          </cell>
          <cell r="P514">
            <v>150</v>
          </cell>
          <cell r="Q514">
            <v>2497.6</v>
          </cell>
        </row>
        <row r="515">
          <cell r="A515">
            <v>70170</v>
          </cell>
          <cell r="B515" t="str">
            <v>Real Estate Rentals</v>
          </cell>
          <cell r="E515">
            <v>0</v>
          </cell>
          <cell r="F515">
            <v>0</v>
          </cell>
          <cell r="G515">
            <v>0</v>
          </cell>
          <cell r="H515">
            <v>0</v>
          </cell>
          <cell r="I515">
            <v>0</v>
          </cell>
          <cell r="J515">
            <v>0</v>
          </cell>
          <cell r="K515">
            <v>0</v>
          </cell>
          <cell r="L515">
            <v>0</v>
          </cell>
          <cell r="M515">
            <v>0</v>
          </cell>
          <cell r="N515">
            <v>0</v>
          </cell>
          <cell r="O515">
            <v>0</v>
          </cell>
          <cell r="P515">
            <v>0</v>
          </cell>
          <cell r="Q515">
            <v>0</v>
          </cell>
        </row>
        <row r="516">
          <cell r="A516">
            <v>70175</v>
          </cell>
          <cell r="B516" t="str">
            <v>Equip/Vehicle Rental</v>
          </cell>
          <cell r="E516">
            <v>0</v>
          </cell>
          <cell r="F516">
            <v>0</v>
          </cell>
          <cell r="G516">
            <v>0</v>
          </cell>
          <cell r="H516">
            <v>0</v>
          </cell>
          <cell r="I516">
            <v>0</v>
          </cell>
          <cell r="J516">
            <v>0</v>
          </cell>
          <cell r="K516">
            <v>0</v>
          </cell>
          <cell r="L516">
            <v>0</v>
          </cell>
          <cell r="M516">
            <v>0</v>
          </cell>
          <cell r="N516">
            <v>0</v>
          </cell>
          <cell r="O516">
            <v>0</v>
          </cell>
          <cell r="P516">
            <v>0</v>
          </cell>
          <cell r="Q516">
            <v>0</v>
          </cell>
        </row>
        <row r="517">
          <cell r="A517">
            <v>70185</v>
          </cell>
          <cell r="B517" t="str">
            <v>Postage</v>
          </cell>
          <cell r="E517">
            <v>1663.37</v>
          </cell>
          <cell r="F517">
            <v>1464.26</v>
          </cell>
          <cell r="G517">
            <v>492.87</v>
          </cell>
          <cell r="H517">
            <v>1792.31</v>
          </cell>
          <cell r="I517">
            <v>1736.3</v>
          </cell>
          <cell r="J517">
            <v>1600.37</v>
          </cell>
          <cell r="K517">
            <v>417.65</v>
          </cell>
          <cell r="L517">
            <v>1589.73</v>
          </cell>
          <cell r="M517">
            <v>1686.05</v>
          </cell>
          <cell r="N517">
            <v>1653.87</v>
          </cell>
          <cell r="O517">
            <v>1642.82</v>
          </cell>
          <cell r="P517">
            <v>1641.55</v>
          </cell>
          <cell r="Q517">
            <v>17381.149999999998</v>
          </cell>
        </row>
        <row r="518">
          <cell r="A518">
            <v>70190</v>
          </cell>
          <cell r="B518" t="str">
            <v>Registration Fees</v>
          </cell>
          <cell r="E518">
            <v>0</v>
          </cell>
          <cell r="F518">
            <v>0</v>
          </cell>
          <cell r="G518">
            <v>0</v>
          </cell>
          <cell r="H518">
            <v>0</v>
          </cell>
          <cell r="I518">
            <v>0</v>
          </cell>
          <cell r="J518">
            <v>244</v>
          </cell>
          <cell r="K518">
            <v>-244</v>
          </cell>
          <cell r="L518">
            <v>0</v>
          </cell>
          <cell r="M518">
            <v>0</v>
          </cell>
          <cell r="N518">
            <v>450</v>
          </cell>
          <cell r="O518">
            <v>80</v>
          </cell>
          <cell r="P518">
            <v>5</v>
          </cell>
          <cell r="Q518">
            <v>535</v>
          </cell>
        </row>
        <row r="519">
          <cell r="A519">
            <v>70195</v>
          </cell>
          <cell r="B519" t="str">
            <v>Dues and Subscriptions</v>
          </cell>
          <cell r="E519">
            <v>734.67</v>
          </cell>
          <cell r="F519">
            <v>3500</v>
          </cell>
          <cell r="G519">
            <v>654.66999999999996</v>
          </cell>
          <cell r="H519">
            <v>3788.33</v>
          </cell>
          <cell r="I519">
            <v>831.17</v>
          </cell>
          <cell r="J519">
            <v>2522.33</v>
          </cell>
          <cell r="K519">
            <v>3255.67</v>
          </cell>
          <cell r="L519">
            <v>3419.03</v>
          </cell>
          <cell r="M519">
            <v>1208.23</v>
          </cell>
          <cell r="N519">
            <v>2099.1799999999998</v>
          </cell>
          <cell r="O519">
            <v>3420.89</v>
          </cell>
          <cell r="P519">
            <v>1716.89</v>
          </cell>
          <cell r="Q519">
            <v>27151.059999999998</v>
          </cell>
        </row>
        <row r="520">
          <cell r="A520">
            <v>70196</v>
          </cell>
          <cell r="B520" t="str">
            <v>Club Dues</v>
          </cell>
          <cell r="E520">
            <v>0</v>
          </cell>
          <cell r="F520">
            <v>0</v>
          </cell>
          <cell r="G520">
            <v>0</v>
          </cell>
          <cell r="H520">
            <v>0</v>
          </cell>
          <cell r="I520">
            <v>0</v>
          </cell>
          <cell r="J520">
            <v>0</v>
          </cell>
          <cell r="K520">
            <v>0</v>
          </cell>
          <cell r="L520">
            <v>0</v>
          </cell>
          <cell r="M520">
            <v>0</v>
          </cell>
          <cell r="N520">
            <v>0</v>
          </cell>
          <cell r="O520">
            <v>0</v>
          </cell>
          <cell r="P520">
            <v>0</v>
          </cell>
          <cell r="Q520">
            <v>0</v>
          </cell>
        </row>
        <row r="521">
          <cell r="A521">
            <v>70200</v>
          </cell>
          <cell r="B521" t="str">
            <v>Travel</v>
          </cell>
          <cell r="E521">
            <v>225.54</v>
          </cell>
          <cell r="F521">
            <v>769.5</v>
          </cell>
          <cell r="G521">
            <v>907.05</v>
          </cell>
          <cell r="H521">
            <v>0</v>
          </cell>
          <cell r="I521">
            <v>627.9</v>
          </cell>
          <cell r="J521">
            <v>18.75</v>
          </cell>
          <cell r="K521">
            <v>51</v>
          </cell>
          <cell r="L521">
            <v>-46.5</v>
          </cell>
          <cell r="M521">
            <v>1021.88</v>
          </cell>
          <cell r="N521">
            <v>876</v>
          </cell>
          <cell r="O521">
            <v>92.25</v>
          </cell>
          <cell r="P521">
            <v>339.6</v>
          </cell>
          <cell r="Q521">
            <v>4882.97</v>
          </cell>
        </row>
        <row r="522">
          <cell r="A522">
            <v>70201</v>
          </cell>
          <cell r="B522" t="str">
            <v>Entertainment</v>
          </cell>
          <cell r="E522">
            <v>0</v>
          </cell>
          <cell r="F522">
            <v>23.53</v>
          </cell>
          <cell r="G522">
            <v>0</v>
          </cell>
          <cell r="H522">
            <v>321.41000000000003</v>
          </cell>
          <cell r="I522">
            <v>0</v>
          </cell>
          <cell r="J522">
            <v>341.1</v>
          </cell>
          <cell r="K522">
            <v>728.42</v>
          </cell>
          <cell r="L522">
            <v>-72.099999999999994</v>
          </cell>
          <cell r="M522">
            <v>0</v>
          </cell>
          <cell r="N522">
            <v>41.89</v>
          </cell>
          <cell r="O522">
            <v>0</v>
          </cell>
          <cell r="P522">
            <v>0</v>
          </cell>
          <cell r="Q522">
            <v>1384.2500000000002</v>
          </cell>
        </row>
        <row r="523">
          <cell r="A523">
            <v>70202</v>
          </cell>
          <cell r="B523" t="str">
            <v>Excursions Meetings</v>
          </cell>
          <cell r="E523">
            <v>300</v>
          </cell>
          <cell r="F523">
            <v>345.51</v>
          </cell>
          <cell r="G523">
            <v>0</v>
          </cell>
          <cell r="H523">
            <v>0</v>
          </cell>
          <cell r="I523">
            <v>485</v>
          </cell>
          <cell r="J523">
            <v>1248.75</v>
          </cell>
          <cell r="K523">
            <v>0</v>
          </cell>
          <cell r="L523">
            <v>288.39999999999998</v>
          </cell>
          <cell r="M523">
            <v>0</v>
          </cell>
          <cell r="N523">
            <v>0</v>
          </cell>
          <cell r="O523">
            <v>279</v>
          </cell>
          <cell r="P523">
            <v>0</v>
          </cell>
          <cell r="Q523">
            <v>2946.6600000000003</v>
          </cell>
        </row>
        <row r="524">
          <cell r="A524">
            <v>70203</v>
          </cell>
          <cell r="B524" t="str">
            <v>Lodging</v>
          </cell>
          <cell r="E524">
            <v>462.54</v>
          </cell>
          <cell r="F524">
            <v>0</v>
          </cell>
          <cell r="G524">
            <v>0</v>
          </cell>
          <cell r="H524">
            <v>653.4</v>
          </cell>
          <cell r="I524">
            <v>579</v>
          </cell>
          <cell r="J524">
            <v>0</v>
          </cell>
          <cell r="K524">
            <v>797.67</v>
          </cell>
          <cell r="L524">
            <v>618.57000000000005</v>
          </cell>
          <cell r="M524">
            <v>382.5</v>
          </cell>
          <cell r="N524">
            <v>140.19999999999999</v>
          </cell>
          <cell r="O524">
            <v>457.4</v>
          </cell>
          <cell r="P524">
            <v>1133.44</v>
          </cell>
          <cell r="Q524">
            <v>5224.72</v>
          </cell>
        </row>
        <row r="525">
          <cell r="A525">
            <v>70204</v>
          </cell>
          <cell r="B525" t="str">
            <v>Gifts to Customers</v>
          </cell>
          <cell r="E525">
            <v>0</v>
          </cell>
          <cell r="F525">
            <v>0</v>
          </cell>
          <cell r="G525">
            <v>0</v>
          </cell>
          <cell r="H525">
            <v>0</v>
          </cell>
          <cell r="I525">
            <v>0</v>
          </cell>
          <cell r="J525">
            <v>0</v>
          </cell>
          <cell r="K525">
            <v>0</v>
          </cell>
          <cell r="L525">
            <v>0</v>
          </cell>
          <cell r="M525">
            <v>0</v>
          </cell>
          <cell r="N525">
            <v>0</v>
          </cell>
          <cell r="O525">
            <v>0</v>
          </cell>
          <cell r="P525">
            <v>0</v>
          </cell>
          <cell r="Q525">
            <v>0</v>
          </cell>
        </row>
        <row r="526">
          <cell r="A526">
            <v>70205</v>
          </cell>
          <cell r="B526" t="str">
            <v>Travel - Auto</v>
          </cell>
          <cell r="E526">
            <v>592.16</v>
          </cell>
          <cell r="F526">
            <v>812.81</v>
          </cell>
          <cell r="G526">
            <v>372.79</v>
          </cell>
          <cell r="H526">
            <v>924.67</v>
          </cell>
          <cell r="I526">
            <v>591.26</v>
          </cell>
          <cell r="J526">
            <v>614.52</v>
          </cell>
          <cell r="K526">
            <v>370.59</v>
          </cell>
          <cell r="L526">
            <v>811.62</v>
          </cell>
          <cell r="M526">
            <v>291.60000000000002</v>
          </cell>
          <cell r="N526">
            <v>789.52</v>
          </cell>
          <cell r="O526">
            <v>730.2</v>
          </cell>
          <cell r="P526">
            <v>523.23</v>
          </cell>
          <cell r="Q526">
            <v>7424.9699999999993</v>
          </cell>
        </row>
        <row r="527">
          <cell r="A527">
            <v>70206</v>
          </cell>
          <cell r="B527" t="str">
            <v>Meals</v>
          </cell>
          <cell r="E527">
            <v>155.22</v>
          </cell>
          <cell r="F527">
            <v>199.8</v>
          </cell>
          <cell r="G527">
            <v>112.98</v>
          </cell>
          <cell r="H527">
            <v>115.92</v>
          </cell>
          <cell r="I527">
            <v>277.83</v>
          </cell>
          <cell r="J527">
            <v>270.38</v>
          </cell>
          <cell r="K527">
            <v>579.17999999999995</v>
          </cell>
          <cell r="L527">
            <v>-136.55000000000001</v>
          </cell>
          <cell r="M527">
            <v>50</v>
          </cell>
          <cell r="N527">
            <v>287</v>
          </cell>
          <cell r="O527">
            <v>150.02000000000001</v>
          </cell>
          <cell r="P527">
            <v>59.7</v>
          </cell>
          <cell r="Q527">
            <v>2121.48</v>
          </cell>
        </row>
        <row r="528">
          <cell r="A528">
            <v>70207</v>
          </cell>
          <cell r="B528" t="str">
            <v>Meals with Customers</v>
          </cell>
          <cell r="E528">
            <v>0</v>
          </cell>
          <cell r="F528">
            <v>0</v>
          </cell>
          <cell r="G528">
            <v>0</v>
          </cell>
          <cell r="H528">
            <v>0</v>
          </cell>
          <cell r="I528">
            <v>0</v>
          </cell>
          <cell r="J528">
            <v>0</v>
          </cell>
          <cell r="K528">
            <v>0</v>
          </cell>
          <cell r="L528">
            <v>0</v>
          </cell>
          <cell r="M528">
            <v>0</v>
          </cell>
          <cell r="N528">
            <v>3.75</v>
          </cell>
          <cell r="O528">
            <v>0</v>
          </cell>
          <cell r="P528">
            <v>0</v>
          </cell>
          <cell r="Q528">
            <v>3.75</v>
          </cell>
        </row>
        <row r="529">
          <cell r="A529">
            <v>70209</v>
          </cell>
          <cell r="B529" t="str">
            <v>Photo Supplies</v>
          </cell>
          <cell r="E529">
            <v>0</v>
          </cell>
          <cell r="F529">
            <v>0</v>
          </cell>
          <cell r="G529">
            <v>0</v>
          </cell>
          <cell r="H529">
            <v>0</v>
          </cell>
          <cell r="I529">
            <v>0</v>
          </cell>
          <cell r="J529">
            <v>0</v>
          </cell>
          <cell r="K529">
            <v>0</v>
          </cell>
          <cell r="L529">
            <v>0</v>
          </cell>
          <cell r="M529">
            <v>0</v>
          </cell>
          <cell r="N529">
            <v>0</v>
          </cell>
          <cell r="O529">
            <v>0</v>
          </cell>
          <cell r="P529">
            <v>0</v>
          </cell>
          <cell r="Q529">
            <v>0</v>
          </cell>
        </row>
        <row r="530">
          <cell r="A530">
            <v>70210</v>
          </cell>
          <cell r="B530" t="str">
            <v>Office Supplies and Equip</v>
          </cell>
          <cell r="E530">
            <v>7068.1</v>
          </cell>
          <cell r="F530">
            <v>6155.01</v>
          </cell>
          <cell r="G530">
            <v>3868.92</v>
          </cell>
          <cell r="H530">
            <v>3782.02</v>
          </cell>
          <cell r="I530">
            <v>2862.22</v>
          </cell>
          <cell r="J530">
            <v>4721.92</v>
          </cell>
          <cell r="K530">
            <v>5210.1099999999997</v>
          </cell>
          <cell r="L530">
            <v>4854.1400000000003</v>
          </cell>
          <cell r="M530">
            <v>4059.64</v>
          </cell>
          <cell r="N530">
            <v>7017.47</v>
          </cell>
          <cell r="O530">
            <v>1056.94</v>
          </cell>
          <cell r="P530">
            <v>7841.63</v>
          </cell>
          <cell r="Q530">
            <v>58498.12</v>
          </cell>
        </row>
        <row r="531">
          <cell r="A531">
            <v>70213</v>
          </cell>
          <cell r="B531" t="str">
            <v>P-Card Rebate</v>
          </cell>
          <cell r="E531">
            <v>0</v>
          </cell>
          <cell r="F531">
            <v>0</v>
          </cell>
          <cell r="G531">
            <v>0</v>
          </cell>
          <cell r="H531">
            <v>0</v>
          </cell>
          <cell r="I531">
            <v>0</v>
          </cell>
          <cell r="J531">
            <v>0</v>
          </cell>
          <cell r="K531">
            <v>0</v>
          </cell>
          <cell r="L531">
            <v>0</v>
          </cell>
          <cell r="M531">
            <v>0</v>
          </cell>
          <cell r="N531">
            <v>0</v>
          </cell>
          <cell r="O531">
            <v>0</v>
          </cell>
          <cell r="P531">
            <v>0</v>
          </cell>
          <cell r="Q531">
            <v>0</v>
          </cell>
        </row>
        <row r="532">
          <cell r="A532">
            <v>70214</v>
          </cell>
          <cell r="B532" t="str">
            <v>Credit Card Fees</v>
          </cell>
          <cell r="E532">
            <v>7453.96</v>
          </cell>
          <cell r="F532">
            <v>8072.47</v>
          </cell>
          <cell r="G532">
            <v>8471.26</v>
          </cell>
          <cell r="H532">
            <v>7487.53</v>
          </cell>
          <cell r="I532">
            <v>7402.35</v>
          </cell>
          <cell r="J532">
            <v>8604.07</v>
          </cell>
          <cell r="K532">
            <v>8742.07</v>
          </cell>
          <cell r="L532">
            <v>9298.84</v>
          </cell>
          <cell r="M532">
            <v>9731.43</v>
          </cell>
          <cell r="N532">
            <v>9257.65</v>
          </cell>
          <cell r="O532">
            <v>10120.43</v>
          </cell>
          <cell r="P532">
            <v>9008.27</v>
          </cell>
          <cell r="Q532">
            <v>103650.33</v>
          </cell>
        </row>
        <row r="533">
          <cell r="A533">
            <v>70215</v>
          </cell>
          <cell r="B533" t="str">
            <v>Bank Charges</v>
          </cell>
          <cell r="E533">
            <v>520.58000000000004</v>
          </cell>
          <cell r="F533">
            <v>527.17999999999995</v>
          </cell>
          <cell r="G533">
            <v>539.19000000000005</v>
          </cell>
          <cell r="H533">
            <v>530.33000000000004</v>
          </cell>
          <cell r="I533">
            <v>471.57</v>
          </cell>
          <cell r="J533">
            <v>491.42</v>
          </cell>
          <cell r="K533">
            <v>465.31</v>
          </cell>
          <cell r="L533">
            <v>559.30999999999995</v>
          </cell>
          <cell r="M533">
            <v>476.99</v>
          </cell>
          <cell r="N533">
            <v>385.37</v>
          </cell>
          <cell r="O533">
            <v>367.56</v>
          </cell>
          <cell r="P533">
            <v>638.20000000000005</v>
          </cell>
          <cell r="Q533">
            <v>5973.01</v>
          </cell>
        </row>
        <row r="534">
          <cell r="A534">
            <v>70216</v>
          </cell>
          <cell r="B534" t="str">
            <v>Outside Storages</v>
          </cell>
          <cell r="E534">
            <v>0</v>
          </cell>
          <cell r="F534">
            <v>0</v>
          </cell>
          <cell r="G534">
            <v>0</v>
          </cell>
          <cell r="H534">
            <v>0</v>
          </cell>
          <cell r="I534">
            <v>0</v>
          </cell>
          <cell r="J534">
            <v>0</v>
          </cell>
          <cell r="K534">
            <v>0</v>
          </cell>
          <cell r="L534">
            <v>0</v>
          </cell>
          <cell r="M534">
            <v>0</v>
          </cell>
          <cell r="N534">
            <v>0</v>
          </cell>
          <cell r="O534">
            <v>0</v>
          </cell>
          <cell r="P534">
            <v>0</v>
          </cell>
          <cell r="Q534">
            <v>0</v>
          </cell>
        </row>
        <row r="535">
          <cell r="A535">
            <v>70217</v>
          </cell>
          <cell r="B535" t="str">
            <v>Invoice Printing Costs</v>
          </cell>
          <cell r="E535">
            <v>0</v>
          </cell>
          <cell r="F535">
            <v>0</v>
          </cell>
          <cell r="G535">
            <v>0</v>
          </cell>
          <cell r="H535">
            <v>0</v>
          </cell>
          <cell r="I535">
            <v>0</v>
          </cell>
          <cell r="J535">
            <v>0</v>
          </cell>
          <cell r="K535">
            <v>0</v>
          </cell>
          <cell r="L535">
            <v>0</v>
          </cell>
          <cell r="M535">
            <v>0</v>
          </cell>
          <cell r="N535">
            <v>0</v>
          </cell>
          <cell r="O535">
            <v>0</v>
          </cell>
          <cell r="P535">
            <v>0</v>
          </cell>
          <cell r="Q535">
            <v>0</v>
          </cell>
        </row>
        <row r="536">
          <cell r="A536">
            <v>70225</v>
          </cell>
          <cell r="B536" t="str">
            <v>Advertising and Promotions</v>
          </cell>
          <cell r="E536">
            <v>2100</v>
          </cell>
          <cell r="F536">
            <v>-679.79</v>
          </cell>
          <cell r="G536">
            <v>0</v>
          </cell>
          <cell r="H536">
            <v>31.64</v>
          </cell>
          <cell r="I536">
            <v>0</v>
          </cell>
          <cell r="J536">
            <v>0</v>
          </cell>
          <cell r="K536">
            <v>500</v>
          </cell>
          <cell r="L536">
            <v>710.94</v>
          </cell>
          <cell r="M536">
            <v>0</v>
          </cell>
          <cell r="N536">
            <v>3049.29</v>
          </cell>
          <cell r="O536">
            <v>5336.83</v>
          </cell>
          <cell r="P536">
            <v>0</v>
          </cell>
          <cell r="Q536">
            <v>11048.91</v>
          </cell>
        </row>
        <row r="537">
          <cell r="A537">
            <v>70230</v>
          </cell>
          <cell r="B537" t="str">
            <v>External Recruiter Fees</v>
          </cell>
          <cell r="E537">
            <v>0</v>
          </cell>
          <cell r="F537">
            <v>0</v>
          </cell>
          <cell r="G537">
            <v>0</v>
          </cell>
          <cell r="H537">
            <v>0</v>
          </cell>
          <cell r="I537">
            <v>0</v>
          </cell>
          <cell r="J537">
            <v>0</v>
          </cell>
          <cell r="K537">
            <v>0</v>
          </cell>
          <cell r="L537">
            <v>0</v>
          </cell>
          <cell r="M537">
            <v>0</v>
          </cell>
          <cell r="N537">
            <v>0</v>
          </cell>
          <cell r="O537">
            <v>0</v>
          </cell>
          <cell r="P537">
            <v>0</v>
          </cell>
          <cell r="Q537">
            <v>0</v>
          </cell>
        </row>
        <row r="538">
          <cell r="A538">
            <v>70231</v>
          </cell>
          <cell r="B538" t="str">
            <v>Recruitment Advertising &amp; Expenses</v>
          </cell>
          <cell r="E538">
            <v>0</v>
          </cell>
          <cell r="F538">
            <v>0</v>
          </cell>
          <cell r="G538">
            <v>0</v>
          </cell>
          <cell r="H538">
            <v>0</v>
          </cell>
          <cell r="I538">
            <v>0</v>
          </cell>
          <cell r="J538">
            <v>0</v>
          </cell>
          <cell r="K538">
            <v>0</v>
          </cell>
          <cell r="L538">
            <v>25</v>
          </cell>
          <cell r="M538">
            <v>0</v>
          </cell>
          <cell r="N538">
            <v>0</v>
          </cell>
          <cell r="O538">
            <v>0</v>
          </cell>
          <cell r="P538">
            <v>0</v>
          </cell>
          <cell r="Q538">
            <v>25</v>
          </cell>
        </row>
        <row r="539">
          <cell r="A539">
            <v>70232</v>
          </cell>
          <cell r="B539" t="str">
            <v>Recruitment Travel Expenses</v>
          </cell>
          <cell r="E539">
            <v>0</v>
          </cell>
          <cell r="F539">
            <v>0</v>
          </cell>
          <cell r="G539">
            <v>0</v>
          </cell>
          <cell r="H539">
            <v>0</v>
          </cell>
          <cell r="I539">
            <v>0</v>
          </cell>
          <cell r="J539">
            <v>0</v>
          </cell>
          <cell r="K539">
            <v>0</v>
          </cell>
          <cell r="L539">
            <v>0</v>
          </cell>
          <cell r="M539">
            <v>0</v>
          </cell>
          <cell r="N539">
            <v>0</v>
          </cell>
          <cell r="O539">
            <v>0</v>
          </cell>
          <cell r="P539">
            <v>0</v>
          </cell>
          <cell r="Q539">
            <v>0</v>
          </cell>
        </row>
        <row r="540">
          <cell r="A540">
            <v>70235</v>
          </cell>
          <cell r="B540" t="str">
            <v>Legal</v>
          </cell>
          <cell r="E540">
            <v>134.16</v>
          </cell>
          <cell r="F540">
            <v>0</v>
          </cell>
          <cell r="G540">
            <v>198.36</v>
          </cell>
          <cell r="H540">
            <v>3699.71</v>
          </cell>
          <cell r="I540">
            <v>1056.02</v>
          </cell>
          <cell r="J540">
            <v>682.19</v>
          </cell>
          <cell r="K540">
            <v>3008.78</v>
          </cell>
          <cell r="L540">
            <v>-2300.2800000000002</v>
          </cell>
          <cell r="M540">
            <v>3301.28</v>
          </cell>
          <cell r="N540">
            <v>0.2</v>
          </cell>
          <cell r="O540">
            <v>-0.2</v>
          </cell>
          <cell r="P540">
            <v>1207.32</v>
          </cell>
          <cell r="Q540">
            <v>10987.54</v>
          </cell>
        </row>
        <row r="541">
          <cell r="A541">
            <v>70240</v>
          </cell>
          <cell r="B541" t="str">
            <v>Accounting Professional Fees</v>
          </cell>
          <cell r="E541">
            <v>0</v>
          </cell>
          <cell r="F541">
            <v>0</v>
          </cell>
          <cell r="G541">
            <v>0</v>
          </cell>
          <cell r="H541">
            <v>0</v>
          </cell>
          <cell r="I541">
            <v>0</v>
          </cell>
          <cell r="J541">
            <v>0</v>
          </cell>
          <cell r="K541">
            <v>0</v>
          </cell>
          <cell r="L541">
            <v>0</v>
          </cell>
          <cell r="M541">
            <v>0</v>
          </cell>
          <cell r="N541">
            <v>0</v>
          </cell>
          <cell r="O541">
            <v>0</v>
          </cell>
          <cell r="P541">
            <v>0</v>
          </cell>
          <cell r="Q541">
            <v>0</v>
          </cell>
        </row>
        <row r="542">
          <cell r="A542">
            <v>70245</v>
          </cell>
          <cell r="B542" t="str">
            <v>Payroll Processing Fees</v>
          </cell>
          <cell r="E542">
            <v>324.20999999999998</v>
          </cell>
          <cell r="F542">
            <v>333.23</v>
          </cell>
          <cell r="G542">
            <v>333.23</v>
          </cell>
          <cell r="H542">
            <v>333.23</v>
          </cell>
          <cell r="I542">
            <v>333.23</v>
          </cell>
          <cell r="J542">
            <v>333.23</v>
          </cell>
          <cell r="K542">
            <v>333.23</v>
          </cell>
          <cell r="L542">
            <v>300.73</v>
          </cell>
          <cell r="M542">
            <v>300.73</v>
          </cell>
          <cell r="N542">
            <v>300.73</v>
          </cell>
          <cell r="O542">
            <v>300.86</v>
          </cell>
          <cell r="P542">
            <v>300.86</v>
          </cell>
          <cell r="Q542">
            <v>3827.5000000000005</v>
          </cell>
        </row>
        <row r="543">
          <cell r="A543">
            <v>70250</v>
          </cell>
          <cell r="B543" t="str">
            <v>Acquisition Cost Write Off</v>
          </cell>
          <cell r="E543">
            <v>0</v>
          </cell>
          <cell r="F543">
            <v>0</v>
          </cell>
          <cell r="G543">
            <v>0</v>
          </cell>
          <cell r="H543">
            <v>0</v>
          </cell>
          <cell r="I543">
            <v>0</v>
          </cell>
          <cell r="J543">
            <v>0</v>
          </cell>
          <cell r="K543">
            <v>0</v>
          </cell>
          <cell r="L543">
            <v>0</v>
          </cell>
          <cell r="M543">
            <v>0</v>
          </cell>
          <cell r="N543">
            <v>0</v>
          </cell>
          <cell r="O543">
            <v>0</v>
          </cell>
          <cell r="P543">
            <v>0</v>
          </cell>
          <cell r="Q543">
            <v>0</v>
          </cell>
        </row>
        <row r="544">
          <cell r="A544">
            <v>70254</v>
          </cell>
          <cell r="B544" t="str">
            <v>Corporate Capitalized Expenses</v>
          </cell>
          <cell r="E544">
            <v>0</v>
          </cell>
          <cell r="F544">
            <v>0</v>
          </cell>
          <cell r="G544">
            <v>0</v>
          </cell>
          <cell r="H544">
            <v>0</v>
          </cell>
          <cell r="I544">
            <v>0</v>
          </cell>
          <cell r="J544">
            <v>0</v>
          </cell>
          <cell r="K544">
            <v>0</v>
          </cell>
          <cell r="L544">
            <v>0</v>
          </cell>
          <cell r="M544">
            <v>0</v>
          </cell>
          <cell r="N544">
            <v>0</v>
          </cell>
          <cell r="O544">
            <v>0</v>
          </cell>
          <cell r="P544">
            <v>0</v>
          </cell>
          <cell r="Q544">
            <v>0</v>
          </cell>
        </row>
        <row r="545">
          <cell r="A545">
            <v>70255</v>
          </cell>
          <cell r="B545" t="str">
            <v>Other Prof Fees</v>
          </cell>
          <cell r="E545">
            <v>0</v>
          </cell>
          <cell r="F545">
            <v>659.25</v>
          </cell>
          <cell r="G545">
            <v>168.64</v>
          </cell>
          <cell r="H545">
            <v>0</v>
          </cell>
          <cell r="I545">
            <v>900</v>
          </cell>
          <cell r="J545">
            <v>168.64</v>
          </cell>
          <cell r="K545">
            <v>-900</v>
          </cell>
          <cell r="L545">
            <v>0</v>
          </cell>
          <cell r="M545">
            <v>168.64</v>
          </cell>
          <cell r="N545">
            <v>0</v>
          </cell>
          <cell r="O545">
            <v>548.44000000000005</v>
          </cell>
          <cell r="P545">
            <v>243.29</v>
          </cell>
          <cell r="Q545">
            <v>1956.8999999999996</v>
          </cell>
        </row>
        <row r="546">
          <cell r="A546">
            <v>70271</v>
          </cell>
          <cell r="B546" t="str">
            <v>Property and Liability Insurance</v>
          </cell>
          <cell r="E546">
            <v>0</v>
          </cell>
          <cell r="F546">
            <v>0</v>
          </cell>
          <cell r="G546">
            <v>0</v>
          </cell>
          <cell r="H546">
            <v>0</v>
          </cell>
          <cell r="I546">
            <v>0</v>
          </cell>
          <cell r="J546">
            <v>0</v>
          </cell>
          <cell r="K546">
            <v>0</v>
          </cell>
          <cell r="L546">
            <v>0</v>
          </cell>
          <cell r="M546">
            <v>0</v>
          </cell>
          <cell r="N546">
            <v>0</v>
          </cell>
          <cell r="O546">
            <v>0</v>
          </cell>
          <cell r="P546">
            <v>0</v>
          </cell>
          <cell r="Q546">
            <v>0</v>
          </cell>
        </row>
        <row r="547">
          <cell r="A547">
            <v>70272</v>
          </cell>
          <cell r="B547" t="str">
            <v>Keyman Life Insurance</v>
          </cell>
          <cell r="E547">
            <v>0</v>
          </cell>
          <cell r="F547">
            <v>0</v>
          </cell>
          <cell r="G547">
            <v>0</v>
          </cell>
          <cell r="H547">
            <v>0</v>
          </cell>
          <cell r="I547">
            <v>0</v>
          </cell>
          <cell r="J547">
            <v>0</v>
          </cell>
          <cell r="K547">
            <v>0</v>
          </cell>
          <cell r="L547">
            <v>0</v>
          </cell>
          <cell r="M547">
            <v>0</v>
          </cell>
          <cell r="N547">
            <v>0</v>
          </cell>
          <cell r="O547">
            <v>0</v>
          </cell>
          <cell r="P547">
            <v>0</v>
          </cell>
          <cell r="Q547">
            <v>0</v>
          </cell>
        </row>
        <row r="548">
          <cell r="A548">
            <v>70273</v>
          </cell>
          <cell r="B548" t="str">
            <v>Directors and Officers Insurance</v>
          </cell>
          <cell r="E548">
            <v>0</v>
          </cell>
          <cell r="F548">
            <v>0</v>
          </cell>
          <cell r="G548">
            <v>0</v>
          </cell>
          <cell r="H548">
            <v>0</v>
          </cell>
          <cell r="I548">
            <v>0</v>
          </cell>
          <cell r="J548">
            <v>0</v>
          </cell>
          <cell r="K548">
            <v>0</v>
          </cell>
          <cell r="L548">
            <v>0</v>
          </cell>
          <cell r="M548">
            <v>0</v>
          </cell>
          <cell r="N548">
            <v>0</v>
          </cell>
          <cell r="O548">
            <v>0</v>
          </cell>
          <cell r="P548">
            <v>0</v>
          </cell>
          <cell r="Q548">
            <v>0</v>
          </cell>
        </row>
        <row r="549">
          <cell r="A549">
            <v>70275</v>
          </cell>
          <cell r="B549" t="str">
            <v>Property Taxes</v>
          </cell>
          <cell r="E549">
            <v>3633</v>
          </cell>
          <cell r="F549">
            <v>3633</v>
          </cell>
          <cell r="G549">
            <v>4280.66</v>
          </cell>
          <cell r="H549">
            <v>5100.2</v>
          </cell>
          <cell r="I549">
            <v>5100.2</v>
          </cell>
          <cell r="J549">
            <v>5100.2</v>
          </cell>
          <cell r="K549">
            <v>6353.54</v>
          </cell>
          <cell r="L549">
            <v>4787.74</v>
          </cell>
          <cell r="M549">
            <v>4507.07</v>
          </cell>
          <cell r="N549">
            <v>4985.55</v>
          </cell>
          <cell r="O549">
            <v>5021.75</v>
          </cell>
          <cell r="P549">
            <v>4949.34</v>
          </cell>
          <cell r="Q549">
            <v>57452.25</v>
          </cell>
        </row>
        <row r="550">
          <cell r="A550">
            <v>70280</v>
          </cell>
          <cell r="B550" t="str">
            <v>Other Taxes</v>
          </cell>
          <cell r="E550">
            <v>0</v>
          </cell>
          <cell r="F550">
            <v>0</v>
          </cell>
          <cell r="G550">
            <v>0</v>
          </cell>
          <cell r="H550">
            <v>0</v>
          </cell>
          <cell r="I550">
            <v>0</v>
          </cell>
          <cell r="J550">
            <v>0</v>
          </cell>
          <cell r="K550">
            <v>0</v>
          </cell>
          <cell r="L550">
            <v>0</v>
          </cell>
          <cell r="M550">
            <v>0</v>
          </cell>
          <cell r="N550">
            <v>0</v>
          </cell>
          <cell r="O550">
            <v>0</v>
          </cell>
          <cell r="P550">
            <v>0</v>
          </cell>
          <cell r="Q550">
            <v>0</v>
          </cell>
        </row>
        <row r="551">
          <cell r="A551">
            <v>70300</v>
          </cell>
          <cell r="B551" t="str">
            <v>Data Processing</v>
          </cell>
          <cell r="E551">
            <v>3053.24</v>
          </cell>
          <cell r="F551">
            <v>27123.4</v>
          </cell>
          <cell r="G551">
            <v>1994.05</v>
          </cell>
          <cell r="H551">
            <v>25497.25</v>
          </cell>
          <cell r="I551">
            <v>4148.7299999999996</v>
          </cell>
          <cell r="J551">
            <v>12634.95</v>
          </cell>
          <cell r="K551">
            <v>2733.27</v>
          </cell>
          <cell r="L551">
            <v>28900.27</v>
          </cell>
          <cell r="M551">
            <v>2744.08</v>
          </cell>
          <cell r="N551">
            <v>23341.62</v>
          </cell>
          <cell r="O551">
            <v>2653.19</v>
          </cell>
          <cell r="P551">
            <v>25630.6</v>
          </cell>
          <cell r="Q551">
            <v>160454.65000000002</v>
          </cell>
        </row>
        <row r="552">
          <cell r="A552">
            <v>70301</v>
          </cell>
          <cell r="B552" t="str">
            <v>Computer Software</v>
          </cell>
          <cell r="E552">
            <v>0</v>
          </cell>
          <cell r="F552">
            <v>0</v>
          </cell>
          <cell r="G552">
            <v>0</v>
          </cell>
          <cell r="H552">
            <v>0</v>
          </cell>
          <cell r="I552">
            <v>0</v>
          </cell>
          <cell r="J552">
            <v>0</v>
          </cell>
          <cell r="K552">
            <v>0</v>
          </cell>
          <cell r="L552">
            <v>0</v>
          </cell>
          <cell r="M552">
            <v>0</v>
          </cell>
          <cell r="N552">
            <v>0</v>
          </cell>
          <cell r="O552">
            <v>0</v>
          </cell>
          <cell r="P552">
            <v>0</v>
          </cell>
          <cell r="Q552">
            <v>0</v>
          </cell>
        </row>
        <row r="553">
          <cell r="A553">
            <v>70302</v>
          </cell>
          <cell r="B553" t="str">
            <v>Computer Supplies</v>
          </cell>
          <cell r="E553">
            <v>0</v>
          </cell>
          <cell r="F553">
            <v>435.77</v>
          </cell>
          <cell r="G553">
            <v>693.82</v>
          </cell>
          <cell r="H553">
            <v>0</v>
          </cell>
          <cell r="I553">
            <v>0</v>
          </cell>
          <cell r="J553">
            <v>0</v>
          </cell>
          <cell r="K553">
            <v>71.819999999999993</v>
          </cell>
          <cell r="L553">
            <v>73.77</v>
          </cell>
          <cell r="M553">
            <v>0</v>
          </cell>
          <cell r="N553">
            <v>0</v>
          </cell>
          <cell r="O553">
            <v>0</v>
          </cell>
          <cell r="P553">
            <v>561.86</v>
          </cell>
          <cell r="Q553">
            <v>1837.04</v>
          </cell>
        </row>
        <row r="554">
          <cell r="A554">
            <v>70310</v>
          </cell>
          <cell r="B554" t="str">
            <v>Bad Debt Provision</v>
          </cell>
          <cell r="E554">
            <v>-38144.620000000003</v>
          </cell>
          <cell r="F554">
            <v>34133.97</v>
          </cell>
          <cell r="G554">
            <v>-43595.040000000001</v>
          </cell>
          <cell r="H554">
            <v>39178.03</v>
          </cell>
          <cell r="I554">
            <v>-23435.439999999999</v>
          </cell>
          <cell r="J554">
            <v>54303.69</v>
          </cell>
          <cell r="K554">
            <v>-33171.480000000003</v>
          </cell>
          <cell r="L554">
            <v>54213.2</v>
          </cell>
          <cell r="M554">
            <v>-34096.239999999998</v>
          </cell>
          <cell r="N554">
            <v>57772.45</v>
          </cell>
          <cell r="O554">
            <v>-39518.949999999997</v>
          </cell>
          <cell r="P554">
            <v>53267.67</v>
          </cell>
          <cell r="Q554">
            <v>80907.239999999991</v>
          </cell>
        </row>
        <row r="555">
          <cell r="A555">
            <v>70315</v>
          </cell>
          <cell r="B555" t="str">
            <v>Bad Debt Recoveries</v>
          </cell>
          <cell r="E555">
            <v>0</v>
          </cell>
          <cell r="F555">
            <v>0</v>
          </cell>
          <cell r="G555">
            <v>0</v>
          </cell>
          <cell r="H555">
            <v>0</v>
          </cell>
          <cell r="I555">
            <v>0</v>
          </cell>
          <cell r="J555">
            <v>0</v>
          </cell>
          <cell r="K555">
            <v>0</v>
          </cell>
          <cell r="L555">
            <v>0</v>
          </cell>
          <cell r="M555">
            <v>0</v>
          </cell>
          <cell r="N555">
            <v>0</v>
          </cell>
          <cell r="O555">
            <v>0</v>
          </cell>
          <cell r="P555">
            <v>0</v>
          </cell>
          <cell r="Q555">
            <v>0</v>
          </cell>
        </row>
        <row r="556">
          <cell r="A556">
            <v>70320</v>
          </cell>
          <cell r="B556" t="str">
            <v>Credit and Collection</v>
          </cell>
          <cell r="E556">
            <v>6198.28</v>
          </cell>
          <cell r="F556">
            <v>9319.4599999999991</v>
          </cell>
          <cell r="G556">
            <v>5273.3</v>
          </cell>
          <cell r="H556">
            <v>8215.32</v>
          </cell>
          <cell r="I556">
            <v>5615.84</v>
          </cell>
          <cell r="J556">
            <v>3201.73</v>
          </cell>
          <cell r="K556">
            <v>4767.67</v>
          </cell>
          <cell r="L556">
            <v>2810.14</v>
          </cell>
          <cell r="M556">
            <v>5490.95</v>
          </cell>
          <cell r="N556">
            <v>4968.87</v>
          </cell>
          <cell r="O556">
            <v>5918.1</v>
          </cell>
          <cell r="P556">
            <v>0</v>
          </cell>
          <cell r="Q556">
            <v>61779.659999999996</v>
          </cell>
        </row>
        <row r="557">
          <cell r="A557">
            <v>70324</v>
          </cell>
          <cell r="B557" t="str">
            <v>Penalties and Violations</v>
          </cell>
          <cell r="E557">
            <v>0</v>
          </cell>
          <cell r="F557">
            <v>0</v>
          </cell>
          <cell r="G557">
            <v>0</v>
          </cell>
          <cell r="H557">
            <v>0</v>
          </cell>
          <cell r="I557">
            <v>0</v>
          </cell>
          <cell r="J557">
            <v>0</v>
          </cell>
          <cell r="K557">
            <v>0</v>
          </cell>
          <cell r="L557">
            <v>0</v>
          </cell>
          <cell r="M557">
            <v>0</v>
          </cell>
          <cell r="N557">
            <v>0</v>
          </cell>
          <cell r="O557">
            <v>0</v>
          </cell>
          <cell r="P557">
            <v>0</v>
          </cell>
          <cell r="Q557">
            <v>0</v>
          </cell>
        </row>
        <row r="558">
          <cell r="A558">
            <v>70325</v>
          </cell>
          <cell r="B558" t="str">
            <v>Legal Settlement Payments</v>
          </cell>
          <cell r="E558">
            <v>0</v>
          </cell>
          <cell r="F558">
            <v>0</v>
          </cell>
          <cell r="G558">
            <v>0</v>
          </cell>
          <cell r="H558">
            <v>0</v>
          </cell>
          <cell r="I558">
            <v>0</v>
          </cell>
          <cell r="J558">
            <v>0</v>
          </cell>
          <cell r="K558">
            <v>0</v>
          </cell>
          <cell r="L558">
            <v>0</v>
          </cell>
          <cell r="M558">
            <v>0</v>
          </cell>
          <cell r="N558">
            <v>0</v>
          </cell>
          <cell r="O558">
            <v>0</v>
          </cell>
          <cell r="P558">
            <v>0</v>
          </cell>
          <cell r="Q558">
            <v>0</v>
          </cell>
        </row>
        <row r="559">
          <cell r="A559">
            <v>70326</v>
          </cell>
          <cell r="B559" t="str">
            <v>Deductible Current Year</v>
          </cell>
          <cell r="E559">
            <v>0</v>
          </cell>
          <cell r="F559">
            <v>0</v>
          </cell>
          <cell r="G559">
            <v>0</v>
          </cell>
          <cell r="H559">
            <v>0</v>
          </cell>
          <cell r="I559">
            <v>0</v>
          </cell>
          <cell r="J559">
            <v>0</v>
          </cell>
          <cell r="K559">
            <v>0</v>
          </cell>
          <cell r="L559">
            <v>0</v>
          </cell>
          <cell r="M559">
            <v>0</v>
          </cell>
          <cell r="N559">
            <v>0</v>
          </cell>
          <cell r="O559">
            <v>0</v>
          </cell>
          <cell r="P559">
            <v>0</v>
          </cell>
          <cell r="Q559">
            <v>0</v>
          </cell>
        </row>
        <row r="560">
          <cell r="A560">
            <v>70327</v>
          </cell>
          <cell r="B560" t="str">
            <v>Deductible Dammage</v>
          </cell>
          <cell r="E560">
            <v>0</v>
          </cell>
          <cell r="F560">
            <v>0</v>
          </cell>
          <cell r="G560">
            <v>0</v>
          </cell>
          <cell r="H560">
            <v>0</v>
          </cell>
          <cell r="I560">
            <v>0</v>
          </cell>
          <cell r="J560">
            <v>0</v>
          </cell>
          <cell r="K560">
            <v>0</v>
          </cell>
          <cell r="L560">
            <v>0</v>
          </cell>
          <cell r="M560">
            <v>0</v>
          </cell>
          <cell r="N560">
            <v>0</v>
          </cell>
          <cell r="O560">
            <v>0</v>
          </cell>
          <cell r="P560">
            <v>0</v>
          </cell>
          <cell r="Q560">
            <v>0</v>
          </cell>
        </row>
        <row r="561">
          <cell r="A561">
            <v>70328</v>
          </cell>
          <cell r="B561" t="str">
            <v>Claim Recoveries</v>
          </cell>
          <cell r="E561">
            <v>0</v>
          </cell>
          <cell r="F561">
            <v>0</v>
          </cell>
          <cell r="G561">
            <v>0</v>
          </cell>
          <cell r="H561">
            <v>0</v>
          </cell>
          <cell r="I561">
            <v>0</v>
          </cell>
          <cell r="J561">
            <v>0</v>
          </cell>
          <cell r="K561">
            <v>0</v>
          </cell>
          <cell r="L561">
            <v>0</v>
          </cell>
          <cell r="M561">
            <v>0</v>
          </cell>
          <cell r="N561">
            <v>0</v>
          </cell>
          <cell r="O561">
            <v>0</v>
          </cell>
          <cell r="P561">
            <v>0</v>
          </cell>
          <cell r="Q561">
            <v>0</v>
          </cell>
        </row>
        <row r="562">
          <cell r="A562">
            <v>70330</v>
          </cell>
          <cell r="B562" t="str">
            <v>Deductible Prior Year</v>
          </cell>
          <cell r="E562">
            <v>0</v>
          </cell>
          <cell r="F562">
            <v>0</v>
          </cell>
          <cell r="G562">
            <v>0</v>
          </cell>
          <cell r="H562">
            <v>0</v>
          </cell>
          <cell r="I562">
            <v>0</v>
          </cell>
          <cell r="J562">
            <v>0</v>
          </cell>
          <cell r="K562">
            <v>0</v>
          </cell>
          <cell r="L562">
            <v>0</v>
          </cell>
          <cell r="M562">
            <v>0</v>
          </cell>
          <cell r="N562">
            <v>0</v>
          </cell>
          <cell r="O562">
            <v>0</v>
          </cell>
          <cell r="P562">
            <v>0</v>
          </cell>
          <cell r="Q562">
            <v>0</v>
          </cell>
        </row>
        <row r="563">
          <cell r="A563">
            <v>70335</v>
          </cell>
          <cell r="B563" t="str">
            <v>Miscellaneous</v>
          </cell>
          <cell r="E563">
            <v>0</v>
          </cell>
          <cell r="F563">
            <v>-78.28</v>
          </cell>
          <cell r="G563">
            <v>0</v>
          </cell>
          <cell r="H563">
            <v>-123.75</v>
          </cell>
          <cell r="I563">
            <v>0</v>
          </cell>
          <cell r="J563">
            <v>0</v>
          </cell>
          <cell r="K563">
            <v>0</v>
          </cell>
          <cell r="L563">
            <v>0</v>
          </cell>
          <cell r="M563">
            <v>0</v>
          </cell>
          <cell r="N563">
            <v>0</v>
          </cell>
          <cell r="O563">
            <v>0</v>
          </cell>
          <cell r="P563">
            <v>0</v>
          </cell>
          <cell r="Q563">
            <v>-202.03</v>
          </cell>
        </row>
        <row r="564">
          <cell r="A564">
            <v>70336</v>
          </cell>
          <cell r="B564" t="str">
            <v>Coffe Bar</v>
          </cell>
          <cell r="E564">
            <v>0</v>
          </cell>
          <cell r="F564">
            <v>0</v>
          </cell>
          <cell r="G564">
            <v>0</v>
          </cell>
          <cell r="H564">
            <v>0</v>
          </cell>
          <cell r="I564">
            <v>0</v>
          </cell>
          <cell r="J564">
            <v>0</v>
          </cell>
          <cell r="K564">
            <v>0</v>
          </cell>
          <cell r="L564">
            <v>38.020000000000003</v>
          </cell>
          <cell r="M564">
            <v>0</v>
          </cell>
          <cell r="N564">
            <v>-38.020000000000003</v>
          </cell>
          <cell r="O564">
            <v>0</v>
          </cell>
          <cell r="P564">
            <v>0</v>
          </cell>
          <cell r="Q564">
            <v>0</v>
          </cell>
        </row>
        <row r="565">
          <cell r="A565">
            <v>70345</v>
          </cell>
          <cell r="B565" t="str">
            <v>Security Services</v>
          </cell>
          <cell r="E565">
            <v>0</v>
          </cell>
          <cell r="F565">
            <v>0</v>
          </cell>
          <cell r="G565">
            <v>0</v>
          </cell>
          <cell r="H565">
            <v>0</v>
          </cell>
          <cell r="I565">
            <v>0</v>
          </cell>
          <cell r="J565">
            <v>0</v>
          </cell>
          <cell r="K565">
            <v>0</v>
          </cell>
          <cell r="L565">
            <v>0</v>
          </cell>
          <cell r="M565">
            <v>0</v>
          </cell>
          <cell r="N565">
            <v>0</v>
          </cell>
          <cell r="O565">
            <v>0</v>
          </cell>
          <cell r="P565">
            <v>0</v>
          </cell>
          <cell r="Q565">
            <v>0</v>
          </cell>
        </row>
        <row r="566">
          <cell r="A566">
            <v>70357</v>
          </cell>
          <cell r="B566" t="str">
            <v>Permits</v>
          </cell>
          <cell r="E566">
            <v>0</v>
          </cell>
          <cell r="F566">
            <v>0</v>
          </cell>
          <cell r="G566">
            <v>0</v>
          </cell>
          <cell r="H566">
            <v>0</v>
          </cell>
          <cell r="I566">
            <v>0</v>
          </cell>
          <cell r="J566">
            <v>0</v>
          </cell>
          <cell r="K566">
            <v>0</v>
          </cell>
          <cell r="L566">
            <v>0</v>
          </cell>
          <cell r="M566">
            <v>0</v>
          </cell>
          <cell r="N566">
            <v>0</v>
          </cell>
          <cell r="O566">
            <v>0</v>
          </cell>
          <cell r="P566">
            <v>0</v>
          </cell>
          <cell r="Q566">
            <v>0</v>
          </cell>
        </row>
        <row r="567">
          <cell r="A567">
            <v>70370</v>
          </cell>
          <cell r="B567" t="str">
            <v>Bonds Expense</v>
          </cell>
          <cell r="E567">
            <v>0</v>
          </cell>
          <cell r="F567">
            <v>0</v>
          </cell>
          <cell r="G567">
            <v>0</v>
          </cell>
          <cell r="H567">
            <v>0</v>
          </cell>
          <cell r="I567">
            <v>0</v>
          </cell>
          <cell r="J567">
            <v>0</v>
          </cell>
          <cell r="K567">
            <v>0</v>
          </cell>
          <cell r="L567">
            <v>0</v>
          </cell>
          <cell r="M567">
            <v>0</v>
          </cell>
          <cell r="N567">
            <v>0</v>
          </cell>
          <cell r="O567">
            <v>0</v>
          </cell>
          <cell r="P567">
            <v>0</v>
          </cell>
          <cell r="Q567">
            <v>0</v>
          </cell>
        </row>
        <row r="568">
          <cell r="A568">
            <v>70371</v>
          </cell>
          <cell r="B568" t="str">
            <v>Board of Directors Fees</v>
          </cell>
          <cell r="E568">
            <v>0</v>
          </cell>
          <cell r="F568">
            <v>0</v>
          </cell>
          <cell r="G568">
            <v>0</v>
          </cell>
          <cell r="H568">
            <v>0</v>
          </cell>
          <cell r="I568">
            <v>0</v>
          </cell>
          <cell r="J568">
            <v>0</v>
          </cell>
          <cell r="K568">
            <v>0</v>
          </cell>
          <cell r="L568">
            <v>0</v>
          </cell>
          <cell r="M568">
            <v>0</v>
          </cell>
          <cell r="N568">
            <v>0</v>
          </cell>
          <cell r="O568">
            <v>0</v>
          </cell>
          <cell r="P568">
            <v>0</v>
          </cell>
          <cell r="Q568">
            <v>0</v>
          </cell>
        </row>
        <row r="569">
          <cell r="A569">
            <v>70372</v>
          </cell>
          <cell r="B569" t="str">
            <v>Board of Directors Expense Report</v>
          </cell>
          <cell r="E569">
            <v>0</v>
          </cell>
          <cell r="F569">
            <v>0</v>
          </cell>
          <cell r="G569">
            <v>0</v>
          </cell>
          <cell r="H569">
            <v>0</v>
          </cell>
          <cell r="I569">
            <v>0</v>
          </cell>
          <cell r="J569">
            <v>0</v>
          </cell>
          <cell r="K569">
            <v>0</v>
          </cell>
          <cell r="L569">
            <v>0</v>
          </cell>
          <cell r="M569">
            <v>0</v>
          </cell>
          <cell r="N569">
            <v>0</v>
          </cell>
          <cell r="O569">
            <v>0</v>
          </cell>
          <cell r="P569">
            <v>0</v>
          </cell>
          <cell r="Q569">
            <v>0</v>
          </cell>
        </row>
        <row r="570">
          <cell r="A570">
            <v>70475</v>
          </cell>
          <cell r="B570" t="str">
            <v>Trade Shows</v>
          </cell>
          <cell r="E570">
            <v>0</v>
          </cell>
          <cell r="F570">
            <v>0</v>
          </cell>
          <cell r="G570">
            <v>0</v>
          </cell>
          <cell r="H570">
            <v>0</v>
          </cell>
          <cell r="I570">
            <v>0</v>
          </cell>
          <cell r="J570">
            <v>0</v>
          </cell>
          <cell r="K570">
            <v>0</v>
          </cell>
          <cell r="L570">
            <v>0</v>
          </cell>
          <cell r="M570">
            <v>0</v>
          </cell>
          <cell r="N570">
            <v>0</v>
          </cell>
          <cell r="O570">
            <v>0</v>
          </cell>
          <cell r="P570">
            <v>0</v>
          </cell>
          <cell r="Q570">
            <v>0</v>
          </cell>
        </row>
        <row r="571">
          <cell r="A571">
            <v>70900</v>
          </cell>
          <cell r="B571" t="str">
            <v>Entitiy Formation Costs</v>
          </cell>
          <cell r="E571">
            <v>0</v>
          </cell>
          <cell r="F571">
            <v>0</v>
          </cell>
          <cell r="G571">
            <v>0</v>
          </cell>
          <cell r="H571">
            <v>0</v>
          </cell>
          <cell r="I571">
            <v>0</v>
          </cell>
          <cell r="J571">
            <v>0</v>
          </cell>
          <cell r="K571">
            <v>0</v>
          </cell>
          <cell r="L571">
            <v>0</v>
          </cell>
          <cell r="M571">
            <v>0</v>
          </cell>
          <cell r="N571">
            <v>0</v>
          </cell>
          <cell r="O571">
            <v>0</v>
          </cell>
          <cell r="P571">
            <v>0</v>
          </cell>
          <cell r="Q571">
            <v>0</v>
          </cell>
        </row>
        <row r="572">
          <cell r="A572">
            <v>70998</v>
          </cell>
          <cell r="B572" t="str">
            <v>Allocation Out - District</v>
          </cell>
          <cell r="E572">
            <v>0</v>
          </cell>
          <cell r="F572">
            <v>0</v>
          </cell>
          <cell r="G572">
            <v>0</v>
          </cell>
          <cell r="H572">
            <v>0</v>
          </cell>
          <cell r="I572">
            <v>0</v>
          </cell>
          <cell r="J572">
            <v>0</v>
          </cell>
          <cell r="K572">
            <v>0</v>
          </cell>
          <cell r="L572">
            <v>0</v>
          </cell>
          <cell r="M572">
            <v>0</v>
          </cell>
          <cell r="N572">
            <v>0</v>
          </cell>
          <cell r="O572">
            <v>0</v>
          </cell>
          <cell r="P572">
            <v>0</v>
          </cell>
          <cell r="Q572">
            <v>0</v>
          </cell>
        </row>
        <row r="573">
          <cell r="A573">
            <v>70999</v>
          </cell>
          <cell r="B573" t="str">
            <v>Allocation Out - Out District</v>
          </cell>
          <cell r="E573">
            <v>0</v>
          </cell>
          <cell r="F573">
            <v>0</v>
          </cell>
          <cell r="G573">
            <v>0</v>
          </cell>
          <cell r="H573">
            <v>0</v>
          </cell>
          <cell r="I573">
            <v>0</v>
          </cell>
          <cell r="J573">
            <v>0</v>
          </cell>
          <cell r="K573">
            <v>0</v>
          </cell>
          <cell r="L573">
            <v>0</v>
          </cell>
          <cell r="M573">
            <v>0</v>
          </cell>
          <cell r="N573">
            <v>0</v>
          </cell>
          <cell r="O573">
            <v>0</v>
          </cell>
          <cell r="P573">
            <v>0</v>
          </cell>
          <cell r="Q573">
            <v>0</v>
          </cell>
        </row>
        <row r="574">
          <cell r="A574">
            <v>71000</v>
          </cell>
          <cell r="B574" t="str">
            <v>Stock Comp Expense</v>
          </cell>
          <cell r="E574">
            <v>0</v>
          </cell>
          <cell r="F574">
            <v>0</v>
          </cell>
          <cell r="G574">
            <v>0</v>
          </cell>
          <cell r="H574">
            <v>0</v>
          </cell>
          <cell r="I574">
            <v>0</v>
          </cell>
          <cell r="J574">
            <v>0</v>
          </cell>
          <cell r="K574">
            <v>0</v>
          </cell>
          <cell r="L574">
            <v>0</v>
          </cell>
          <cell r="M574">
            <v>0</v>
          </cell>
          <cell r="N574">
            <v>0</v>
          </cell>
          <cell r="O574">
            <v>0</v>
          </cell>
          <cell r="P574">
            <v>0</v>
          </cell>
          <cell r="Q574">
            <v>0</v>
          </cell>
        </row>
        <row r="575">
          <cell r="A575" t="str">
            <v>Total G&amp;A</v>
          </cell>
          <cell r="E575">
            <v>135458.46000000002</v>
          </cell>
          <cell r="F575">
            <v>208641.47999999992</v>
          </cell>
          <cell r="G575">
            <v>98781.099999999962</v>
          </cell>
          <cell r="H575">
            <v>225439.98</v>
          </cell>
          <cell r="I575">
            <v>124024.28</v>
          </cell>
          <cell r="J575">
            <v>224140.84000000008</v>
          </cell>
          <cell r="K575">
            <v>154049.73000000004</v>
          </cell>
          <cell r="L575">
            <v>264592.3</v>
          </cell>
          <cell r="M575">
            <v>109926.17</v>
          </cell>
          <cell r="N575">
            <v>249406.65000000005</v>
          </cell>
          <cell r="O575">
            <v>123801.06999999996</v>
          </cell>
          <cell r="P575">
            <v>250967.55000000005</v>
          </cell>
          <cell r="Q575">
            <v>2169229.61</v>
          </cell>
        </row>
        <row r="577">
          <cell r="A577" t="str">
            <v>Overhead</v>
          </cell>
        </row>
        <row r="578">
          <cell r="A578">
            <v>70149</v>
          </cell>
          <cell r="B578" t="str">
            <v>Corporate Overhead Allocation In</v>
          </cell>
          <cell r="E578">
            <v>95576.95</v>
          </cell>
          <cell r="F578">
            <v>93754.57</v>
          </cell>
          <cell r="G578">
            <v>96892.32</v>
          </cell>
          <cell r="H578">
            <v>96287.7</v>
          </cell>
          <cell r="I578">
            <v>98950.95</v>
          </cell>
          <cell r="J578">
            <v>99254.64</v>
          </cell>
          <cell r="K578">
            <v>97352.26</v>
          </cell>
          <cell r="L578">
            <v>97777.96</v>
          </cell>
          <cell r="M578">
            <v>98592.93</v>
          </cell>
          <cell r="N578">
            <v>101400.48</v>
          </cell>
          <cell r="O578">
            <v>100544.01</v>
          </cell>
          <cell r="P578">
            <v>100617.72</v>
          </cell>
          <cell r="Q578">
            <v>1177002.49</v>
          </cell>
        </row>
        <row r="579">
          <cell r="A579">
            <v>70159</v>
          </cell>
          <cell r="B579" t="str">
            <v>Region Overhead Allocation In</v>
          </cell>
          <cell r="E579">
            <v>0</v>
          </cell>
          <cell r="F579">
            <v>0</v>
          </cell>
          <cell r="G579">
            <v>0</v>
          </cell>
          <cell r="H579">
            <v>0</v>
          </cell>
          <cell r="I579">
            <v>0</v>
          </cell>
          <cell r="J579">
            <v>0</v>
          </cell>
          <cell r="K579">
            <v>0</v>
          </cell>
          <cell r="L579">
            <v>0</v>
          </cell>
          <cell r="M579">
            <v>0</v>
          </cell>
          <cell r="N579">
            <v>0</v>
          </cell>
          <cell r="O579">
            <v>0</v>
          </cell>
          <cell r="P579">
            <v>0</v>
          </cell>
          <cell r="Q579">
            <v>0</v>
          </cell>
        </row>
        <row r="580">
          <cell r="A580" t="str">
            <v>Total Overhead</v>
          </cell>
          <cell r="E580">
            <v>95576.95</v>
          </cell>
          <cell r="F580">
            <v>93754.57</v>
          </cell>
          <cell r="G580">
            <v>96892.32</v>
          </cell>
          <cell r="H580">
            <v>96287.7</v>
          </cell>
          <cell r="I580">
            <v>98950.95</v>
          </cell>
          <cell r="J580">
            <v>99254.64</v>
          </cell>
          <cell r="K580">
            <v>97352.26</v>
          </cell>
          <cell r="L580">
            <v>97777.96</v>
          </cell>
          <cell r="M580">
            <v>98592.93</v>
          </cell>
          <cell r="N580">
            <v>101400.48</v>
          </cell>
          <cell r="O580">
            <v>100544.01</v>
          </cell>
          <cell r="P580">
            <v>100617.72</v>
          </cell>
          <cell r="Q580">
            <v>1177002.49</v>
          </cell>
        </row>
        <row r="582">
          <cell r="A582" t="str">
            <v>Total SG&amp;A</v>
          </cell>
          <cell r="E582">
            <v>246511.28000000003</v>
          </cell>
          <cell r="F582">
            <v>305793.68999999994</v>
          </cell>
          <cell r="G582">
            <v>203965.25999999998</v>
          </cell>
          <cell r="H582">
            <v>328473.28999999998</v>
          </cell>
          <cell r="I582">
            <v>228706.00999999998</v>
          </cell>
          <cell r="J582">
            <v>331450.5400000001</v>
          </cell>
          <cell r="K582">
            <v>256165.84000000005</v>
          </cell>
          <cell r="L582">
            <v>365954.82</v>
          </cell>
          <cell r="M582">
            <v>239060.30999999997</v>
          </cell>
          <cell r="N582">
            <v>379132.25000000006</v>
          </cell>
          <cell r="O582">
            <v>228004.79999999996</v>
          </cell>
          <cell r="P582">
            <v>390132.22000000003</v>
          </cell>
          <cell r="Q582">
            <v>3503350.3099999996</v>
          </cell>
        </row>
        <row r="584">
          <cell r="A584" t="str">
            <v>EBITDA</v>
          </cell>
          <cell r="E584">
            <v>712085.01999999979</v>
          </cell>
          <cell r="F584">
            <v>772605.35999999987</v>
          </cell>
          <cell r="G584">
            <v>776716.52999999991</v>
          </cell>
          <cell r="H584">
            <v>731539.77</v>
          </cell>
          <cell r="I584">
            <v>769618.66999999934</v>
          </cell>
          <cell r="J584">
            <v>552555.60000000033</v>
          </cell>
          <cell r="K584">
            <v>743010.76999999932</v>
          </cell>
          <cell r="L584">
            <v>663397.72999999952</v>
          </cell>
          <cell r="M584">
            <v>766161.14</v>
          </cell>
          <cell r="N584">
            <v>683037.77000000048</v>
          </cell>
          <cell r="O584">
            <v>782671.56999999972</v>
          </cell>
          <cell r="P584">
            <v>621819.83000000031</v>
          </cell>
          <cell r="Q584">
            <v>8575219.7600000016</v>
          </cell>
        </row>
        <row r="586">
          <cell r="A586" t="str">
            <v>DD&amp;A</v>
          </cell>
        </row>
        <row r="587">
          <cell r="A587" t="str">
            <v>Depreciation</v>
          </cell>
        </row>
        <row r="588">
          <cell r="A588">
            <v>51260</v>
          </cell>
          <cell r="B588" t="str">
            <v>Depreciation</v>
          </cell>
          <cell r="E588">
            <v>128653.02</v>
          </cell>
          <cell r="F588">
            <v>131370.81</v>
          </cell>
          <cell r="G588">
            <v>131344.75</v>
          </cell>
          <cell r="H588">
            <v>130833.62</v>
          </cell>
          <cell r="I588">
            <v>128898.54</v>
          </cell>
          <cell r="J588">
            <v>124756.98</v>
          </cell>
          <cell r="K588">
            <v>129780.01</v>
          </cell>
          <cell r="L588">
            <v>124499.33</v>
          </cell>
          <cell r="M588">
            <v>116250.86</v>
          </cell>
          <cell r="N588">
            <v>116469.34</v>
          </cell>
          <cell r="O588">
            <v>115552.67</v>
          </cell>
          <cell r="P588">
            <v>115400.84</v>
          </cell>
          <cell r="Q588">
            <v>1493810.77</v>
          </cell>
        </row>
        <row r="589">
          <cell r="A589">
            <v>54260</v>
          </cell>
          <cell r="B589" t="str">
            <v>Depreciation</v>
          </cell>
          <cell r="E589">
            <v>44644.21</v>
          </cell>
          <cell r="F589">
            <v>45130.14</v>
          </cell>
          <cell r="G589">
            <v>45176.2</v>
          </cell>
          <cell r="H589">
            <v>45736.24</v>
          </cell>
          <cell r="I589">
            <v>45872.49</v>
          </cell>
          <cell r="J589">
            <v>46097.22</v>
          </cell>
          <cell r="K589">
            <v>46974.19</v>
          </cell>
          <cell r="L589">
            <v>47668</v>
          </cell>
          <cell r="M589">
            <v>47777.17</v>
          </cell>
          <cell r="N589">
            <v>47529.919999999998</v>
          </cell>
          <cell r="O589">
            <v>47583.6</v>
          </cell>
          <cell r="P589">
            <v>47682.03</v>
          </cell>
          <cell r="Q589">
            <v>557871.40999999992</v>
          </cell>
        </row>
        <row r="590">
          <cell r="A590">
            <v>56260</v>
          </cell>
          <cell r="B590" t="str">
            <v>Depreciation</v>
          </cell>
          <cell r="E590">
            <v>0</v>
          </cell>
          <cell r="F590">
            <v>0</v>
          </cell>
          <cell r="G590">
            <v>0</v>
          </cell>
          <cell r="H590">
            <v>0</v>
          </cell>
          <cell r="I590">
            <v>0</v>
          </cell>
          <cell r="J590">
            <v>0</v>
          </cell>
          <cell r="K590">
            <v>0</v>
          </cell>
          <cell r="L590">
            <v>0</v>
          </cell>
          <cell r="M590">
            <v>0</v>
          </cell>
          <cell r="N590">
            <v>0</v>
          </cell>
          <cell r="O590">
            <v>0</v>
          </cell>
          <cell r="P590">
            <v>0</v>
          </cell>
          <cell r="Q590">
            <v>0</v>
          </cell>
        </row>
        <row r="591">
          <cell r="A591">
            <v>57260</v>
          </cell>
          <cell r="B591" t="str">
            <v>Depreciation</v>
          </cell>
          <cell r="E591">
            <v>5579.13</v>
          </cell>
          <cell r="F591">
            <v>5579.15</v>
          </cell>
          <cell r="G591">
            <v>5579.14</v>
          </cell>
          <cell r="H591">
            <v>5579.12</v>
          </cell>
          <cell r="I591">
            <v>5579.14</v>
          </cell>
          <cell r="J591">
            <v>5579.19</v>
          </cell>
          <cell r="K591">
            <v>5579.09</v>
          </cell>
          <cell r="L591">
            <v>5579.1</v>
          </cell>
          <cell r="M591">
            <v>5521.44</v>
          </cell>
          <cell r="N591">
            <v>5521.33</v>
          </cell>
          <cell r="O591">
            <v>5521.37</v>
          </cell>
          <cell r="P591">
            <v>5521.3</v>
          </cell>
          <cell r="Q591">
            <v>66718.5</v>
          </cell>
        </row>
        <row r="592">
          <cell r="A592">
            <v>60260</v>
          </cell>
          <cell r="B592" t="str">
            <v>Depreciation</v>
          </cell>
          <cell r="E592">
            <v>0</v>
          </cell>
          <cell r="F592">
            <v>0</v>
          </cell>
          <cell r="G592">
            <v>0</v>
          </cell>
          <cell r="H592">
            <v>0</v>
          </cell>
          <cell r="I592">
            <v>0</v>
          </cell>
          <cell r="J592">
            <v>0</v>
          </cell>
          <cell r="K592">
            <v>0</v>
          </cell>
          <cell r="L592">
            <v>0</v>
          </cell>
          <cell r="M592">
            <v>0</v>
          </cell>
          <cell r="N592">
            <v>0</v>
          </cell>
          <cell r="O592">
            <v>0</v>
          </cell>
          <cell r="P592">
            <v>0</v>
          </cell>
          <cell r="Q592">
            <v>0</v>
          </cell>
        </row>
        <row r="593">
          <cell r="A593">
            <v>70257</v>
          </cell>
          <cell r="B593" t="str">
            <v>Depreciation</v>
          </cell>
          <cell r="E593">
            <v>0</v>
          </cell>
          <cell r="F593">
            <v>0</v>
          </cell>
          <cell r="G593">
            <v>0</v>
          </cell>
          <cell r="H593">
            <v>0</v>
          </cell>
          <cell r="I593">
            <v>0</v>
          </cell>
          <cell r="J593">
            <v>0</v>
          </cell>
          <cell r="K593">
            <v>0</v>
          </cell>
          <cell r="L593">
            <v>0</v>
          </cell>
          <cell r="M593">
            <v>0</v>
          </cell>
          <cell r="N593">
            <v>0</v>
          </cell>
          <cell r="O593">
            <v>0</v>
          </cell>
          <cell r="P593">
            <v>0</v>
          </cell>
          <cell r="Q593">
            <v>0</v>
          </cell>
        </row>
        <row r="594">
          <cell r="A594">
            <v>70260</v>
          </cell>
          <cell r="B594" t="str">
            <v>Depreciation</v>
          </cell>
          <cell r="E594">
            <v>819.53</v>
          </cell>
          <cell r="F594">
            <v>819.52</v>
          </cell>
          <cell r="G594">
            <v>819.52</v>
          </cell>
          <cell r="H594">
            <v>819.45</v>
          </cell>
          <cell r="I594">
            <v>622.97</v>
          </cell>
          <cell r="J594">
            <v>622.99</v>
          </cell>
          <cell r="K594">
            <v>622.98</v>
          </cell>
          <cell r="L594">
            <v>622.91</v>
          </cell>
          <cell r="M594">
            <v>451.09</v>
          </cell>
          <cell r="N594">
            <v>451.1</v>
          </cell>
          <cell r="O594">
            <v>430.18</v>
          </cell>
          <cell r="P594">
            <v>386.57</v>
          </cell>
          <cell r="Q594">
            <v>7488.8099999999995</v>
          </cell>
        </row>
        <row r="595">
          <cell r="A595" t="str">
            <v>Total Depreciation</v>
          </cell>
          <cell r="E595">
            <v>179695.89</v>
          </cell>
          <cell r="F595">
            <v>182899.62</v>
          </cell>
          <cell r="G595">
            <v>182919.61000000002</v>
          </cell>
          <cell r="H595">
            <v>182968.43</v>
          </cell>
          <cell r="I595">
            <v>180973.14</v>
          </cell>
          <cell r="J595">
            <v>177056.38</v>
          </cell>
          <cell r="K595">
            <v>182956.27000000002</v>
          </cell>
          <cell r="L595">
            <v>178369.34000000003</v>
          </cell>
          <cell r="M595">
            <v>170000.56</v>
          </cell>
          <cell r="N595">
            <v>169971.69</v>
          </cell>
          <cell r="O595">
            <v>169087.81999999998</v>
          </cell>
          <cell r="P595">
            <v>168990.74</v>
          </cell>
          <cell r="Q595">
            <v>2125889.4899999998</v>
          </cell>
        </row>
        <row r="597">
          <cell r="A597" t="str">
            <v>Depletion</v>
          </cell>
        </row>
        <row r="598">
          <cell r="A598">
            <v>46000</v>
          </cell>
          <cell r="B598" t="str">
            <v>Depletion</v>
          </cell>
          <cell r="E598">
            <v>0</v>
          </cell>
          <cell r="F598">
            <v>0</v>
          </cell>
          <cell r="G598">
            <v>0</v>
          </cell>
          <cell r="H598">
            <v>0</v>
          </cell>
          <cell r="I598">
            <v>0</v>
          </cell>
          <cell r="J598">
            <v>0</v>
          </cell>
          <cell r="K598">
            <v>0</v>
          </cell>
          <cell r="L598">
            <v>0</v>
          </cell>
          <cell r="M598">
            <v>0</v>
          </cell>
          <cell r="N598">
            <v>0</v>
          </cell>
          <cell r="O598">
            <v>0</v>
          </cell>
          <cell r="P598">
            <v>0</v>
          </cell>
          <cell r="Q598">
            <v>0</v>
          </cell>
        </row>
        <row r="599">
          <cell r="A599">
            <v>46010</v>
          </cell>
          <cell r="B599" t="str">
            <v>Closure Amortization</v>
          </cell>
          <cell r="E599">
            <v>0</v>
          </cell>
          <cell r="F599">
            <v>0</v>
          </cell>
          <cell r="G599">
            <v>0</v>
          </cell>
          <cell r="H599">
            <v>0</v>
          </cell>
          <cell r="I599">
            <v>0</v>
          </cell>
          <cell r="J599">
            <v>0</v>
          </cell>
          <cell r="K599">
            <v>0</v>
          </cell>
          <cell r="L599">
            <v>0</v>
          </cell>
          <cell r="M599">
            <v>0</v>
          </cell>
          <cell r="N599">
            <v>0</v>
          </cell>
          <cell r="O599">
            <v>0</v>
          </cell>
          <cell r="P599">
            <v>0</v>
          </cell>
          <cell r="Q599">
            <v>0</v>
          </cell>
        </row>
        <row r="600">
          <cell r="A600">
            <v>57261</v>
          </cell>
          <cell r="B600" t="str">
            <v>Airspace Amortization</v>
          </cell>
          <cell r="E600">
            <v>0</v>
          </cell>
          <cell r="F600">
            <v>0</v>
          </cell>
          <cell r="G600">
            <v>0</v>
          </cell>
          <cell r="H600">
            <v>0</v>
          </cell>
          <cell r="I600">
            <v>0</v>
          </cell>
          <cell r="J600">
            <v>0</v>
          </cell>
          <cell r="K600">
            <v>0</v>
          </cell>
          <cell r="L600">
            <v>0</v>
          </cell>
          <cell r="M600">
            <v>0</v>
          </cell>
          <cell r="N600">
            <v>0</v>
          </cell>
          <cell r="O600">
            <v>0</v>
          </cell>
          <cell r="P600">
            <v>0</v>
          </cell>
          <cell r="Q600">
            <v>0</v>
          </cell>
        </row>
        <row r="601">
          <cell r="A601" t="str">
            <v>Total Depletion</v>
          </cell>
          <cell r="E601">
            <v>0</v>
          </cell>
          <cell r="F601">
            <v>0</v>
          </cell>
          <cell r="G601">
            <v>0</v>
          </cell>
          <cell r="H601">
            <v>0</v>
          </cell>
          <cell r="I601">
            <v>0</v>
          </cell>
          <cell r="J601">
            <v>0</v>
          </cell>
          <cell r="K601">
            <v>0</v>
          </cell>
          <cell r="L601">
            <v>0</v>
          </cell>
          <cell r="M601">
            <v>0</v>
          </cell>
          <cell r="N601">
            <v>0</v>
          </cell>
          <cell r="O601">
            <v>0</v>
          </cell>
          <cell r="P601">
            <v>0</v>
          </cell>
          <cell r="Q601">
            <v>0</v>
          </cell>
        </row>
        <row r="603">
          <cell r="A603" t="str">
            <v>Amortization</v>
          </cell>
        </row>
        <row r="604">
          <cell r="A604">
            <v>70264</v>
          </cell>
          <cell r="B604" t="str">
            <v>Amortization</v>
          </cell>
          <cell r="E604">
            <v>0</v>
          </cell>
          <cell r="F604">
            <v>0</v>
          </cell>
          <cell r="G604">
            <v>0</v>
          </cell>
          <cell r="H604">
            <v>0</v>
          </cell>
          <cell r="I604">
            <v>0</v>
          </cell>
          <cell r="J604">
            <v>0</v>
          </cell>
          <cell r="K604">
            <v>0</v>
          </cell>
          <cell r="L604">
            <v>0</v>
          </cell>
          <cell r="M604">
            <v>0</v>
          </cell>
          <cell r="N604">
            <v>0</v>
          </cell>
          <cell r="O604">
            <v>0</v>
          </cell>
          <cell r="P604">
            <v>0</v>
          </cell>
          <cell r="Q604">
            <v>0</v>
          </cell>
        </row>
        <row r="605">
          <cell r="A605">
            <v>70266</v>
          </cell>
          <cell r="B605" t="str">
            <v>Cov. Not to Compete</v>
          </cell>
          <cell r="E605">
            <v>1987.84</v>
          </cell>
          <cell r="F605">
            <v>1987.84</v>
          </cell>
          <cell r="G605">
            <v>1987.83</v>
          </cell>
          <cell r="H605">
            <v>1987.84</v>
          </cell>
          <cell r="I605">
            <v>1987.83</v>
          </cell>
          <cell r="J605">
            <v>1987.83</v>
          </cell>
          <cell r="K605">
            <v>1987.84</v>
          </cell>
          <cell r="L605">
            <v>1987.8</v>
          </cell>
          <cell r="M605">
            <v>0</v>
          </cell>
          <cell r="N605">
            <v>0</v>
          </cell>
          <cell r="O605">
            <v>0</v>
          </cell>
          <cell r="P605">
            <v>0</v>
          </cell>
          <cell r="Q605">
            <v>15902.65</v>
          </cell>
        </row>
        <row r="606">
          <cell r="A606">
            <v>70267</v>
          </cell>
          <cell r="B606" t="str">
            <v>Amortization of Goodwill - Taxable</v>
          </cell>
          <cell r="E606">
            <v>0</v>
          </cell>
          <cell r="F606">
            <v>0</v>
          </cell>
          <cell r="G606">
            <v>0</v>
          </cell>
          <cell r="H606">
            <v>0</v>
          </cell>
          <cell r="I606">
            <v>0</v>
          </cell>
          <cell r="J606">
            <v>0</v>
          </cell>
          <cell r="K606">
            <v>0</v>
          </cell>
          <cell r="L606">
            <v>0</v>
          </cell>
          <cell r="M606">
            <v>0</v>
          </cell>
          <cell r="N606">
            <v>0</v>
          </cell>
          <cell r="O606">
            <v>0</v>
          </cell>
          <cell r="P606">
            <v>0</v>
          </cell>
          <cell r="Q606">
            <v>0</v>
          </cell>
        </row>
        <row r="607">
          <cell r="A607">
            <v>70268</v>
          </cell>
          <cell r="B607" t="str">
            <v>Amortization of Goodwill - Non-Taxable</v>
          </cell>
          <cell r="E607">
            <v>0</v>
          </cell>
          <cell r="F607">
            <v>0</v>
          </cell>
          <cell r="G607">
            <v>0</v>
          </cell>
          <cell r="H607">
            <v>0</v>
          </cell>
          <cell r="I607">
            <v>0</v>
          </cell>
          <cell r="J607">
            <v>0</v>
          </cell>
          <cell r="K607">
            <v>0</v>
          </cell>
          <cell r="L607">
            <v>0</v>
          </cell>
          <cell r="M607">
            <v>0</v>
          </cell>
          <cell r="N607">
            <v>0</v>
          </cell>
          <cell r="O607">
            <v>0</v>
          </cell>
          <cell r="P607">
            <v>0</v>
          </cell>
          <cell r="Q607">
            <v>0</v>
          </cell>
        </row>
        <row r="608">
          <cell r="A608">
            <v>70269</v>
          </cell>
          <cell r="B608" t="str">
            <v>Long Term Contract Amort</v>
          </cell>
          <cell r="E608">
            <v>0</v>
          </cell>
          <cell r="F608">
            <v>0</v>
          </cell>
          <cell r="G608">
            <v>0</v>
          </cell>
          <cell r="H608">
            <v>0</v>
          </cell>
          <cell r="I608">
            <v>0</v>
          </cell>
          <cell r="J608">
            <v>0</v>
          </cell>
          <cell r="K608">
            <v>0</v>
          </cell>
          <cell r="L608">
            <v>0</v>
          </cell>
          <cell r="M608">
            <v>0</v>
          </cell>
          <cell r="N608">
            <v>0</v>
          </cell>
          <cell r="O608">
            <v>0</v>
          </cell>
          <cell r="P608">
            <v>0</v>
          </cell>
          <cell r="Q608">
            <v>0</v>
          </cell>
        </row>
        <row r="609">
          <cell r="A609" t="str">
            <v>Total Amortization</v>
          </cell>
          <cell r="E609">
            <v>1987.84</v>
          </cell>
          <cell r="F609">
            <v>1987.84</v>
          </cell>
          <cell r="G609">
            <v>1987.83</v>
          </cell>
          <cell r="H609">
            <v>1987.84</v>
          </cell>
          <cell r="I609">
            <v>1987.83</v>
          </cell>
          <cell r="J609">
            <v>1987.83</v>
          </cell>
          <cell r="K609">
            <v>1987.84</v>
          </cell>
          <cell r="L609">
            <v>1987.8</v>
          </cell>
          <cell r="M609">
            <v>0</v>
          </cell>
          <cell r="N609">
            <v>0</v>
          </cell>
          <cell r="O609">
            <v>0</v>
          </cell>
          <cell r="P609">
            <v>0</v>
          </cell>
          <cell r="Q609">
            <v>15902.65</v>
          </cell>
        </row>
        <row r="611">
          <cell r="A611" t="str">
            <v>Total DDA</v>
          </cell>
          <cell r="E611">
            <v>181683.73</v>
          </cell>
          <cell r="F611">
            <v>184887.46</v>
          </cell>
          <cell r="G611">
            <v>184907.44</v>
          </cell>
          <cell r="H611">
            <v>184956.27</v>
          </cell>
          <cell r="I611">
            <v>182960.97</v>
          </cell>
          <cell r="J611">
            <v>179044.21</v>
          </cell>
          <cell r="K611">
            <v>184944.11000000002</v>
          </cell>
          <cell r="L611">
            <v>180357.14</v>
          </cell>
          <cell r="M611">
            <v>170000.56</v>
          </cell>
          <cell r="N611">
            <v>169971.69</v>
          </cell>
          <cell r="O611">
            <v>169087.81999999998</v>
          </cell>
          <cell r="P611">
            <v>168990.74</v>
          </cell>
          <cell r="Q611">
            <v>2141792.1399999997</v>
          </cell>
        </row>
        <row r="613">
          <cell r="A613" t="str">
            <v>EBIT</v>
          </cell>
          <cell r="E613">
            <v>530401.2899999998</v>
          </cell>
          <cell r="F613">
            <v>587717.89999999991</v>
          </cell>
          <cell r="G613">
            <v>591809.08999999985</v>
          </cell>
          <cell r="H613">
            <v>546583.5</v>
          </cell>
          <cell r="I613">
            <v>586657.69999999937</v>
          </cell>
          <cell r="J613">
            <v>373511.39000000036</v>
          </cell>
          <cell r="K613">
            <v>558066.65999999933</v>
          </cell>
          <cell r="L613">
            <v>483040.5899999995</v>
          </cell>
          <cell r="M613">
            <v>596160.58000000007</v>
          </cell>
          <cell r="N613">
            <v>513066.08000000048</v>
          </cell>
          <cell r="O613">
            <v>613583.74999999977</v>
          </cell>
          <cell r="P613">
            <v>452829.09000000032</v>
          </cell>
          <cell r="Q613">
            <v>6433427.620000002</v>
          </cell>
        </row>
        <row r="615">
          <cell r="A615" t="str">
            <v>Interest Expense</v>
          </cell>
        </row>
        <row r="616">
          <cell r="A616">
            <v>80000</v>
          </cell>
          <cell r="B616" t="str">
            <v>Interest Expense</v>
          </cell>
          <cell r="E616">
            <v>0</v>
          </cell>
          <cell r="F616">
            <v>0</v>
          </cell>
          <cell r="G616">
            <v>0</v>
          </cell>
          <cell r="H616">
            <v>0</v>
          </cell>
          <cell r="I616">
            <v>0</v>
          </cell>
          <cell r="J616">
            <v>0</v>
          </cell>
          <cell r="K616">
            <v>0</v>
          </cell>
          <cell r="L616">
            <v>0</v>
          </cell>
          <cell r="M616">
            <v>0</v>
          </cell>
          <cell r="N616">
            <v>0</v>
          </cell>
          <cell r="O616">
            <v>0</v>
          </cell>
          <cell r="P616">
            <v>0</v>
          </cell>
          <cell r="Q616">
            <v>0</v>
          </cell>
        </row>
        <row r="617">
          <cell r="A617">
            <v>80001</v>
          </cell>
          <cell r="B617" t="str">
            <v>Debt Accretion</v>
          </cell>
          <cell r="E617">
            <v>0</v>
          </cell>
          <cell r="F617">
            <v>0</v>
          </cell>
          <cell r="G617">
            <v>0</v>
          </cell>
          <cell r="H617">
            <v>0</v>
          </cell>
          <cell r="I617">
            <v>0</v>
          </cell>
          <cell r="J617">
            <v>0</v>
          </cell>
          <cell r="K617">
            <v>0</v>
          </cell>
          <cell r="L617">
            <v>0</v>
          </cell>
          <cell r="M617">
            <v>0</v>
          </cell>
          <cell r="N617">
            <v>0</v>
          </cell>
          <cell r="O617">
            <v>0</v>
          </cell>
          <cell r="P617">
            <v>0</v>
          </cell>
          <cell r="Q617">
            <v>0</v>
          </cell>
        </row>
        <row r="618">
          <cell r="A618">
            <v>80009</v>
          </cell>
          <cell r="B618" t="str">
            <v>Capitalized Interest</v>
          </cell>
          <cell r="E618">
            <v>0</v>
          </cell>
          <cell r="F618">
            <v>0</v>
          </cell>
          <cell r="G618">
            <v>0</v>
          </cell>
          <cell r="H618">
            <v>0</v>
          </cell>
          <cell r="I618">
            <v>0</v>
          </cell>
          <cell r="J618">
            <v>0</v>
          </cell>
          <cell r="K618">
            <v>0</v>
          </cell>
          <cell r="L618">
            <v>0</v>
          </cell>
          <cell r="M618">
            <v>0</v>
          </cell>
          <cell r="N618">
            <v>0</v>
          </cell>
          <cell r="O618">
            <v>0</v>
          </cell>
          <cell r="P618">
            <v>0</v>
          </cell>
          <cell r="Q618">
            <v>0</v>
          </cell>
        </row>
        <row r="619">
          <cell r="A619">
            <v>80099</v>
          </cell>
          <cell r="B619" t="str">
            <v>Interest Allocation</v>
          </cell>
          <cell r="E619">
            <v>0</v>
          </cell>
          <cell r="F619">
            <v>0</v>
          </cell>
          <cell r="G619">
            <v>0</v>
          </cell>
          <cell r="H619">
            <v>0</v>
          </cell>
          <cell r="I619">
            <v>0</v>
          </cell>
          <cell r="J619">
            <v>0</v>
          </cell>
          <cell r="K619">
            <v>0</v>
          </cell>
          <cell r="L619">
            <v>0</v>
          </cell>
          <cell r="M619">
            <v>0</v>
          </cell>
          <cell r="N619">
            <v>0</v>
          </cell>
          <cell r="O619">
            <v>0</v>
          </cell>
          <cell r="P619">
            <v>0</v>
          </cell>
          <cell r="Q619">
            <v>0</v>
          </cell>
        </row>
        <row r="620">
          <cell r="A620" t="str">
            <v>Total Interest Expense</v>
          </cell>
          <cell r="E620">
            <v>0</v>
          </cell>
          <cell r="F620">
            <v>0</v>
          </cell>
          <cell r="G620">
            <v>0</v>
          </cell>
          <cell r="H620">
            <v>0</v>
          </cell>
          <cell r="I620">
            <v>0</v>
          </cell>
          <cell r="J620">
            <v>0</v>
          </cell>
          <cell r="K620">
            <v>0</v>
          </cell>
          <cell r="L620">
            <v>0</v>
          </cell>
          <cell r="M620">
            <v>0</v>
          </cell>
          <cell r="N620">
            <v>0</v>
          </cell>
          <cell r="O620">
            <v>0</v>
          </cell>
          <cell r="P620">
            <v>0</v>
          </cell>
          <cell r="Q620">
            <v>0</v>
          </cell>
        </row>
        <row r="622">
          <cell r="A622" t="str">
            <v>Interest Income</v>
          </cell>
        </row>
        <row r="623">
          <cell r="A623">
            <v>80010</v>
          </cell>
          <cell r="B623" t="str">
            <v>Interest Income</v>
          </cell>
          <cell r="E623">
            <v>0</v>
          </cell>
          <cell r="F623">
            <v>0</v>
          </cell>
          <cell r="G623">
            <v>0</v>
          </cell>
          <cell r="H623">
            <v>0</v>
          </cell>
          <cell r="I623">
            <v>0</v>
          </cell>
          <cell r="J623">
            <v>0</v>
          </cell>
          <cell r="K623">
            <v>0</v>
          </cell>
          <cell r="L623">
            <v>0</v>
          </cell>
          <cell r="M623">
            <v>0</v>
          </cell>
          <cell r="N623">
            <v>0</v>
          </cell>
          <cell r="O623">
            <v>0</v>
          </cell>
          <cell r="P623">
            <v>0</v>
          </cell>
          <cell r="Q623">
            <v>0</v>
          </cell>
        </row>
        <row r="624">
          <cell r="A624" t="str">
            <v>Total Interest Income</v>
          </cell>
          <cell r="E624">
            <v>0</v>
          </cell>
          <cell r="F624">
            <v>0</v>
          </cell>
          <cell r="G624">
            <v>0</v>
          </cell>
          <cell r="H624">
            <v>0</v>
          </cell>
          <cell r="I624">
            <v>0</v>
          </cell>
          <cell r="J624">
            <v>0</v>
          </cell>
          <cell r="K624">
            <v>0</v>
          </cell>
          <cell r="L624">
            <v>0</v>
          </cell>
          <cell r="M624">
            <v>0</v>
          </cell>
          <cell r="N624">
            <v>0</v>
          </cell>
          <cell r="O624">
            <v>0</v>
          </cell>
          <cell r="P624">
            <v>0</v>
          </cell>
          <cell r="Q624">
            <v>0</v>
          </cell>
        </row>
        <row r="626">
          <cell r="A626" t="str">
            <v>Other (Income) and Expense</v>
          </cell>
        </row>
        <row r="627">
          <cell r="A627">
            <v>70901</v>
          </cell>
          <cell r="B627" t="str">
            <v>Pooling Costs</v>
          </cell>
          <cell r="E627">
            <v>0</v>
          </cell>
          <cell r="F627">
            <v>0</v>
          </cell>
          <cell r="G627">
            <v>0</v>
          </cell>
          <cell r="H627">
            <v>0</v>
          </cell>
          <cell r="I627">
            <v>0</v>
          </cell>
          <cell r="J627">
            <v>0</v>
          </cell>
          <cell r="K627">
            <v>0</v>
          </cell>
          <cell r="L627">
            <v>0</v>
          </cell>
          <cell r="M627">
            <v>0</v>
          </cell>
          <cell r="N627">
            <v>0</v>
          </cell>
          <cell r="O627">
            <v>0</v>
          </cell>
          <cell r="P627">
            <v>0</v>
          </cell>
          <cell r="Q627">
            <v>0</v>
          </cell>
        </row>
        <row r="628">
          <cell r="A628">
            <v>91000</v>
          </cell>
          <cell r="B628" t="str">
            <v>Unusual Gain/Loss</v>
          </cell>
          <cell r="E628">
            <v>0</v>
          </cell>
          <cell r="F628">
            <v>0</v>
          </cell>
          <cell r="G628">
            <v>0</v>
          </cell>
          <cell r="H628">
            <v>0</v>
          </cell>
          <cell r="I628">
            <v>0</v>
          </cell>
          <cell r="J628">
            <v>0</v>
          </cell>
          <cell r="K628">
            <v>0</v>
          </cell>
          <cell r="L628">
            <v>0</v>
          </cell>
          <cell r="M628">
            <v>0</v>
          </cell>
          <cell r="N628">
            <v>0</v>
          </cell>
          <cell r="O628">
            <v>0</v>
          </cell>
          <cell r="P628">
            <v>0</v>
          </cell>
          <cell r="Q628">
            <v>0</v>
          </cell>
        </row>
        <row r="629">
          <cell r="A629">
            <v>91001</v>
          </cell>
          <cell r="B629" t="str">
            <v>Investment Distribution Income</v>
          </cell>
          <cell r="E629">
            <v>0</v>
          </cell>
          <cell r="F629">
            <v>0</v>
          </cell>
          <cell r="G629">
            <v>0</v>
          </cell>
          <cell r="H629">
            <v>0</v>
          </cell>
          <cell r="I629">
            <v>0</v>
          </cell>
          <cell r="J629">
            <v>0</v>
          </cell>
          <cell r="K629">
            <v>0</v>
          </cell>
          <cell r="L629">
            <v>0</v>
          </cell>
          <cell r="M629">
            <v>0</v>
          </cell>
          <cell r="N629">
            <v>0</v>
          </cell>
          <cell r="O629">
            <v>0</v>
          </cell>
          <cell r="P629">
            <v>0</v>
          </cell>
          <cell r="Q629">
            <v>0</v>
          </cell>
        </row>
        <row r="630">
          <cell r="A630">
            <v>91002</v>
          </cell>
          <cell r="B630" t="str">
            <v>NSF Fees</v>
          </cell>
          <cell r="E630">
            <v>0</v>
          </cell>
          <cell r="F630">
            <v>0</v>
          </cell>
          <cell r="G630">
            <v>0</v>
          </cell>
          <cell r="H630">
            <v>0</v>
          </cell>
          <cell r="I630">
            <v>0</v>
          </cell>
          <cell r="J630">
            <v>0</v>
          </cell>
          <cell r="K630">
            <v>0</v>
          </cell>
          <cell r="L630">
            <v>0</v>
          </cell>
          <cell r="M630">
            <v>0</v>
          </cell>
          <cell r="N630">
            <v>0</v>
          </cell>
          <cell r="O630">
            <v>0</v>
          </cell>
          <cell r="P630">
            <v>0</v>
          </cell>
          <cell r="Q630">
            <v>0</v>
          </cell>
        </row>
        <row r="631">
          <cell r="A631" t="str">
            <v>Total Other (Income) and Expense</v>
          </cell>
          <cell r="E631">
            <v>0</v>
          </cell>
          <cell r="F631">
            <v>0</v>
          </cell>
          <cell r="G631">
            <v>0</v>
          </cell>
          <cell r="H631">
            <v>0</v>
          </cell>
          <cell r="I631">
            <v>0</v>
          </cell>
          <cell r="J631">
            <v>0</v>
          </cell>
          <cell r="K631">
            <v>0</v>
          </cell>
          <cell r="L631">
            <v>0</v>
          </cell>
          <cell r="M631">
            <v>0</v>
          </cell>
          <cell r="N631">
            <v>0</v>
          </cell>
          <cell r="O631">
            <v>0</v>
          </cell>
          <cell r="P631">
            <v>0</v>
          </cell>
          <cell r="Q631">
            <v>0</v>
          </cell>
        </row>
        <row r="633">
          <cell r="A633" t="str">
            <v>Income Before Taxes and Extraordinary Items</v>
          </cell>
          <cell r="E633">
            <v>530401.2899999998</v>
          </cell>
          <cell r="F633">
            <v>587717.89999999991</v>
          </cell>
          <cell r="G633">
            <v>591809.08999999985</v>
          </cell>
          <cell r="H633">
            <v>546583.5</v>
          </cell>
          <cell r="I633">
            <v>586657.69999999937</v>
          </cell>
          <cell r="J633">
            <v>373511.39000000036</v>
          </cell>
          <cell r="K633">
            <v>558066.65999999933</v>
          </cell>
          <cell r="L633">
            <v>483040.5899999995</v>
          </cell>
          <cell r="M633">
            <v>596160.58000000007</v>
          </cell>
          <cell r="N633">
            <v>513066.08000000048</v>
          </cell>
          <cell r="O633">
            <v>613583.74999999977</v>
          </cell>
          <cell r="P633">
            <v>452829.09000000032</v>
          </cell>
          <cell r="Q633">
            <v>6433427.620000002</v>
          </cell>
        </row>
        <row r="635">
          <cell r="A635" t="str">
            <v>Extraordinary Income and Expense</v>
          </cell>
        </row>
        <row r="636">
          <cell r="A636">
            <v>92999</v>
          </cell>
          <cell r="B636" t="str">
            <v>Extraordinary Gain/Loss</v>
          </cell>
          <cell r="E636">
            <v>0</v>
          </cell>
          <cell r="F636">
            <v>0</v>
          </cell>
          <cell r="G636">
            <v>0</v>
          </cell>
          <cell r="H636">
            <v>0</v>
          </cell>
          <cell r="I636">
            <v>0</v>
          </cell>
          <cell r="J636">
            <v>0</v>
          </cell>
          <cell r="K636">
            <v>0</v>
          </cell>
          <cell r="L636">
            <v>0</v>
          </cell>
          <cell r="M636">
            <v>0</v>
          </cell>
          <cell r="N636">
            <v>0</v>
          </cell>
          <cell r="O636">
            <v>0</v>
          </cell>
          <cell r="P636">
            <v>0</v>
          </cell>
          <cell r="Q636">
            <v>0</v>
          </cell>
        </row>
        <row r="637">
          <cell r="A637" t="str">
            <v>Total Extraordinary Income and Expense</v>
          </cell>
          <cell r="E637">
            <v>0</v>
          </cell>
          <cell r="F637">
            <v>0</v>
          </cell>
          <cell r="G637">
            <v>0</v>
          </cell>
          <cell r="H637">
            <v>0</v>
          </cell>
          <cell r="I637">
            <v>0</v>
          </cell>
          <cell r="J637">
            <v>0</v>
          </cell>
          <cell r="K637">
            <v>0</v>
          </cell>
          <cell r="L637">
            <v>0</v>
          </cell>
          <cell r="M637">
            <v>0</v>
          </cell>
          <cell r="N637">
            <v>0</v>
          </cell>
          <cell r="O637">
            <v>0</v>
          </cell>
          <cell r="P637">
            <v>0</v>
          </cell>
          <cell r="Q637">
            <v>0</v>
          </cell>
        </row>
        <row r="639">
          <cell r="A639" t="str">
            <v>Net Income Before Taxes</v>
          </cell>
          <cell r="E639">
            <v>530401.2899999998</v>
          </cell>
          <cell r="F639">
            <v>587717.89999999991</v>
          </cell>
          <cell r="G639">
            <v>591809.08999999985</v>
          </cell>
          <cell r="H639">
            <v>546583.5</v>
          </cell>
          <cell r="I639">
            <v>586657.69999999937</v>
          </cell>
          <cell r="J639">
            <v>373511.39000000036</v>
          </cell>
          <cell r="K639">
            <v>558066.65999999933</v>
          </cell>
          <cell r="L639">
            <v>483040.5899999995</v>
          </cell>
          <cell r="M639">
            <v>596160.58000000007</v>
          </cell>
          <cell r="N639">
            <v>513066.08000000048</v>
          </cell>
          <cell r="O639">
            <v>613583.74999999977</v>
          </cell>
          <cell r="P639">
            <v>452829.09000000032</v>
          </cell>
          <cell r="Q639">
            <v>6433427.620000002</v>
          </cell>
        </row>
        <row r="641">
          <cell r="A641" t="str">
            <v>Income Taxes</v>
          </cell>
        </row>
        <row r="642">
          <cell r="A642">
            <v>90000</v>
          </cell>
          <cell r="B642" t="str">
            <v>Taxes -Federal</v>
          </cell>
          <cell r="E642">
            <v>0</v>
          </cell>
          <cell r="F642">
            <v>0</v>
          </cell>
          <cell r="G642">
            <v>0</v>
          </cell>
          <cell r="H642">
            <v>0</v>
          </cell>
          <cell r="I642">
            <v>0</v>
          </cell>
          <cell r="J642">
            <v>0</v>
          </cell>
          <cell r="K642">
            <v>0</v>
          </cell>
          <cell r="L642">
            <v>0</v>
          </cell>
          <cell r="M642">
            <v>0</v>
          </cell>
          <cell r="N642">
            <v>0</v>
          </cell>
          <cell r="O642">
            <v>0</v>
          </cell>
          <cell r="P642">
            <v>0</v>
          </cell>
          <cell r="Q642">
            <v>0</v>
          </cell>
        </row>
        <row r="643">
          <cell r="A643">
            <v>90010</v>
          </cell>
          <cell r="B643" t="str">
            <v>Taxes - State</v>
          </cell>
          <cell r="E643">
            <v>0</v>
          </cell>
          <cell r="F643">
            <v>0</v>
          </cell>
          <cell r="G643">
            <v>0</v>
          </cell>
          <cell r="H643">
            <v>0</v>
          </cell>
          <cell r="I643">
            <v>0</v>
          </cell>
          <cell r="J643">
            <v>0</v>
          </cell>
          <cell r="K643">
            <v>0</v>
          </cell>
          <cell r="L643">
            <v>0</v>
          </cell>
          <cell r="M643">
            <v>0</v>
          </cell>
          <cell r="N643">
            <v>0</v>
          </cell>
          <cell r="O643">
            <v>0</v>
          </cell>
          <cell r="P643">
            <v>0</v>
          </cell>
          <cell r="Q643">
            <v>0</v>
          </cell>
        </row>
        <row r="644">
          <cell r="A644" t="str">
            <v>Total Income Taxes</v>
          </cell>
          <cell r="E644">
            <v>0</v>
          </cell>
          <cell r="F644">
            <v>0</v>
          </cell>
          <cell r="G644">
            <v>0</v>
          </cell>
          <cell r="H644">
            <v>0</v>
          </cell>
          <cell r="I644">
            <v>0</v>
          </cell>
          <cell r="J644">
            <v>0</v>
          </cell>
          <cell r="K644">
            <v>0</v>
          </cell>
          <cell r="L644">
            <v>0</v>
          </cell>
          <cell r="M644">
            <v>0</v>
          </cell>
          <cell r="N644">
            <v>0</v>
          </cell>
          <cell r="O644">
            <v>0</v>
          </cell>
          <cell r="P644">
            <v>0</v>
          </cell>
          <cell r="Q644">
            <v>0</v>
          </cell>
        </row>
        <row r="646">
          <cell r="A646" t="str">
            <v>Net Income</v>
          </cell>
          <cell r="E646">
            <v>530401.2899999998</v>
          </cell>
          <cell r="F646">
            <v>587717.89999999991</v>
          </cell>
          <cell r="G646">
            <v>591809.08999999985</v>
          </cell>
          <cell r="H646">
            <v>546583.5</v>
          </cell>
          <cell r="I646">
            <v>586657.69999999937</v>
          </cell>
          <cell r="J646">
            <v>373511.39000000036</v>
          </cell>
          <cell r="K646">
            <v>558066.65999999933</v>
          </cell>
          <cell r="L646">
            <v>483040.5899999995</v>
          </cell>
          <cell r="M646">
            <v>596160.58000000007</v>
          </cell>
          <cell r="N646">
            <v>513066.08000000048</v>
          </cell>
          <cell r="O646">
            <v>613583.74999999977</v>
          </cell>
          <cell r="P646">
            <v>452829.09000000032</v>
          </cell>
          <cell r="Q646">
            <v>6433427.620000002</v>
          </cell>
        </row>
        <row r="648">
          <cell r="A648" t="str">
            <v>Noncontrolling Interests Expense</v>
          </cell>
        </row>
        <row r="649">
          <cell r="A649">
            <v>92000</v>
          </cell>
          <cell r="B649" t="str">
            <v>Noncontrolling interests</v>
          </cell>
          <cell r="E649">
            <v>0</v>
          </cell>
          <cell r="F649">
            <v>0</v>
          </cell>
          <cell r="G649">
            <v>0</v>
          </cell>
          <cell r="H649">
            <v>0</v>
          </cell>
          <cell r="I649">
            <v>0</v>
          </cell>
          <cell r="J649">
            <v>0</v>
          </cell>
          <cell r="K649">
            <v>0</v>
          </cell>
          <cell r="L649">
            <v>0</v>
          </cell>
          <cell r="M649">
            <v>0</v>
          </cell>
          <cell r="N649">
            <v>0</v>
          </cell>
          <cell r="O649">
            <v>0</v>
          </cell>
          <cell r="P649">
            <v>0</v>
          </cell>
          <cell r="Q649">
            <v>0</v>
          </cell>
        </row>
        <row r="650">
          <cell r="A650" t="str">
            <v>Total Noncontrolling Interests</v>
          </cell>
          <cell r="E650">
            <v>0</v>
          </cell>
          <cell r="F650">
            <v>0</v>
          </cell>
          <cell r="G650">
            <v>0</v>
          </cell>
          <cell r="H650">
            <v>0</v>
          </cell>
          <cell r="I650">
            <v>0</v>
          </cell>
          <cell r="J650">
            <v>0</v>
          </cell>
          <cell r="K650">
            <v>0</v>
          </cell>
          <cell r="L650">
            <v>0</v>
          </cell>
          <cell r="M650">
            <v>0</v>
          </cell>
          <cell r="N650">
            <v>0</v>
          </cell>
          <cell r="O650">
            <v>0</v>
          </cell>
          <cell r="P650">
            <v>0</v>
          </cell>
          <cell r="Q650">
            <v>0</v>
          </cell>
        </row>
        <row r="652">
          <cell r="A652" t="str">
            <v>Net Income Attributable to Waste Connections</v>
          </cell>
          <cell r="E652">
            <v>530401.2899999998</v>
          </cell>
          <cell r="F652">
            <v>587717.89999999991</v>
          </cell>
          <cell r="G652">
            <v>591809.08999999985</v>
          </cell>
          <cell r="H652">
            <v>546583.5</v>
          </cell>
          <cell r="I652">
            <v>586657.69999999937</v>
          </cell>
          <cell r="J652">
            <v>373511.39000000036</v>
          </cell>
          <cell r="K652">
            <v>558066.65999999933</v>
          </cell>
          <cell r="L652">
            <v>483040.5899999995</v>
          </cell>
          <cell r="M652">
            <v>596160.58000000007</v>
          </cell>
          <cell r="N652">
            <v>513066.08000000048</v>
          </cell>
          <cell r="O652">
            <v>613583.74999999977</v>
          </cell>
          <cell r="P652">
            <v>452829.09000000032</v>
          </cell>
          <cell r="Q652">
            <v>6433427.620000002</v>
          </cell>
        </row>
        <row r="654">
          <cell r="A654" t="str">
            <v>Net Income Attributable to Waste Connections per categories</v>
          </cell>
          <cell r="E654">
            <v>530401.29</v>
          </cell>
          <cell r="F654">
            <v>587717.9</v>
          </cell>
          <cell r="G654">
            <v>591809.09</v>
          </cell>
          <cell r="H654">
            <v>546583.5</v>
          </cell>
          <cell r="I654">
            <v>586657.69999999995</v>
          </cell>
          <cell r="J654">
            <v>373511.39</v>
          </cell>
          <cell r="K654">
            <v>558066.66</v>
          </cell>
          <cell r="L654">
            <v>483040.59</v>
          </cell>
          <cell r="M654">
            <v>596160.57999999996</v>
          </cell>
          <cell r="N654">
            <v>513066.08</v>
          </cell>
          <cell r="O654">
            <v>613583.75</v>
          </cell>
          <cell r="P654">
            <v>452829.09</v>
          </cell>
        </row>
      </sheetData>
      <sheetData sheetId="6" refreshError="1"/>
      <sheetData sheetId="7" refreshError="1">
        <row r="18">
          <cell r="Z18">
            <v>0.33073677436726834</v>
          </cell>
        </row>
        <row r="20">
          <cell r="AC20">
            <v>0.2095860832011289</v>
          </cell>
          <cell r="AK20">
            <v>0.43549015768657823</v>
          </cell>
        </row>
        <row r="39">
          <cell r="AC39">
            <v>0.37964780853584096</v>
          </cell>
        </row>
        <row r="40">
          <cell r="AC40">
            <v>0.36547527560558957</v>
          </cell>
        </row>
        <row r="120">
          <cell r="AE120">
            <v>0.43886061148837213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ttyCash-10110"/>
      <sheetName val="10200"/>
      <sheetName val="10210"/>
      <sheetName val="10250_RECON"/>
      <sheetName val="10250_MVPSS"/>
      <sheetName val="10250_Recy Chkg"/>
      <sheetName val="10250_Reimb Accts"/>
      <sheetName val="10250_Rollfwd"/>
      <sheetName val="10410_Rollfwd"/>
      <sheetName val="10410_Recon"/>
      <sheetName val="10410_Trade"/>
      <sheetName val="10410_Lodi"/>
      <sheetName val="10410_Sac Co"/>
      <sheetName val="10410_Brokered"/>
      <sheetName val="10420_Rollfwd"/>
      <sheetName val="10420 RECON"/>
      <sheetName val="Rollfwd_10550"/>
      <sheetName val="Recon_10550"/>
      <sheetName val="Recon_10555"/>
      <sheetName val="Recon_10610"/>
      <sheetName val="A170XX-October"/>
      <sheetName val="Recon_10760"/>
      <sheetName val="Rollfwd_10820"/>
      <sheetName val="PPXXC_10830"/>
      <sheetName val="Schedule_10830"/>
      <sheetName val="Recon_10830"/>
      <sheetName val="Rollfwd_10850"/>
      <sheetName val="Recon_10850"/>
      <sheetName val="ReconSumm_10890"/>
      <sheetName val="ASSETS 11XXX"/>
      <sheetName val="ACC DEP 12XXX"/>
      <sheetName val="GOODWILL_15120"/>
      <sheetName val="Rollfwd_15450"/>
      <sheetName val="15450_92 bond"/>
      <sheetName val="15450_94 Bond "/>
      <sheetName val="Recon_15450"/>
      <sheetName val="Rollfwd_15320_15500"/>
      <sheetName val="16100_Rollfwd"/>
      <sheetName val="A180543"/>
      <sheetName val="A20110"/>
      <sheetName val="Rollfwd_20120"/>
      <sheetName val="Recon_20120"/>
      <sheetName val="Recon_20130"/>
      <sheetName val="Recon_20133"/>
      <sheetName val="Recon_20135"/>
      <sheetName val="Recon_20137"/>
      <sheetName val="A20140"/>
      <sheetName val="SALES TAX RETURN_20140"/>
      <sheetName val="Rollfwd_20170"/>
      <sheetName val="Recon_20170"/>
      <sheetName val="Recon_20175"/>
      <sheetName val="Recon_20177"/>
      <sheetName val="Detail_20320"/>
      <sheetName val="Rollfwd_20325"/>
      <sheetName val="Recon_20325"/>
      <sheetName val="A20330"/>
      <sheetName val="RECON 20335"/>
      <sheetName val="RECON_20340"/>
      <sheetName val="DETAILED 20360"/>
      <sheetName val="recon 20365"/>
      <sheetName val="recon 20375"/>
      <sheetName val="A21100 &amp; A21250"/>
      <sheetName val="21250_92 Bond"/>
      <sheetName val="21250_94 Bond"/>
      <sheetName val="21250_R. Vaccarezza"/>
      <sheetName val="21250_BOND DIS AMORT"/>
      <sheetName val="A21390"/>
      <sheetName val="Recon 22104"/>
      <sheetName val="Recon 22105"/>
      <sheetName val="Recon 22109"/>
      <sheetName val="Recon 22205 "/>
      <sheetName val="Recon 22206"/>
      <sheetName val="Recon_30XXXX"/>
      <sheetName val="Recon 150543 Revised"/>
      <sheetName val="170001 DL 121999"/>
      <sheetName val="Rollfwd_170001"/>
      <sheetName val="A170001"/>
      <sheetName val="Rollfwd_170050"/>
      <sheetName val="A170050"/>
      <sheetName val="Rollfwd_171170"/>
      <sheetName val="A171170"/>
      <sheetName val="Rollfwd_171500"/>
      <sheetName val="A171500"/>
      <sheetName val="A171504"/>
      <sheetName val="A171531"/>
      <sheetName val="A172216"/>
      <sheetName val="A172220"/>
      <sheetName val="A172355"/>
      <sheetName val="Dec_99 DL_RAW"/>
      <sheetName val="Dec_99 DL_"/>
      <sheetName val="DEC_98 DL RAW"/>
      <sheetName val="DEC_98 DL "/>
      <sheetName val="Sheet4"/>
      <sheetName val="Sheet4 (2)"/>
      <sheetName val="XXXXXX"/>
      <sheetName val="BU NAMES"/>
      <sheetName val="PS BS ACCOU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009 BS"/>
      <sheetName val="2010 BS"/>
      <sheetName val="Combined BS"/>
      <sheetName val="2009 IS"/>
      <sheetName val="2010 IS"/>
      <sheetName val="Combined 12 mo IS"/>
      <sheetName val="Consolidated IS 2009 2010"/>
      <sheetName val="Consolidated IS - IRMGARD"/>
      <sheetName val="Pro forma "/>
      <sheetName val="Pro forma-Line of Service"/>
      <sheetName val="Restatements"/>
      <sheetName val="Proforma Adjusts"/>
      <sheetName val="2009 Price Out (REG)"/>
      <sheetName val="GL Recon"/>
      <sheetName val="Customer Count Summary"/>
      <sheetName val="2009 Payroll"/>
      <sheetName val="2010 Payroll"/>
      <sheetName val="2009,2010 Depr Summary"/>
      <sheetName val="Time Study"/>
      <sheetName val="2009 Insurance"/>
      <sheetName val="2010 Insurance"/>
      <sheetName val="2009 Disposal"/>
      <sheetName val="2010 Disposal"/>
      <sheetName val="2009 Fuel"/>
      <sheetName val="2009 Depr Summary"/>
      <sheetName val="2009 Trks"/>
      <sheetName val="2009 Cont, DB"/>
      <sheetName val="2009 Serv, Shop"/>
      <sheetName val="2009 Office"/>
      <sheetName val="2009 Leasehold"/>
      <sheetName val="2010 Fuel"/>
      <sheetName val="2010 Deprec Summary"/>
      <sheetName val="2010 Trks"/>
      <sheetName val="2010 Cont, DB"/>
      <sheetName val="2010 Serv, Shop"/>
      <sheetName val="2010 Office"/>
      <sheetName val="2010 Leasehold"/>
      <sheetName val="Region Allocation (2)"/>
      <sheetName val="LG-Total Company before DF"/>
      <sheetName val="LG-Packer Rts before DF"/>
      <sheetName val="LG-RO Rts before DF"/>
      <sheetName val="LG-Total Company"/>
      <sheetName val="LG-Packer Rts"/>
      <sheetName val="LG-RO Rts"/>
      <sheetName val="LG-Recycl"/>
      <sheetName val="Scenarios"/>
      <sheetName val="Scenarios (2)"/>
      <sheetName val="Notes"/>
    </sheetNames>
    <sheetDataSet>
      <sheetData sheetId="0" refreshError="1"/>
      <sheetData sheetId="1" refreshError="1"/>
      <sheetData sheetId="2" refreshError="1"/>
      <sheetData sheetId="3" refreshError="1"/>
      <sheetData sheetId="4" refreshError="1">
        <row r="12">
          <cell r="A12" t="str">
            <v>Revenue</v>
          </cell>
        </row>
        <row r="13">
          <cell r="A13" t="str">
            <v>Hauling</v>
          </cell>
        </row>
        <row r="14">
          <cell r="A14">
            <v>31000</v>
          </cell>
          <cell r="B14" t="str">
            <v>Hauling Revenue - Roll Off Permanent</v>
          </cell>
          <cell r="E14">
            <v>41429.11</v>
          </cell>
          <cell r="F14">
            <v>39826.22</v>
          </cell>
          <cell r="G14">
            <v>49022.75</v>
          </cell>
          <cell r="H14">
            <v>45137.86</v>
          </cell>
          <cell r="I14">
            <v>48263.81</v>
          </cell>
          <cell r="J14">
            <v>55314.5</v>
          </cell>
          <cell r="K14">
            <v>60046.02</v>
          </cell>
          <cell r="L14">
            <v>64582.7</v>
          </cell>
          <cell r="M14">
            <v>55932.07</v>
          </cell>
          <cell r="N14">
            <v>50932.34</v>
          </cell>
          <cell r="O14">
            <v>38587.67</v>
          </cell>
          <cell r="P14">
            <v>43420.76</v>
          </cell>
          <cell r="Q14">
            <v>592495.81000000006</v>
          </cell>
        </row>
        <row r="15">
          <cell r="A15">
            <v>31001</v>
          </cell>
          <cell r="B15" t="str">
            <v>Hauling Revenue - Roll Off Temporary</v>
          </cell>
          <cell r="E15">
            <v>0</v>
          </cell>
          <cell r="F15">
            <v>0</v>
          </cell>
          <cell r="G15">
            <v>0</v>
          </cell>
          <cell r="H15">
            <v>0</v>
          </cell>
          <cell r="I15">
            <v>0</v>
          </cell>
          <cell r="J15">
            <v>0</v>
          </cell>
          <cell r="K15">
            <v>0</v>
          </cell>
          <cell r="L15">
            <v>0</v>
          </cell>
          <cell r="M15">
            <v>0</v>
          </cell>
          <cell r="N15">
            <v>0</v>
          </cell>
          <cell r="O15">
            <v>0</v>
          </cell>
          <cell r="P15">
            <v>0</v>
          </cell>
          <cell r="Q15">
            <v>0</v>
          </cell>
        </row>
        <row r="16">
          <cell r="A16">
            <v>31002</v>
          </cell>
          <cell r="B16" t="str">
            <v>Hauling Revenue - Roll Off Rental</v>
          </cell>
          <cell r="E16">
            <v>0</v>
          </cell>
          <cell r="F16">
            <v>0</v>
          </cell>
          <cell r="G16">
            <v>0</v>
          </cell>
          <cell r="H16">
            <v>0</v>
          </cell>
          <cell r="I16">
            <v>0</v>
          </cell>
          <cell r="J16">
            <v>0</v>
          </cell>
          <cell r="K16">
            <v>0</v>
          </cell>
          <cell r="L16">
            <v>0</v>
          </cell>
          <cell r="M16">
            <v>0</v>
          </cell>
          <cell r="N16">
            <v>0</v>
          </cell>
          <cell r="O16">
            <v>0</v>
          </cell>
          <cell r="P16">
            <v>0</v>
          </cell>
          <cell r="Q16">
            <v>0</v>
          </cell>
        </row>
        <row r="17">
          <cell r="A17">
            <v>31003</v>
          </cell>
          <cell r="B17" t="str">
            <v>Hauling Revenue - Roll Off Compactor Ren</v>
          </cell>
          <cell r="E17">
            <v>0</v>
          </cell>
          <cell r="F17">
            <v>0</v>
          </cell>
          <cell r="G17">
            <v>0</v>
          </cell>
          <cell r="H17">
            <v>0</v>
          </cell>
          <cell r="I17">
            <v>0</v>
          </cell>
          <cell r="J17">
            <v>0</v>
          </cell>
          <cell r="K17">
            <v>0</v>
          </cell>
          <cell r="L17">
            <v>0</v>
          </cell>
          <cell r="M17">
            <v>0</v>
          </cell>
          <cell r="N17">
            <v>0</v>
          </cell>
          <cell r="O17">
            <v>0</v>
          </cell>
          <cell r="P17">
            <v>0</v>
          </cell>
          <cell r="Q17">
            <v>0</v>
          </cell>
        </row>
        <row r="18">
          <cell r="A18">
            <v>31004</v>
          </cell>
          <cell r="B18" t="str">
            <v>Hauling Revenue - Roll Off Recycling</v>
          </cell>
          <cell r="E18">
            <v>0</v>
          </cell>
          <cell r="F18">
            <v>0</v>
          </cell>
          <cell r="G18">
            <v>0</v>
          </cell>
          <cell r="H18">
            <v>0</v>
          </cell>
          <cell r="I18">
            <v>0</v>
          </cell>
          <cell r="J18">
            <v>0</v>
          </cell>
          <cell r="K18">
            <v>0</v>
          </cell>
          <cell r="L18">
            <v>0</v>
          </cell>
          <cell r="M18">
            <v>0</v>
          </cell>
          <cell r="N18">
            <v>0</v>
          </cell>
          <cell r="O18">
            <v>0</v>
          </cell>
          <cell r="P18">
            <v>0</v>
          </cell>
          <cell r="Q18">
            <v>0</v>
          </cell>
        </row>
        <row r="19">
          <cell r="A19">
            <v>31005</v>
          </cell>
          <cell r="B19" t="str">
            <v>Corporate Roll Off Disposal Charge</v>
          </cell>
          <cell r="E19">
            <v>93946.63</v>
          </cell>
          <cell r="F19">
            <v>91101.8</v>
          </cell>
          <cell r="G19">
            <v>108743.12</v>
          </cell>
          <cell r="H19">
            <v>100411.54</v>
          </cell>
          <cell r="I19">
            <v>109421.85</v>
          </cell>
          <cell r="J19">
            <v>119111.11</v>
          </cell>
          <cell r="K19">
            <v>114939.05</v>
          </cell>
          <cell r="L19">
            <v>123201.29</v>
          </cell>
          <cell r="M19">
            <v>128616.56</v>
          </cell>
          <cell r="N19">
            <v>103849.76</v>
          </cell>
          <cell r="O19">
            <v>87162.7</v>
          </cell>
          <cell r="P19">
            <v>101585.44</v>
          </cell>
          <cell r="Q19">
            <v>1282090.8499999999</v>
          </cell>
        </row>
        <row r="20">
          <cell r="A20">
            <v>31008</v>
          </cell>
          <cell r="B20" t="str">
            <v>Hauling Revenue - Roll Off Adjustments</v>
          </cell>
          <cell r="E20">
            <v>0</v>
          </cell>
          <cell r="F20">
            <v>0</v>
          </cell>
          <cell r="G20">
            <v>0</v>
          </cell>
          <cell r="H20">
            <v>0</v>
          </cell>
          <cell r="I20">
            <v>0</v>
          </cell>
          <cell r="J20">
            <v>0</v>
          </cell>
          <cell r="K20">
            <v>0</v>
          </cell>
          <cell r="L20">
            <v>0</v>
          </cell>
          <cell r="M20">
            <v>0</v>
          </cell>
          <cell r="N20">
            <v>0</v>
          </cell>
          <cell r="O20">
            <v>0</v>
          </cell>
          <cell r="P20">
            <v>0</v>
          </cell>
          <cell r="Q20">
            <v>0</v>
          </cell>
        </row>
        <row r="21">
          <cell r="A21">
            <v>31009</v>
          </cell>
          <cell r="B21" t="str">
            <v>Hauling Revenue - Roll Off Intercompany</v>
          </cell>
          <cell r="E21">
            <v>0</v>
          </cell>
          <cell r="F21">
            <v>0</v>
          </cell>
          <cell r="G21">
            <v>0</v>
          </cell>
          <cell r="H21">
            <v>0</v>
          </cell>
          <cell r="I21">
            <v>0</v>
          </cell>
          <cell r="J21">
            <v>0</v>
          </cell>
          <cell r="K21">
            <v>0</v>
          </cell>
          <cell r="L21">
            <v>0</v>
          </cell>
          <cell r="M21">
            <v>0</v>
          </cell>
          <cell r="N21">
            <v>0</v>
          </cell>
          <cell r="O21">
            <v>0</v>
          </cell>
          <cell r="P21">
            <v>0</v>
          </cell>
          <cell r="Q21">
            <v>0</v>
          </cell>
        </row>
        <row r="22">
          <cell r="A22">
            <v>31010</v>
          </cell>
          <cell r="B22" t="str">
            <v>Hauling Revenue - Roll Off Extras</v>
          </cell>
          <cell r="E22">
            <v>16354.41</v>
          </cell>
          <cell r="F22">
            <v>16430.849999999999</v>
          </cell>
          <cell r="G22">
            <v>18226.63</v>
          </cell>
          <cell r="H22">
            <v>17972.400000000001</v>
          </cell>
          <cell r="I22">
            <v>18790.919999999998</v>
          </cell>
          <cell r="J22">
            <v>19705.3</v>
          </cell>
          <cell r="K22">
            <v>21354.080000000002</v>
          </cell>
          <cell r="L22">
            <v>22365.29</v>
          </cell>
          <cell r="M22">
            <v>20804.36</v>
          </cell>
          <cell r="N22">
            <v>18374.21</v>
          </cell>
          <cell r="O22">
            <v>17346.11</v>
          </cell>
          <cell r="P22">
            <v>15627.2</v>
          </cell>
          <cell r="Q22">
            <v>223351.76</v>
          </cell>
        </row>
        <row r="23">
          <cell r="A23">
            <v>31020</v>
          </cell>
          <cell r="B23" t="str">
            <v>Hauling Revenue - Roll Off Special Waste</v>
          </cell>
          <cell r="E23">
            <v>0</v>
          </cell>
          <cell r="F23">
            <v>0</v>
          </cell>
          <cell r="G23">
            <v>0</v>
          </cell>
          <cell r="H23">
            <v>0</v>
          </cell>
          <cell r="I23">
            <v>0</v>
          </cell>
          <cell r="J23">
            <v>0</v>
          </cell>
          <cell r="K23">
            <v>0</v>
          </cell>
          <cell r="L23">
            <v>0</v>
          </cell>
          <cell r="M23">
            <v>0</v>
          </cell>
          <cell r="N23">
            <v>0</v>
          </cell>
          <cell r="O23">
            <v>0</v>
          </cell>
          <cell r="P23">
            <v>0</v>
          </cell>
          <cell r="Q23">
            <v>0</v>
          </cell>
        </row>
        <row r="24">
          <cell r="A24">
            <v>31021</v>
          </cell>
          <cell r="B24" t="str">
            <v>Hauling Revenue - Roll Off Special Waste</v>
          </cell>
          <cell r="E24">
            <v>0</v>
          </cell>
          <cell r="F24">
            <v>0</v>
          </cell>
          <cell r="G24">
            <v>0</v>
          </cell>
          <cell r="H24">
            <v>0</v>
          </cell>
          <cell r="I24">
            <v>0</v>
          </cell>
          <cell r="J24">
            <v>0</v>
          </cell>
          <cell r="K24">
            <v>0</v>
          </cell>
          <cell r="L24">
            <v>0</v>
          </cell>
          <cell r="M24">
            <v>0</v>
          </cell>
          <cell r="N24">
            <v>0</v>
          </cell>
          <cell r="O24">
            <v>0</v>
          </cell>
          <cell r="P24">
            <v>0</v>
          </cell>
          <cell r="Q24">
            <v>0</v>
          </cell>
        </row>
        <row r="25">
          <cell r="A25">
            <v>31029</v>
          </cell>
          <cell r="B25" t="str">
            <v>Hauling Revenue - Roll Off Special Waste</v>
          </cell>
          <cell r="E25">
            <v>0</v>
          </cell>
          <cell r="F25">
            <v>0</v>
          </cell>
          <cell r="G25">
            <v>0</v>
          </cell>
          <cell r="H25">
            <v>0</v>
          </cell>
          <cell r="I25">
            <v>0</v>
          </cell>
          <cell r="J25">
            <v>0</v>
          </cell>
          <cell r="K25">
            <v>0</v>
          </cell>
          <cell r="L25">
            <v>0</v>
          </cell>
          <cell r="M25">
            <v>0</v>
          </cell>
          <cell r="N25">
            <v>0</v>
          </cell>
          <cell r="O25">
            <v>0</v>
          </cell>
          <cell r="P25">
            <v>0</v>
          </cell>
          <cell r="Q25">
            <v>0</v>
          </cell>
        </row>
        <row r="26">
          <cell r="A26">
            <v>32000</v>
          </cell>
          <cell r="B26" t="str">
            <v>Hauling Revenue - Residential MSW</v>
          </cell>
          <cell r="E26">
            <v>754535.74</v>
          </cell>
          <cell r="F26">
            <v>750848.79</v>
          </cell>
          <cell r="G26">
            <v>751484.07</v>
          </cell>
          <cell r="H26">
            <v>759461.88</v>
          </cell>
          <cell r="I26">
            <v>756344.84</v>
          </cell>
          <cell r="J26">
            <v>762351.19</v>
          </cell>
          <cell r="K26">
            <v>763571.04</v>
          </cell>
          <cell r="L26">
            <v>762014.08</v>
          </cell>
          <cell r="M26">
            <v>763381.19</v>
          </cell>
          <cell r="N26">
            <v>760410.82</v>
          </cell>
          <cell r="O26">
            <v>760222.53</v>
          </cell>
          <cell r="P26">
            <v>757663.07</v>
          </cell>
          <cell r="Q26">
            <v>9102289.2400000002</v>
          </cell>
        </row>
        <row r="27">
          <cell r="A27">
            <v>32001</v>
          </cell>
          <cell r="B27" t="str">
            <v>Hauling Revenue - Residential MSW Extras</v>
          </cell>
          <cell r="E27">
            <v>48676.93</v>
          </cell>
          <cell r="F27">
            <v>46005.81</v>
          </cell>
          <cell r="G27">
            <v>44057.39</v>
          </cell>
          <cell r="H27">
            <v>54145.79</v>
          </cell>
          <cell r="I27">
            <v>47089.22</v>
          </cell>
          <cell r="J27">
            <v>62711.39</v>
          </cell>
          <cell r="K27">
            <v>60222.84</v>
          </cell>
          <cell r="L27">
            <v>63321.38</v>
          </cell>
          <cell r="M27">
            <v>48663.92</v>
          </cell>
          <cell r="N27">
            <v>45750.71</v>
          </cell>
          <cell r="O27">
            <v>44578.41</v>
          </cell>
          <cell r="P27">
            <v>66011.64</v>
          </cell>
          <cell r="Q27">
            <v>631235.43000000005</v>
          </cell>
        </row>
        <row r="28">
          <cell r="A28">
            <v>32002</v>
          </cell>
          <cell r="B28" t="str">
            <v>Hauling Revenue - Residential MSW Adjust</v>
          </cell>
          <cell r="E28">
            <v>0</v>
          </cell>
          <cell r="F28">
            <v>0</v>
          </cell>
          <cell r="G28">
            <v>0</v>
          </cell>
          <cell r="H28">
            <v>0</v>
          </cell>
          <cell r="I28">
            <v>0</v>
          </cell>
          <cell r="J28">
            <v>0</v>
          </cell>
          <cell r="K28">
            <v>0</v>
          </cell>
          <cell r="L28">
            <v>0</v>
          </cell>
          <cell r="M28">
            <v>0</v>
          </cell>
          <cell r="N28">
            <v>0</v>
          </cell>
          <cell r="O28">
            <v>0</v>
          </cell>
          <cell r="P28">
            <v>0</v>
          </cell>
          <cell r="Q28">
            <v>0</v>
          </cell>
        </row>
        <row r="29">
          <cell r="A29">
            <v>32003</v>
          </cell>
          <cell r="B29" t="str">
            <v>Hauling Revenue - Residential MSW Specia</v>
          </cell>
          <cell r="E29">
            <v>0</v>
          </cell>
          <cell r="F29">
            <v>0</v>
          </cell>
          <cell r="G29">
            <v>0</v>
          </cell>
          <cell r="H29">
            <v>0</v>
          </cell>
          <cell r="I29">
            <v>0</v>
          </cell>
          <cell r="J29">
            <v>0</v>
          </cell>
          <cell r="K29">
            <v>0</v>
          </cell>
          <cell r="L29">
            <v>0</v>
          </cell>
          <cell r="M29">
            <v>0</v>
          </cell>
          <cell r="N29">
            <v>0</v>
          </cell>
          <cell r="O29">
            <v>0</v>
          </cell>
          <cell r="P29">
            <v>0</v>
          </cell>
          <cell r="Q29">
            <v>0</v>
          </cell>
        </row>
        <row r="30">
          <cell r="A30">
            <v>32009</v>
          </cell>
          <cell r="B30" t="str">
            <v>Hauling Revenue - Residential MSW Interc</v>
          </cell>
          <cell r="E30">
            <v>0</v>
          </cell>
          <cell r="F30">
            <v>0</v>
          </cell>
          <cell r="G30">
            <v>0</v>
          </cell>
          <cell r="H30">
            <v>0</v>
          </cell>
          <cell r="I30">
            <v>0</v>
          </cell>
          <cell r="J30">
            <v>0</v>
          </cell>
          <cell r="K30">
            <v>0</v>
          </cell>
          <cell r="L30">
            <v>0</v>
          </cell>
          <cell r="M30">
            <v>0</v>
          </cell>
          <cell r="N30">
            <v>0</v>
          </cell>
          <cell r="O30">
            <v>0</v>
          </cell>
          <cell r="P30">
            <v>0</v>
          </cell>
          <cell r="Q30">
            <v>0</v>
          </cell>
        </row>
        <row r="31">
          <cell r="A31">
            <v>32100</v>
          </cell>
          <cell r="B31" t="str">
            <v>Hauling Revenue - Residential Recycling</v>
          </cell>
          <cell r="E31">
            <v>0</v>
          </cell>
          <cell r="F31">
            <v>0</v>
          </cell>
          <cell r="G31">
            <v>0</v>
          </cell>
          <cell r="H31">
            <v>0</v>
          </cell>
          <cell r="I31">
            <v>0</v>
          </cell>
          <cell r="J31">
            <v>0</v>
          </cell>
          <cell r="K31">
            <v>0</v>
          </cell>
          <cell r="L31">
            <v>0</v>
          </cell>
          <cell r="M31">
            <v>0</v>
          </cell>
          <cell r="N31">
            <v>0</v>
          </cell>
          <cell r="O31">
            <v>0</v>
          </cell>
          <cell r="P31">
            <v>0</v>
          </cell>
          <cell r="Q31">
            <v>0</v>
          </cell>
        </row>
        <row r="32">
          <cell r="A32">
            <v>32101</v>
          </cell>
          <cell r="B32" t="str">
            <v>Hauling Revenue - Residential Recycling</v>
          </cell>
          <cell r="E32">
            <v>0</v>
          </cell>
          <cell r="F32">
            <v>0</v>
          </cell>
          <cell r="G32">
            <v>0</v>
          </cell>
          <cell r="H32">
            <v>0</v>
          </cell>
          <cell r="I32">
            <v>0</v>
          </cell>
          <cell r="J32">
            <v>0</v>
          </cell>
          <cell r="K32">
            <v>0</v>
          </cell>
          <cell r="L32">
            <v>0</v>
          </cell>
          <cell r="M32">
            <v>0</v>
          </cell>
          <cell r="N32">
            <v>0</v>
          </cell>
          <cell r="O32">
            <v>0</v>
          </cell>
          <cell r="P32">
            <v>0</v>
          </cell>
          <cell r="Q32">
            <v>0</v>
          </cell>
        </row>
        <row r="33">
          <cell r="A33">
            <v>32102</v>
          </cell>
          <cell r="B33" t="str">
            <v>Hauling Revenue - Residential Recycling</v>
          </cell>
          <cell r="E33">
            <v>0</v>
          </cell>
          <cell r="F33">
            <v>0</v>
          </cell>
          <cell r="G33">
            <v>0</v>
          </cell>
          <cell r="H33">
            <v>0</v>
          </cell>
          <cell r="I33">
            <v>0</v>
          </cell>
          <cell r="J33">
            <v>0</v>
          </cell>
          <cell r="K33">
            <v>0</v>
          </cell>
          <cell r="L33">
            <v>0</v>
          </cell>
          <cell r="M33">
            <v>0</v>
          </cell>
          <cell r="N33">
            <v>0</v>
          </cell>
          <cell r="O33">
            <v>0</v>
          </cell>
          <cell r="P33">
            <v>0</v>
          </cell>
          <cell r="Q33">
            <v>0</v>
          </cell>
        </row>
        <row r="34">
          <cell r="A34">
            <v>32103</v>
          </cell>
          <cell r="B34" t="str">
            <v>Hauling Revenue - Residential Recycling</v>
          </cell>
          <cell r="E34">
            <v>0</v>
          </cell>
          <cell r="F34">
            <v>0</v>
          </cell>
          <cell r="G34">
            <v>0</v>
          </cell>
          <cell r="H34">
            <v>0</v>
          </cell>
          <cell r="I34">
            <v>0</v>
          </cell>
          <cell r="J34">
            <v>0</v>
          </cell>
          <cell r="K34">
            <v>0</v>
          </cell>
          <cell r="L34">
            <v>0</v>
          </cell>
          <cell r="M34">
            <v>0</v>
          </cell>
          <cell r="N34">
            <v>0</v>
          </cell>
          <cell r="O34">
            <v>0</v>
          </cell>
          <cell r="P34">
            <v>0</v>
          </cell>
          <cell r="Q34">
            <v>0</v>
          </cell>
        </row>
        <row r="35">
          <cell r="A35">
            <v>32109</v>
          </cell>
          <cell r="B35" t="str">
            <v>Hauling Revenue - Residential Recycling</v>
          </cell>
          <cell r="E35">
            <v>0</v>
          </cell>
          <cell r="F35">
            <v>0</v>
          </cell>
          <cell r="G35">
            <v>0</v>
          </cell>
          <cell r="H35">
            <v>0</v>
          </cell>
          <cell r="I35">
            <v>0</v>
          </cell>
          <cell r="J35">
            <v>0</v>
          </cell>
          <cell r="K35">
            <v>0</v>
          </cell>
          <cell r="L35">
            <v>0</v>
          </cell>
          <cell r="M35">
            <v>0</v>
          </cell>
          <cell r="N35">
            <v>0</v>
          </cell>
          <cell r="O35">
            <v>0</v>
          </cell>
          <cell r="P35">
            <v>0</v>
          </cell>
          <cell r="Q35">
            <v>0</v>
          </cell>
        </row>
        <row r="36">
          <cell r="A36">
            <v>32110</v>
          </cell>
          <cell r="B36" t="str">
            <v>Hauling Revenue - Residential Composting</v>
          </cell>
          <cell r="E36">
            <v>0</v>
          </cell>
          <cell r="F36">
            <v>0</v>
          </cell>
          <cell r="G36">
            <v>0</v>
          </cell>
          <cell r="H36">
            <v>0</v>
          </cell>
          <cell r="I36">
            <v>0</v>
          </cell>
          <cell r="J36">
            <v>0</v>
          </cell>
          <cell r="K36">
            <v>0</v>
          </cell>
          <cell r="L36">
            <v>0</v>
          </cell>
          <cell r="M36">
            <v>0</v>
          </cell>
          <cell r="N36">
            <v>0</v>
          </cell>
          <cell r="O36">
            <v>0</v>
          </cell>
          <cell r="P36">
            <v>0</v>
          </cell>
          <cell r="Q36">
            <v>0</v>
          </cell>
        </row>
        <row r="37">
          <cell r="A37">
            <v>32111</v>
          </cell>
          <cell r="B37" t="str">
            <v>Hauling Revenue - Residential Composting</v>
          </cell>
          <cell r="E37">
            <v>0</v>
          </cell>
          <cell r="F37">
            <v>0</v>
          </cell>
          <cell r="G37">
            <v>0</v>
          </cell>
          <cell r="H37">
            <v>0</v>
          </cell>
          <cell r="I37">
            <v>0</v>
          </cell>
          <cell r="J37">
            <v>0</v>
          </cell>
          <cell r="K37">
            <v>0</v>
          </cell>
          <cell r="L37">
            <v>0</v>
          </cell>
          <cell r="M37">
            <v>0</v>
          </cell>
          <cell r="N37">
            <v>0</v>
          </cell>
          <cell r="O37">
            <v>0</v>
          </cell>
          <cell r="P37">
            <v>0</v>
          </cell>
          <cell r="Q37">
            <v>0</v>
          </cell>
        </row>
        <row r="38">
          <cell r="A38">
            <v>32112</v>
          </cell>
          <cell r="B38" t="str">
            <v>Hauling Revenue - Residential Composting</v>
          </cell>
          <cell r="E38">
            <v>0</v>
          </cell>
          <cell r="F38">
            <v>0</v>
          </cell>
          <cell r="G38">
            <v>0</v>
          </cell>
          <cell r="H38">
            <v>0</v>
          </cell>
          <cell r="I38">
            <v>0</v>
          </cell>
          <cell r="J38">
            <v>0</v>
          </cell>
          <cell r="K38">
            <v>0</v>
          </cell>
          <cell r="L38">
            <v>0</v>
          </cell>
          <cell r="M38">
            <v>0</v>
          </cell>
          <cell r="N38">
            <v>0</v>
          </cell>
          <cell r="O38">
            <v>0</v>
          </cell>
          <cell r="P38">
            <v>0</v>
          </cell>
          <cell r="Q38">
            <v>0</v>
          </cell>
        </row>
        <row r="39">
          <cell r="A39">
            <v>32113</v>
          </cell>
          <cell r="B39" t="str">
            <v>Hauling Revenue - Residential Composting</v>
          </cell>
          <cell r="E39">
            <v>0</v>
          </cell>
          <cell r="F39">
            <v>0</v>
          </cell>
          <cell r="G39">
            <v>0</v>
          </cell>
          <cell r="H39">
            <v>0</v>
          </cell>
          <cell r="I39">
            <v>0</v>
          </cell>
          <cell r="J39">
            <v>0</v>
          </cell>
          <cell r="K39">
            <v>0</v>
          </cell>
          <cell r="L39">
            <v>0</v>
          </cell>
          <cell r="M39">
            <v>0</v>
          </cell>
          <cell r="N39">
            <v>0</v>
          </cell>
          <cell r="O39">
            <v>0</v>
          </cell>
          <cell r="P39">
            <v>0</v>
          </cell>
          <cell r="Q39">
            <v>0</v>
          </cell>
        </row>
        <row r="40">
          <cell r="A40">
            <v>32119</v>
          </cell>
          <cell r="B40" t="str">
            <v>Hauling Revenue - Residential Composting</v>
          </cell>
          <cell r="E40">
            <v>0</v>
          </cell>
          <cell r="F40">
            <v>0</v>
          </cell>
          <cell r="G40">
            <v>0</v>
          </cell>
          <cell r="H40">
            <v>0</v>
          </cell>
          <cell r="I40">
            <v>0</v>
          </cell>
          <cell r="J40">
            <v>0</v>
          </cell>
          <cell r="K40">
            <v>0</v>
          </cell>
          <cell r="L40">
            <v>0</v>
          </cell>
          <cell r="M40">
            <v>0</v>
          </cell>
          <cell r="N40">
            <v>0</v>
          </cell>
          <cell r="O40">
            <v>0</v>
          </cell>
          <cell r="P40">
            <v>0</v>
          </cell>
          <cell r="Q40">
            <v>0</v>
          </cell>
        </row>
        <row r="41">
          <cell r="A41">
            <v>33000</v>
          </cell>
          <cell r="B41" t="str">
            <v>Hauling Revenue - Commercial FEL</v>
          </cell>
          <cell r="E41">
            <v>414760.73</v>
          </cell>
          <cell r="F41">
            <v>412841.01</v>
          </cell>
          <cell r="G41">
            <v>416757.93</v>
          </cell>
          <cell r="H41">
            <v>417298.76</v>
          </cell>
          <cell r="I41">
            <v>417121.97</v>
          </cell>
          <cell r="J41">
            <v>421939.51</v>
          </cell>
          <cell r="K41">
            <v>420917.49</v>
          </cell>
          <cell r="L41">
            <v>425821.47</v>
          </cell>
          <cell r="M41">
            <v>424192</v>
          </cell>
          <cell r="N41">
            <v>415412.9</v>
          </cell>
          <cell r="O41">
            <v>413023.47</v>
          </cell>
          <cell r="P41">
            <v>411406.25</v>
          </cell>
          <cell r="Q41">
            <v>5011493.49</v>
          </cell>
        </row>
        <row r="42">
          <cell r="A42">
            <v>33001</v>
          </cell>
          <cell r="B42" t="str">
            <v>Hauling Revenue - Commercial FEL Extras</v>
          </cell>
          <cell r="E42">
            <v>16369.94</v>
          </cell>
          <cell r="F42">
            <v>15223.46</v>
          </cell>
          <cell r="G42">
            <v>18054.59</v>
          </cell>
          <cell r="H42">
            <v>17483.330000000002</v>
          </cell>
          <cell r="I42">
            <v>19168.46</v>
          </cell>
          <cell r="J42">
            <v>18357.68</v>
          </cell>
          <cell r="K42">
            <v>21453.19</v>
          </cell>
          <cell r="L42">
            <v>22591.22</v>
          </cell>
          <cell r="M42">
            <v>16352.74</v>
          </cell>
          <cell r="N42">
            <v>17430.650000000001</v>
          </cell>
          <cell r="O42">
            <v>16278.67</v>
          </cell>
          <cell r="P42">
            <v>16972.88</v>
          </cell>
          <cell r="Q42">
            <v>215736.81</v>
          </cell>
        </row>
        <row r="43">
          <cell r="A43">
            <v>33002</v>
          </cell>
          <cell r="B43" t="str">
            <v>Hauling Revenue - Commercial FEL Adjustm</v>
          </cell>
          <cell r="E43">
            <v>0</v>
          </cell>
          <cell r="F43">
            <v>0</v>
          </cell>
          <cell r="G43">
            <v>0</v>
          </cell>
          <cell r="H43">
            <v>0</v>
          </cell>
          <cell r="I43">
            <v>0</v>
          </cell>
          <cell r="J43">
            <v>0</v>
          </cell>
          <cell r="K43">
            <v>0</v>
          </cell>
          <cell r="L43">
            <v>0</v>
          </cell>
          <cell r="M43">
            <v>0</v>
          </cell>
          <cell r="N43">
            <v>0</v>
          </cell>
          <cell r="O43">
            <v>0</v>
          </cell>
          <cell r="P43">
            <v>0</v>
          </cell>
          <cell r="Q43">
            <v>0</v>
          </cell>
        </row>
        <row r="44">
          <cell r="A44">
            <v>33009</v>
          </cell>
          <cell r="B44" t="str">
            <v>Hauling Revenue - Commercial FEL Interco</v>
          </cell>
          <cell r="E44">
            <v>0</v>
          </cell>
          <cell r="F44">
            <v>0</v>
          </cell>
          <cell r="G44">
            <v>0</v>
          </cell>
          <cell r="H44">
            <v>0</v>
          </cell>
          <cell r="I44">
            <v>0</v>
          </cell>
          <cell r="J44">
            <v>0</v>
          </cell>
          <cell r="K44">
            <v>0</v>
          </cell>
          <cell r="L44">
            <v>0</v>
          </cell>
          <cell r="M44">
            <v>0</v>
          </cell>
          <cell r="N44">
            <v>0</v>
          </cell>
          <cell r="O44">
            <v>0</v>
          </cell>
          <cell r="P44">
            <v>0</v>
          </cell>
          <cell r="Q44">
            <v>0</v>
          </cell>
        </row>
        <row r="45">
          <cell r="A45">
            <v>33010</v>
          </cell>
          <cell r="B45" t="str">
            <v>Hauling Revenue - Commercial REL</v>
          </cell>
          <cell r="E45">
            <v>0</v>
          </cell>
          <cell r="F45">
            <v>0</v>
          </cell>
          <cell r="G45">
            <v>0</v>
          </cell>
          <cell r="H45">
            <v>0</v>
          </cell>
          <cell r="I45">
            <v>0</v>
          </cell>
          <cell r="J45">
            <v>0</v>
          </cell>
          <cell r="K45">
            <v>0</v>
          </cell>
          <cell r="L45">
            <v>0</v>
          </cell>
          <cell r="M45">
            <v>0</v>
          </cell>
          <cell r="N45">
            <v>0</v>
          </cell>
          <cell r="O45">
            <v>0</v>
          </cell>
          <cell r="P45">
            <v>0</v>
          </cell>
          <cell r="Q45">
            <v>0</v>
          </cell>
        </row>
        <row r="46">
          <cell r="A46">
            <v>33011</v>
          </cell>
          <cell r="B46" t="str">
            <v>Hauling Revenue - Commercial REL Extras</v>
          </cell>
          <cell r="E46">
            <v>0</v>
          </cell>
          <cell r="F46">
            <v>0</v>
          </cell>
          <cell r="G46">
            <v>0</v>
          </cell>
          <cell r="H46">
            <v>0</v>
          </cell>
          <cell r="I46">
            <v>0</v>
          </cell>
          <cell r="J46">
            <v>0</v>
          </cell>
          <cell r="K46">
            <v>0</v>
          </cell>
          <cell r="L46">
            <v>0</v>
          </cell>
          <cell r="M46">
            <v>0</v>
          </cell>
          <cell r="N46">
            <v>0</v>
          </cell>
          <cell r="O46">
            <v>0</v>
          </cell>
          <cell r="P46">
            <v>0</v>
          </cell>
          <cell r="Q46">
            <v>0</v>
          </cell>
        </row>
        <row r="47">
          <cell r="A47">
            <v>33012</v>
          </cell>
          <cell r="B47" t="str">
            <v>Hauling Revenue - Commercial REL Adjustm</v>
          </cell>
          <cell r="E47">
            <v>0</v>
          </cell>
          <cell r="F47">
            <v>0</v>
          </cell>
          <cell r="G47">
            <v>0</v>
          </cell>
          <cell r="H47">
            <v>0</v>
          </cell>
          <cell r="I47">
            <v>0</v>
          </cell>
          <cell r="J47">
            <v>0</v>
          </cell>
          <cell r="K47">
            <v>0</v>
          </cell>
          <cell r="L47">
            <v>0</v>
          </cell>
          <cell r="M47">
            <v>0</v>
          </cell>
          <cell r="N47">
            <v>0</v>
          </cell>
          <cell r="O47">
            <v>0</v>
          </cell>
          <cell r="P47">
            <v>0</v>
          </cell>
          <cell r="Q47">
            <v>0</v>
          </cell>
        </row>
        <row r="48">
          <cell r="A48">
            <v>33019</v>
          </cell>
          <cell r="B48" t="str">
            <v>Hauling Revenue - Commercial REL Interco</v>
          </cell>
          <cell r="E48">
            <v>0</v>
          </cell>
          <cell r="F48">
            <v>0</v>
          </cell>
          <cell r="G48">
            <v>0</v>
          </cell>
          <cell r="H48">
            <v>0</v>
          </cell>
          <cell r="I48">
            <v>0</v>
          </cell>
          <cell r="J48">
            <v>0</v>
          </cell>
          <cell r="K48">
            <v>0</v>
          </cell>
          <cell r="L48">
            <v>0</v>
          </cell>
          <cell r="M48">
            <v>0</v>
          </cell>
          <cell r="N48">
            <v>0</v>
          </cell>
          <cell r="O48">
            <v>0</v>
          </cell>
          <cell r="P48">
            <v>0</v>
          </cell>
          <cell r="Q48">
            <v>0</v>
          </cell>
        </row>
        <row r="49">
          <cell r="A49">
            <v>33020</v>
          </cell>
          <cell r="B49" t="str">
            <v>Hauling Revenue - Commercial Recycling F</v>
          </cell>
          <cell r="E49">
            <v>0</v>
          </cell>
          <cell r="F49">
            <v>0</v>
          </cell>
          <cell r="G49">
            <v>0</v>
          </cell>
          <cell r="H49">
            <v>0</v>
          </cell>
          <cell r="I49">
            <v>0</v>
          </cell>
          <cell r="J49">
            <v>0</v>
          </cell>
          <cell r="K49">
            <v>0</v>
          </cell>
          <cell r="L49">
            <v>0</v>
          </cell>
          <cell r="M49">
            <v>0</v>
          </cell>
          <cell r="N49">
            <v>0</v>
          </cell>
          <cell r="O49">
            <v>0</v>
          </cell>
          <cell r="P49">
            <v>0</v>
          </cell>
          <cell r="Q49">
            <v>0</v>
          </cell>
        </row>
        <row r="50">
          <cell r="A50">
            <v>33021</v>
          </cell>
          <cell r="B50" t="str">
            <v>Hauling Revenue - Commercial Recycling F</v>
          </cell>
          <cell r="E50">
            <v>0</v>
          </cell>
          <cell r="F50">
            <v>0</v>
          </cell>
          <cell r="G50">
            <v>0</v>
          </cell>
          <cell r="H50">
            <v>0</v>
          </cell>
          <cell r="I50">
            <v>0</v>
          </cell>
          <cell r="J50">
            <v>0</v>
          </cell>
          <cell r="K50">
            <v>0</v>
          </cell>
          <cell r="L50">
            <v>0</v>
          </cell>
          <cell r="M50">
            <v>0</v>
          </cell>
          <cell r="N50">
            <v>0</v>
          </cell>
          <cell r="O50">
            <v>0</v>
          </cell>
          <cell r="P50">
            <v>0</v>
          </cell>
          <cell r="Q50">
            <v>0</v>
          </cell>
        </row>
        <row r="51">
          <cell r="A51">
            <v>33022</v>
          </cell>
          <cell r="B51" t="str">
            <v>Hauling Revenue - Commercial Recycling F</v>
          </cell>
          <cell r="E51">
            <v>0</v>
          </cell>
          <cell r="F51">
            <v>0</v>
          </cell>
          <cell r="G51">
            <v>0</v>
          </cell>
          <cell r="H51">
            <v>0</v>
          </cell>
          <cell r="I51">
            <v>0</v>
          </cell>
          <cell r="J51">
            <v>0</v>
          </cell>
          <cell r="K51">
            <v>0</v>
          </cell>
          <cell r="L51">
            <v>0</v>
          </cell>
          <cell r="M51">
            <v>0</v>
          </cell>
          <cell r="N51">
            <v>0</v>
          </cell>
          <cell r="O51">
            <v>0</v>
          </cell>
          <cell r="P51">
            <v>0</v>
          </cell>
          <cell r="Q51">
            <v>0</v>
          </cell>
        </row>
        <row r="52">
          <cell r="A52">
            <v>33029</v>
          </cell>
          <cell r="B52" t="str">
            <v>Hauling Revenue - Commercial Recycling F</v>
          </cell>
          <cell r="E52">
            <v>0</v>
          </cell>
          <cell r="F52">
            <v>0</v>
          </cell>
          <cell r="G52">
            <v>0</v>
          </cell>
          <cell r="H52">
            <v>0</v>
          </cell>
          <cell r="I52">
            <v>0</v>
          </cell>
          <cell r="J52">
            <v>0</v>
          </cell>
          <cell r="K52">
            <v>0</v>
          </cell>
          <cell r="L52">
            <v>0</v>
          </cell>
          <cell r="M52">
            <v>0</v>
          </cell>
          <cell r="N52">
            <v>0</v>
          </cell>
          <cell r="O52">
            <v>0</v>
          </cell>
          <cell r="P52">
            <v>0</v>
          </cell>
          <cell r="Q52">
            <v>0</v>
          </cell>
        </row>
        <row r="53">
          <cell r="A53">
            <v>33030</v>
          </cell>
          <cell r="B53" t="str">
            <v>Hauling Revenue - Commercial Recycling R</v>
          </cell>
          <cell r="E53">
            <v>0</v>
          </cell>
          <cell r="F53">
            <v>0</v>
          </cell>
          <cell r="G53">
            <v>0</v>
          </cell>
          <cell r="H53">
            <v>0</v>
          </cell>
          <cell r="I53">
            <v>0</v>
          </cell>
          <cell r="J53">
            <v>0</v>
          </cell>
          <cell r="K53">
            <v>0</v>
          </cell>
          <cell r="L53">
            <v>0</v>
          </cell>
          <cell r="M53">
            <v>0</v>
          </cell>
          <cell r="N53">
            <v>0</v>
          </cell>
          <cell r="O53">
            <v>0</v>
          </cell>
          <cell r="P53">
            <v>0</v>
          </cell>
          <cell r="Q53">
            <v>0</v>
          </cell>
        </row>
        <row r="54">
          <cell r="A54">
            <v>33031</v>
          </cell>
          <cell r="B54" t="str">
            <v>Hauling Revenue - Commercial Recycling R</v>
          </cell>
          <cell r="E54">
            <v>0</v>
          </cell>
          <cell r="F54">
            <v>0</v>
          </cell>
          <cell r="G54">
            <v>0</v>
          </cell>
          <cell r="H54">
            <v>0</v>
          </cell>
          <cell r="I54">
            <v>0</v>
          </cell>
          <cell r="J54">
            <v>0</v>
          </cell>
          <cell r="K54">
            <v>0</v>
          </cell>
          <cell r="L54">
            <v>0</v>
          </cell>
          <cell r="M54">
            <v>0</v>
          </cell>
          <cell r="N54">
            <v>0</v>
          </cell>
          <cell r="O54">
            <v>0</v>
          </cell>
          <cell r="P54">
            <v>0</v>
          </cell>
          <cell r="Q54">
            <v>0</v>
          </cell>
        </row>
        <row r="55">
          <cell r="A55">
            <v>33032</v>
          </cell>
          <cell r="B55" t="str">
            <v>Hauling Revenue - Commercial Recycling R</v>
          </cell>
          <cell r="E55">
            <v>0</v>
          </cell>
          <cell r="F55">
            <v>0</v>
          </cell>
          <cell r="G55">
            <v>0</v>
          </cell>
          <cell r="H55">
            <v>0</v>
          </cell>
          <cell r="I55">
            <v>0</v>
          </cell>
          <cell r="J55">
            <v>0</v>
          </cell>
          <cell r="K55">
            <v>0</v>
          </cell>
          <cell r="L55">
            <v>0</v>
          </cell>
          <cell r="M55">
            <v>0</v>
          </cell>
          <cell r="N55">
            <v>0</v>
          </cell>
          <cell r="O55">
            <v>0</v>
          </cell>
          <cell r="P55">
            <v>0</v>
          </cell>
          <cell r="Q55">
            <v>0</v>
          </cell>
        </row>
        <row r="56">
          <cell r="A56">
            <v>33039</v>
          </cell>
          <cell r="B56" t="str">
            <v>Hauling Revenue - Commercial Recycling R</v>
          </cell>
          <cell r="E56">
            <v>0</v>
          </cell>
          <cell r="F56">
            <v>0</v>
          </cell>
          <cell r="G56">
            <v>0</v>
          </cell>
          <cell r="H56">
            <v>0</v>
          </cell>
          <cell r="I56">
            <v>0</v>
          </cell>
          <cell r="J56">
            <v>0</v>
          </cell>
          <cell r="K56">
            <v>0</v>
          </cell>
          <cell r="L56">
            <v>0</v>
          </cell>
          <cell r="M56">
            <v>0</v>
          </cell>
          <cell r="N56">
            <v>0</v>
          </cell>
          <cell r="O56">
            <v>0</v>
          </cell>
          <cell r="P56">
            <v>0</v>
          </cell>
          <cell r="Q56">
            <v>0</v>
          </cell>
        </row>
        <row r="57">
          <cell r="A57">
            <v>33500</v>
          </cell>
          <cell r="B57" t="str">
            <v>Portable Toilet Revenue</v>
          </cell>
          <cell r="E57">
            <v>0</v>
          </cell>
          <cell r="F57">
            <v>0</v>
          </cell>
          <cell r="G57">
            <v>0</v>
          </cell>
          <cell r="H57">
            <v>0</v>
          </cell>
          <cell r="I57">
            <v>0</v>
          </cell>
          <cell r="J57">
            <v>0</v>
          </cell>
          <cell r="K57">
            <v>0</v>
          </cell>
          <cell r="L57">
            <v>0</v>
          </cell>
          <cell r="M57">
            <v>0</v>
          </cell>
          <cell r="N57">
            <v>0</v>
          </cell>
          <cell r="O57">
            <v>0</v>
          </cell>
          <cell r="P57">
            <v>0</v>
          </cell>
          <cell r="Q57">
            <v>0</v>
          </cell>
        </row>
        <row r="58">
          <cell r="A58">
            <v>33501</v>
          </cell>
          <cell r="B58" t="str">
            <v>Portable Toilet Extras</v>
          </cell>
          <cell r="E58">
            <v>0</v>
          </cell>
          <cell r="F58">
            <v>0</v>
          </cell>
          <cell r="G58">
            <v>0</v>
          </cell>
          <cell r="H58">
            <v>0</v>
          </cell>
          <cell r="I58">
            <v>0</v>
          </cell>
          <cell r="J58">
            <v>0</v>
          </cell>
          <cell r="K58">
            <v>0</v>
          </cell>
          <cell r="L58">
            <v>0</v>
          </cell>
          <cell r="M58">
            <v>0</v>
          </cell>
          <cell r="N58">
            <v>0</v>
          </cell>
          <cell r="O58">
            <v>0</v>
          </cell>
          <cell r="P58">
            <v>0</v>
          </cell>
          <cell r="Q58">
            <v>0</v>
          </cell>
        </row>
        <row r="59">
          <cell r="A59">
            <v>33502</v>
          </cell>
          <cell r="B59" t="str">
            <v>Portable Toilet Adjustments</v>
          </cell>
          <cell r="E59">
            <v>0</v>
          </cell>
          <cell r="F59">
            <v>0</v>
          </cell>
          <cell r="G59">
            <v>0</v>
          </cell>
          <cell r="H59">
            <v>0</v>
          </cell>
          <cell r="I59">
            <v>0</v>
          </cell>
          <cell r="J59">
            <v>0</v>
          </cell>
          <cell r="K59">
            <v>0</v>
          </cell>
          <cell r="L59">
            <v>0</v>
          </cell>
          <cell r="M59">
            <v>0</v>
          </cell>
          <cell r="N59">
            <v>0</v>
          </cell>
          <cell r="O59">
            <v>0</v>
          </cell>
          <cell r="P59">
            <v>0</v>
          </cell>
          <cell r="Q59">
            <v>0</v>
          </cell>
        </row>
        <row r="60">
          <cell r="A60">
            <v>33509</v>
          </cell>
          <cell r="B60" t="str">
            <v>Portable Toilet Intercompany</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Total Hauling</v>
          </cell>
          <cell r="E61">
            <v>1386073.49</v>
          </cell>
          <cell r="F61">
            <v>1372277.94</v>
          </cell>
          <cell r="G61">
            <v>1406346.48</v>
          </cell>
          <cell r="H61">
            <v>1411911.56</v>
          </cell>
          <cell r="I61">
            <v>1416201.0699999998</v>
          </cell>
          <cell r="J61">
            <v>1459490.68</v>
          </cell>
          <cell r="K61">
            <v>1462503.71</v>
          </cell>
          <cell r="L61">
            <v>1483897.43</v>
          </cell>
          <cell r="M61">
            <v>1457942.84</v>
          </cell>
          <cell r="N61">
            <v>1412161.3899999997</v>
          </cell>
          <cell r="O61">
            <v>1377199.56</v>
          </cell>
          <cell r="P61">
            <v>1412687.2399999998</v>
          </cell>
          <cell r="Q61">
            <v>17058693.389999997</v>
          </cell>
        </row>
        <row r="63">
          <cell r="A63" t="str">
            <v>Transfer</v>
          </cell>
        </row>
        <row r="64">
          <cell r="A64">
            <v>35000</v>
          </cell>
          <cell r="B64" t="str">
            <v>Transfer Station - Third Party</v>
          </cell>
          <cell r="E64">
            <v>0</v>
          </cell>
          <cell r="F64">
            <v>0</v>
          </cell>
          <cell r="G64">
            <v>0</v>
          </cell>
          <cell r="H64">
            <v>0</v>
          </cell>
          <cell r="I64">
            <v>0</v>
          </cell>
          <cell r="J64">
            <v>0</v>
          </cell>
          <cell r="K64">
            <v>0</v>
          </cell>
          <cell r="L64">
            <v>0</v>
          </cell>
          <cell r="M64">
            <v>0</v>
          </cell>
          <cell r="N64">
            <v>0</v>
          </cell>
          <cell r="O64">
            <v>0</v>
          </cell>
          <cell r="P64">
            <v>0</v>
          </cell>
          <cell r="Q64">
            <v>0</v>
          </cell>
        </row>
        <row r="65">
          <cell r="A65">
            <v>35001</v>
          </cell>
          <cell r="B65" t="str">
            <v>Transfer Station - Third Party Adjustmen</v>
          </cell>
          <cell r="E65">
            <v>0</v>
          </cell>
          <cell r="F65">
            <v>0</v>
          </cell>
          <cell r="G65">
            <v>0</v>
          </cell>
          <cell r="H65">
            <v>0</v>
          </cell>
          <cell r="I65">
            <v>0</v>
          </cell>
          <cell r="J65">
            <v>0</v>
          </cell>
          <cell r="K65">
            <v>0</v>
          </cell>
          <cell r="L65">
            <v>0</v>
          </cell>
          <cell r="M65">
            <v>0</v>
          </cell>
          <cell r="N65">
            <v>0</v>
          </cell>
          <cell r="O65">
            <v>0</v>
          </cell>
          <cell r="P65">
            <v>0</v>
          </cell>
          <cell r="Q65">
            <v>0</v>
          </cell>
        </row>
        <row r="66">
          <cell r="A66">
            <v>35009</v>
          </cell>
          <cell r="B66" t="str">
            <v>Transfer Station - Intercompany</v>
          </cell>
          <cell r="E66">
            <v>0</v>
          </cell>
          <cell r="F66">
            <v>0</v>
          </cell>
          <cell r="G66">
            <v>0</v>
          </cell>
          <cell r="H66">
            <v>0</v>
          </cell>
          <cell r="I66">
            <v>0</v>
          </cell>
          <cell r="J66">
            <v>0</v>
          </cell>
          <cell r="K66">
            <v>0</v>
          </cell>
          <cell r="L66">
            <v>0</v>
          </cell>
          <cell r="M66">
            <v>0</v>
          </cell>
          <cell r="N66">
            <v>0</v>
          </cell>
          <cell r="O66">
            <v>0</v>
          </cell>
          <cell r="P66">
            <v>0</v>
          </cell>
          <cell r="Q66">
            <v>0</v>
          </cell>
        </row>
        <row r="67">
          <cell r="A67">
            <v>35500</v>
          </cell>
          <cell r="B67" t="str">
            <v>MRF Processing Charge</v>
          </cell>
          <cell r="E67">
            <v>0</v>
          </cell>
          <cell r="F67">
            <v>0</v>
          </cell>
          <cell r="G67">
            <v>0</v>
          </cell>
          <cell r="H67">
            <v>0</v>
          </cell>
          <cell r="I67">
            <v>0</v>
          </cell>
          <cell r="J67">
            <v>0</v>
          </cell>
          <cell r="K67">
            <v>0</v>
          </cell>
          <cell r="L67">
            <v>0</v>
          </cell>
          <cell r="M67">
            <v>0</v>
          </cell>
          <cell r="N67">
            <v>0</v>
          </cell>
          <cell r="O67">
            <v>0</v>
          </cell>
          <cell r="P67">
            <v>0</v>
          </cell>
          <cell r="Q67">
            <v>0</v>
          </cell>
        </row>
        <row r="68">
          <cell r="A68">
            <v>35501</v>
          </cell>
          <cell r="B68" t="str">
            <v>MRF Processing Charge Adjustments</v>
          </cell>
          <cell r="E68">
            <v>0</v>
          </cell>
          <cell r="F68">
            <v>0</v>
          </cell>
          <cell r="G68">
            <v>0</v>
          </cell>
          <cell r="H68">
            <v>0</v>
          </cell>
          <cell r="I68">
            <v>0</v>
          </cell>
          <cell r="J68">
            <v>0</v>
          </cell>
          <cell r="K68">
            <v>0</v>
          </cell>
          <cell r="L68">
            <v>0</v>
          </cell>
          <cell r="M68">
            <v>0</v>
          </cell>
          <cell r="N68">
            <v>0</v>
          </cell>
          <cell r="O68">
            <v>0</v>
          </cell>
          <cell r="P68">
            <v>0</v>
          </cell>
          <cell r="Q68">
            <v>0</v>
          </cell>
        </row>
        <row r="69">
          <cell r="A69">
            <v>35509</v>
          </cell>
          <cell r="B69" t="str">
            <v>MRF Processing Charge Intercompany</v>
          </cell>
          <cell r="E69">
            <v>0</v>
          </cell>
          <cell r="F69">
            <v>0</v>
          </cell>
          <cell r="G69">
            <v>0</v>
          </cell>
          <cell r="H69">
            <v>0</v>
          </cell>
          <cell r="I69">
            <v>0</v>
          </cell>
          <cell r="J69">
            <v>0</v>
          </cell>
          <cell r="K69">
            <v>0</v>
          </cell>
          <cell r="L69">
            <v>0</v>
          </cell>
          <cell r="M69">
            <v>0</v>
          </cell>
          <cell r="N69">
            <v>0</v>
          </cell>
          <cell r="O69">
            <v>0</v>
          </cell>
          <cell r="P69">
            <v>0</v>
          </cell>
          <cell r="Q69">
            <v>0</v>
          </cell>
        </row>
        <row r="70">
          <cell r="A70" t="str">
            <v>Total Transfer</v>
          </cell>
          <cell r="E70">
            <v>0</v>
          </cell>
          <cell r="F70">
            <v>0</v>
          </cell>
          <cell r="G70">
            <v>0</v>
          </cell>
          <cell r="H70">
            <v>0</v>
          </cell>
          <cell r="I70">
            <v>0</v>
          </cell>
          <cell r="J70">
            <v>0</v>
          </cell>
          <cell r="K70">
            <v>0</v>
          </cell>
          <cell r="L70">
            <v>0</v>
          </cell>
          <cell r="M70">
            <v>0</v>
          </cell>
          <cell r="N70">
            <v>0</v>
          </cell>
          <cell r="O70">
            <v>0</v>
          </cell>
          <cell r="P70">
            <v>0</v>
          </cell>
          <cell r="Q70">
            <v>0</v>
          </cell>
        </row>
        <row r="72">
          <cell r="A72" t="str">
            <v>MRF</v>
          </cell>
        </row>
        <row r="73">
          <cell r="A73">
            <v>35510</v>
          </cell>
          <cell r="B73" t="str">
            <v>Proceeds - OCC</v>
          </cell>
          <cell r="E73">
            <v>0</v>
          </cell>
          <cell r="F73">
            <v>0</v>
          </cell>
          <cell r="G73">
            <v>0</v>
          </cell>
          <cell r="H73">
            <v>0</v>
          </cell>
          <cell r="I73">
            <v>0</v>
          </cell>
          <cell r="J73">
            <v>0</v>
          </cell>
          <cell r="K73">
            <v>0</v>
          </cell>
          <cell r="L73">
            <v>0</v>
          </cell>
          <cell r="M73">
            <v>0</v>
          </cell>
          <cell r="N73">
            <v>0</v>
          </cell>
          <cell r="O73">
            <v>0</v>
          </cell>
          <cell r="P73">
            <v>0</v>
          </cell>
          <cell r="Q73">
            <v>0</v>
          </cell>
        </row>
        <row r="74">
          <cell r="A74">
            <v>35511</v>
          </cell>
          <cell r="B74" t="str">
            <v>Proceeds - ONP</v>
          </cell>
          <cell r="E74">
            <v>0</v>
          </cell>
          <cell r="F74">
            <v>0</v>
          </cell>
          <cell r="G74">
            <v>0</v>
          </cell>
          <cell r="H74">
            <v>0</v>
          </cell>
          <cell r="I74">
            <v>0</v>
          </cell>
          <cell r="J74">
            <v>0</v>
          </cell>
          <cell r="K74">
            <v>0</v>
          </cell>
          <cell r="L74">
            <v>0</v>
          </cell>
          <cell r="M74">
            <v>0</v>
          </cell>
          <cell r="N74">
            <v>0</v>
          </cell>
          <cell r="O74">
            <v>0</v>
          </cell>
          <cell r="P74">
            <v>0</v>
          </cell>
          <cell r="Q74">
            <v>0</v>
          </cell>
        </row>
        <row r="75">
          <cell r="A75">
            <v>35512</v>
          </cell>
          <cell r="B75" t="str">
            <v>Proceeds - Other Paper</v>
          </cell>
          <cell r="E75">
            <v>0</v>
          </cell>
          <cell r="F75">
            <v>0</v>
          </cell>
          <cell r="G75">
            <v>0</v>
          </cell>
          <cell r="H75">
            <v>0</v>
          </cell>
          <cell r="I75">
            <v>0</v>
          </cell>
          <cell r="J75">
            <v>0</v>
          </cell>
          <cell r="K75">
            <v>0</v>
          </cell>
          <cell r="L75">
            <v>0</v>
          </cell>
          <cell r="M75">
            <v>0</v>
          </cell>
          <cell r="N75">
            <v>0</v>
          </cell>
          <cell r="O75">
            <v>0</v>
          </cell>
          <cell r="P75">
            <v>0</v>
          </cell>
          <cell r="Q75">
            <v>0</v>
          </cell>
        </row>
        <row r="76">
          <cell r="A76">
            <v>35513</v>
          </cell>
          <cell r="B76" t="str">
            <v>Proceeds - Aluminum</v>
          </cell>
          <cell r="E76">
            <v>0</v>
          </cell>
          <cell r="F76">
            <v>0</v>
          </cell>
          <cell r="G76">
            <v>0</v>
          </cell>
          <cell r="H76">
            <v>0</v>
          </cell>
          <cell r="I76">
            <v>0</v>
          </cell>
          <cell r="J76">
            <v>0</v>
          </cell>
          <cell r="K76">
            <v>0</v>
          </cell>
          <cell r="L76">
            <v>0</v>
          </cell>
          <cell r="M76">
            <v>0</v>
          </cell>
          <cell r="N76">
            <v>0</v>
          </cell>
          <cell r="O76">
            <v>0</v>
          </cell>
          <cell r="P76">
            <v>0</v>
          </cell>
          <cell r="Q76">
            <v>0</v>
          </cell>
        </row>
        <row r="77">
          <cell r="A77">
            <v>35514</v>
          </cell>
          <cell r="B77" t="str">
            <v>Proceeds - Metal</v>
          </cell>
          <cell r="E77">
            <v>0</v>
          </cell>
          <cell r="F77">
            <v>0</v>
          </cell>
          <cell r="G77">
            <v>0</v>
          </cell>
          <cell r="H77">
            <v>0</v>
          </cell>
          <cell r="I77">
            <v>0</v>
          </cell>
          <cell r="J77">
            <v>0</v>
          </cell>
          <cell r="K77">
            <v>0</v>
          </cell>
          <cell r="L77">
            <v>0</v>
          </cell>
          <cell r="M77">
            <v>0</v>
          </cell>
          <cell r="N77">
            <v>0</v>
          </cell>
          <cell r="O77">
            <v>0</v>
          </cell>
          <cell r="P77">
            <v>0</v>
          </cell>
          <cell r="Q77">
            <v>0</v>
          </cell>
        </row>
        <row r="78">
          <cell r="A78">
            <v>35515</v>
          </cell>
          <cell r="B78" t="str">
            <v>Proceeds - Glass</v>
          </cell>
          <cell r="E78">
            <v>0</v>
          </cell>
          <cell r="F78">
            <v>0</v>
          </cell>
          <cell r="G78">
            <v>0</v>
          </cell>
          <cell r="H78">
            <v>0</v>
          </cell>
          <cell r="I78">
            <v>0</v>
          </cell>
          <cell r="J78">
            <v>0</v>
          </cell>
          <cell r="K78">
            <v>0</v>
          </cell>
          <cell r="L78">
            <v>0</v>
          </cell>
          <cell r="M78">
            <v>0</v>
          </cell>
          <cell r="N78">
            <v>0</v>
          </cell>
          <cell r="O78">
            <v>0</v>
          </cell>
          <cell r="P78">
            <v>0</v>
          </cell>
          <cell r="Q78">
            <v>0</v>
          </cell>
        </row>
        <row r="79">
          <cell r="A79">
            <v>35516</v>
          </cell>
          <cell r="B79" t="str">
            <v>Proceeds - Plastic</v>
          </cell>
          <cell r="E79">
            <v>0</v>
          </cell>
          <cell r="F79">
            <v>0</v>
          </cell>
          <cell r="G79">
            <v>0</v>
          </cell>
          <cell r="H79">
            <v>0</v>
          </cell>
          <cell r="I79">
            <v>0</v>
          </cell>
          <cell r="J79">
            <v>0</v>
          </cell>
          <cell r="K79">
            <v>0</v>
          </cell>
          <cell r="L79">
            <v>0</v>
          </cell>
          <cell r="M79">
            <v>0</v>
          </cell>
          <cell r="N79">
            <v>0</v>
          </cell>
          <cell r="O79">
            <v>0</v>
          </cell>
          <cell r="P79">
            <v>0</v>
          </cell>
          <cell r="Q79">
            <v>0</v>
          </cell>
        </row>
        <row r="80">
          <cell r="A80">
            <v>35517</v>
          </cell>
          <cell r="B80" t="str">
            <v>Proceeds - Other Recyclables</v>
          </cell>
          <cell r="E80">
            <v>0</v>
          </cell>
          <cell r="F80">
            <v>0</v>
          </cell>
          <cell r="G80">
            <v>0</v>
          </cell>
          <cell r="H80">
            <v>0</v>
          </cell>
          <cell r="I80">
            <v>0</v>
          </cell>
          <cell r="J80">
            <v>0</v>
          </cell>
          <cell r="K80">
            <v>0</v>
          </cell>
          <cell r="L80">
            <v>0</v>
          </cell>
          <cell r="M80">
            <v>0</v>
          </cell>
          <cell r="N80">
            <v>0</v>
          </cell>
          <cell r="O80">
            <v>0</v>
          </cell>
          <cell r="P80">
            <v>0</v>
          </cell>
          <cell r="Q80">
            <v>0</v>
          </cell>
        </row>
        <row r="81">
          <cell r="A81">
            <v>35518</v>
          </cell>
          <cell r="B81" t="str">
            <v>Proceeds - Commingled</v>
          </cell>
          <cell r="E81">
            <v>0</v>
          </cell>
          <cell r="F81">
            <v>0</v>
          </cell>
          <cell r="G81">
            <v>0</v>
          </cell>
          <cell r="H81">
            <v>0</v>
          </cell>
          <cell r="I81">
            <v>0</v>
          </cell>
          <cell r="J81">
            <v>0</v>
          </cell>
          <cell r="K81">
            <v>0</v>
          </cell>
          <cell r="L81">
            <v>0</v>
          </cell>
          <cell r="M81">
            <v>0</v>
          </cell>
          <cell r="N81">
            <v>0</v>
          </cell>
          <cell r="O81">
            <v>0</v>
          </cell>
          <cell r="P81">
            <v>0</v>
          </cell>
          <cell r="Q81">
            <v>0</v>
          </cell>
        </row>
        <row r="82">
          <cell r="A82">
            <v>35519</v>
          </cell>
          <cell r="B82" t="str">
            <v>Proceeds - Intercompany Material Sales</v>
          </cell>
          <cell r="E82">
            <v>0</v>
          </cell>
          <cell r="F82">
            <v>0</v>
          </cell>
          <cell r="G82">
            <v>0</v>
          </cell>
          <cell r="H82">
            <v>0</v>
          </cell>
          <cell r="I82">
            <v>0</v>
          </cell>
          <cell r="J82">
            <v>0</v>
          </cell>
          <cell r="K82">
            <v>0</v>
          </cell>
          <cell r="L82">
            <v>0</v>
          </cell>
          <cell r="M82">
            <v>0</v>
          </cell>
          <cell r="N82">
            <v>0</v>
          </cell>
          <cell r="O82">
            <v>0</v>
          </cell>
          <cell r="P82">
            <v>0</v>
          </cell>
          <cell r="Q82">
            <v>0</v>
          </cell>
        </row>
        <row r="83">
          <cell r="A83">
            <v>35520</v>
          </cell>
          <cell r="B83" t="str">
            <v>Support - OCC</v>
          </cell>
          <cell r="E83">
            <v>0</v>
          </cell>
          <cell r="F83">
            <v>0</v>
          </cell>
          <cell r="G83">
            <v>0</v>
          </cell>
          <cell r="H83">
            <v>0</v>
          </cell>
          <cell r="I83">
            <v>0</v>
          </cell>
          <cell r="J83">
            <v>0</v>
          </cell>
          <cell r="K83">
            <v>0</v>
          </cell>
          <cell r="L83">
            <v>0</v>
          </cell>
          <cell r="M83">
            <v>0</v>
          </cell>
          <cell r="N83">
            <v>0</v>
          </cell>
          <cell r="O83">
            <v>0</v>
          </cell>
          <cell r="P83">
            <v>0</v>
          </cell>
          <cell r="Q83">
            <v>0</v>
          </cell>
        </row>
        <row r="84">
          <cell r="A84">
            <v>35521</v>
          </cell>
          <cell r="B84" t="str">
            <v>Support - ONP</v>
          </cell>
          <cell r="E84">
            <v>0</v>
          </cell>
          <cell r="F84">
            <v>0</v>
          </cell>
          <cell r="G84">
            <v>0</v>
          </cell>
          <cell r="H84">
            <v>0</v>
          </cell>
          <cell r="I84">
            <v>0</v>
          </cell>
          <cell r="J84">
            <v>0</v>
          </cell>
          <cell r="K84">
            <v>0</v>
          </cell>
          <cell r="L84">
            <v>0</v>
          </cell>
          <cell r="M84">
            <v>0</v>
          </cell>
          <cell r="N84">
            <v>0</v>
          </cell>
          <cell r="O84">
            <v>0</v>
          </cell>
          <cell r="P84">
            <v>0</v>
          </cell>
          <cell r="Q84">
            <v>0</v>
          </cell>
        </row>
        <row r="85">
          <cell r="A85">
            <v>35522</v>
          </cell>
          <cell r="B85" t="str">
            <v>Support - Other Paper</v>
          </cell>
          <cell r="E85">
            <v>0</v>
          </cell>
          <cell r="F85">
            <v>0</v>
          </cell>
          <cell r="G85">
            <v>0</v>
          </cell>
          <cell r="H85">
            <v>0</v>
          </cell>
          <cell r="I85">
            <v>0</v>
          </cell>
          <cell r="J85">
            <v>0</v>
          </cell>
          <cell r="K85">
            <v>0</v>
          </cell>
          <cell r="L85">
            <v>0</v>
          </cell>
          <cell r="M85">
            <v>0</v>
          </cell>
          <cell r="N85">
            <v>0</v>
          </cell>
          <cell r="O85">
            <v>0</v>
          </cell>
          <cell r="P85">
            <v>0</v>
          </cell>
          <cell r="Q85">
            <v>0</v>
          </cell>
        </row>
        <row r="86">
          <cell r="A86">
            <v>35523</v>
          </cell>
          <cell r="B86" t="str">
            <v>Support - Aluminum</v>
          </cell>
          <cell r="E86">
            <v>0</v>
          </cell>
          <cell r="F86">
            <v>0</v>
          </cell>
          <cell r="G86">
            <v>0</v>
          </cell>
          <cell r="H86">
            <v>0</v>
          </cell>
          <cell r="I86">
            <v>0</v>
          </cell>
          <cell r="J86">
            <v>0</v>
          </cell>
          <cell r="K86">
            <v>0</v>
          </cell>
          <cell r="L86">
            <v>0</v>
          </cell>
          <cell r="M86">
            <v>0</v>
          </cell>
          <cell r="N86">
            <v>0</v>
          </cell>
          <cell r="O86">
            <v>0</v>
          </cell>
          <cell r="P86">
            <v>0</v>
          </cell>
          <cell r="Q86">
            <v>0</v>
          </cell>
        </row>
        <row r="87">
          <cell r="A87">
            <v>35524</v>
          </cell>
          <cell r="B87" t="str">
            <v>Support - Metal</v>
          </cell>
          <cell r="E87">
            <v>0</v>
          </cell>
          <cell r="F87">
            <v>0</v>
          </cell>
          <cell r="G87">
            <v>0</v>
          </cell>
          <cell r="H87">
            <v>0</v>
          </cell>
          <cell r="I87">
            <v>0</v>
          </cell>
          <cell r="J87">
            <v>0</v>
          </cell>
          <cell r="K87">
            <v>0</v>
          </cell>
          <cell r="L87">
            <v>0</v>
          </cell>
          <cell r="M87">
            <v>0</v>
          </cell>
          <cell r="N87">
            <v>0</v>
          </cell>
          <cell r="O87">
            <v>0</v>
          </cell>
          <cell r="P87">
            <v>0</v>
          </cell>
          <cell r="Q87">
            <v>0</v>
          </cell>
        </row>
        <row r="88">
          <cell r="A88">
            <v>35525</v>
          </cell>
          <cell r="B88" t="str">
            <v>Support - Glass</v>
          </cell>
          <cell r="E88">
            <v>0</v>
          </cell>
          <cell r="F88">
            <v>0</v>
          </cell>
          <cell r="G88">
            <v>0</v>
          </cell>
          <cell r="H88">
            <v>0</v>
          </cell>
          <cell r="I88">
            <v>0</v>
          </cell>
          <cell r="J88">
            <v>0</v>
          </cell>
          <cell r="K88">
            <v>0</v>
          </cell>
          <cell r="L88">
            <v>0</v>
          </cell>
          <cell r="M88">
            <v>0</v>
          </cell>
          <cell r="N88">
            <v>0</v>
          </cell>
          <cell r="O88">
            <v>0</v>
          </cell>
          <cell r="P88">
            <v>0</v>
          </cell>
          <cell r="Q88">
            <v>0</v>
          </cell>
        </row>
        <row r="89">
          <cell r="A89">
            <v>35526</v>
          </cell>
          <cell r="B89" t="str">
            <v>Support - Plastic</v>
          </cell>
          <cell r="E89">
            <v>0</v>
          </cell>
          <cell r="F89">
            <v>0</v>
          </cell>
          <cell r="G89">
            <v>0</v>
          </cell>
          <cell r="H89">
            <v>0</v>
          </cell>
          <cell r="I89">
            <v>0</v>
          </cell>
          <cell r="J89">
            <v>0</v>
          </cell>
          <cell r="K89">
            <v>0</v>
          </cell>
          <cell r="L89">
            <v>0</v>
          </cell>
          <cell r="M89">
            <v>0</v>
          </cell>
          <cell r="N89">
            <v>0</v>
          </cell>
          <cell r="O89">
            <v>0</v>
          </cell>
          <cell r="P89">
            <v>0</v>
          </cell>
          <cell r="Q89">
            <v>0</v>
          </cell>
        </row>
        <row r="90">
          <cell r="A90">
            <v>35527</v>
          </cell>
          <cell r="B90" t="str">
            <v>Support - Other Recyclables</v>
          </cell>
          <cell r="E90">
            <v>0</v>
          </cell>
          <cell r="F90">
            <v>0</v>
          </cell>
          <cell r="G90">
            <v>0</v>
          </cell>
          <cell r="H90">
            <v>0</v>
          </cell>
          <cell r="I90">
            <v>0</v>
          </cell>
          <cell r="J90">
            <v>0</v>
          </cell>
          <cell r="K90">
            <v>0</v>
          </cell>
          <cell r="L90">
            <v>0</v>
          </cell>
          <cell r="M90">
            <v>0</v>
          </cell>
          <cell r="N90">
            <v>0</v>
          </cell>
          <cell r="O90">
            <v>0</v>
          </cell>
          <cell r="P90">
            <v>0</v>
          </cell>
          <cell r="Q90">
            <v>0</v>
          </cell>
        </row>
        <row r="91">
          <cell r="A91">
            <v>35529</v>
          </cell>
          <cell r="B91" t="str">
            <v>Support - Intercompany Material Sales</v>
          </cell>
          <cell r="E91">
            <v>0</v>
          </cell>
          <cell r="F91">
            <v>0</v>
          </cell>
          <cell r="G91">
            <v>0</v>
          </cell>
          <cell r="H91">
            <v>0</v>
          </cell>
          <cell r="I91">
            <v>0</v>
          </cell>
          <cell r="J91">
            <v>0</v>
          </cell>
          <cell r="K91">
            <v>0</v>
          </cell>
          <cell r="L91">
            <v>0</v>
          </cell>
          <cell r="M91">
            <v>0</v>
          </cell>
          <cell r="N91">
            <v>0</v>
          </cell>
          <cell r="O91">
            <v>0</v>
          </cell>
          <cell r="P91">
            <v>0</v>
          </cell>
          <cell r="Q91">
            <v>0</v>
          </cell>
        </row>
        <row r="92">
          <cell r="A92">
            <v>35551</v>
          </cell>
          <cell r="B92" t="str">
            <v>Proceeds - Compost</v>
          </cell>
          <cell r="E92">
            <v>0</v>
          </cell>
          <cell r="F92">
            <v>0</v>
          </cell>
          <cell r="G92">
            <v>0</v>
          </cell>
          <cell r="H92">
            <v>0</v>
          </cell>
          <cell r="I92">
            <v>0</v>
          </cell>
          <cell r="J92">
            <v>0</v>
          </cell>
          <cell r="K92">
            <v>0</v>
          </cell>
          <cell r="L92">
            <v>0</v>
          </cell>
          <cell r="M92">
            <v>0</v>
          </cell>
          <cell r="N92">
            <v>0</v>
          </cell>
          <cell r="O92">
            <v>0</v>
          </cell>
          <cell r="P92">
            <v>0</v>
          </cell>
          <cell r="Q92">
            <v>0</v>
          </cell>
        </row>
        <row r="93">
          <cell r="A93">
            <v>35552</v>
          </cell>
          <cell r="B93" t="str">
            <v>Proceeds - Fuel</v>
          </cell>
          <cell r="E93">
            <v>0</v>
          </cell>
          <cell r="F93">
            <v>0</v>
          </cell>
          <cell r="G93">
            <v>0</v>
          </cell>
          <cell r="H93">
            <v>0</v>
          </cell>
          <cell r="I93">
            <v>0</v>
          </cell>
          <cell r="J93">
            <v>0</v>
          </cell>
          <cell r="K93">
            <v>0</v>
          </cell>
          <cell r="L93">
            <v>0</v>
          </cell>
          <cell r="M93">
            <v>0</v>
          </cell>
          <cell r="N93">
            <v>0</v>
          </cell>
          <cell r="O93">
            <v>0</v>
          </cell>
          <cell r="P93">
            <v>0</v>
          </cell>
          <cell r="Q93">
            <v>0</v>
          </cell>
        </row>
        <row r="94">
          <cell r="A94">
            <v>35553</v>
          </cell>
          <cell r="B94" t="str">
            <v>Proceeds - Landscape Materials</v>
          </cell>
          <cell r="E94">
            <v>0</v>
          </cell>
          <cell r="F94">
            <v>0</v>
          </cell>
          <cell r="G94">
            <v>0</v>
          </cell>
          <cell r="H94">
            <v>0</v>
          </cell>
          <cell r="I94">
            <v>0</v>
          </cell>
          <cell r="J94">
            <v>0</v>
          </cell>
          <cell r="K94">
            <v>0</v>
          </cell>
          <cell r="L94">
            <v>0</v>
          </cell>
          <cell r="M94">
            <v>0</v>
          </cell>
          <cell r="N94">
            <v>0</v>
          </cell>
          <cell r="O94">
            <v>0</v>
          </cell>
          <cell r="P94">
            <v>0</v>
          </cell>
          <cell r="Q94">
            <v>0</v>
          </cell>
        </row>
        <row r="95">
          <cell r="A95" t="str">
            <v>Total MRF</v>
          </cell>
          <cell r="E95">
            <v>0</v>
          </cell>
          <cell r="F95">
            <v>0</v>
          </cell>
          <cell r="G95">
            <v>0</v>
          </cell>
          <cell r="H95">
            <v>0</v>
          </cell>
          <cell r="I95">
            <v>0</v>
          </cell>
          <cell r="J95">
            <v>0</v>
          </cell>
          <cell r="K95">
            <v>0</v>
          </cell>
          <cell r="L95">
            <v>0</v>
          </cell>
          <cell r="M95">
            <v>0</v>
          </cell>
          <cell r="N95">
            <v>0</v>
          </cell>
          <cell r="O95">
            <v>0</v>
          </cell>
          <cell r="P95">
            <v>0</v>
          </cell>
          <cell r="Q95">
            <v>0</v>
          </cell>
        </row>
        <row r="97">
          <cell r="A97" t="str">
            <v>Landfill</v>
          </cell>
        </row>
        <row r="98">
          <cell r="A98">
            <v>36000</v>
          </cell>
          <cell r="B98" t="str">
            <v>Landfill Revenue - MSW</v>
          </cell>
          <cell r="E98">
            <v>0</v>
          </cell>
          <cell r="F98">
            <v>0</v>
          </cell>
          <cell r="G98">
            <v>0</v>
          </cell>
          <cell r="H98">
            <v>0</v>
          </cell>
          <cell r="I98">
            <v>0</v>
          </cell>
          <cell r="J98">
            <v>0</v>
          </cell>
          <cell r="K98">
            <v>0</v>
          </cell>
          <cell r="L98">
            <v>0</v>
          </cell>
          <cell r="M98">
            <v>0</v>
          </cell>
          <cell r="N98">
            <v>0</v>
          </cell>
          <cell r="O98">
            <v>0</v>
          </cell>
          <cell r="P98">
            <v>0</v>
          </cell>
          <cell r="Q98">
            <v>0</v>
          </cell>
        </row>
        <row r="99">
          <cell r="A99">
            <v>36001</v>
          </cell>
          <cell r="B99" t="str">
            <v>Landfill Revenue - MSW Adjustments</v>
          </cell>
          <cell r="E99">
            <v>0</v>
          </cell>
          <cell r="F99">
            <v>0</v>
          </cell>
          <cell r="G99">
            <v>0</v>
          </cell>
          <cell r="H99">
            <v>0</v>
          </cell>
          <cell r="I99">
            <v>0</v>
          </cell>
          <cell r="J99">
            <v>0</v>
          </cell>
          <cell r="K99">
            <v>0</v>
          </cell>
          <cell r="L99">
            <v>0</v>
          </cell>
          <cell r="M99">
            <v>0</v>
          </cell>
          <cell r="N99">
            <v>0</v>
          </cell>
          <cell r="O99">
            <v>0</v>
          </cell>
          <cell r="P99">
            <v>0</v>
          </cell>
          <cell r="Q99">
            <v>0</v>
          </cell>
        </row>
        <row r="100">
          <cell r="A100">
            <v>36002</v>
          </cell>
          <cell r="B100" t="str">
            <v>Landfill Revenue - Extras</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A101">
            <v>36009</v>
          </cell>
          <cell r="B101" t="str">
            <v>Landfill Revenue - MSW Intercompany</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v>36010</v>
          </cell>
          <cell r="B102" t="str">
            <v>Landfill Revenue - C&amp;D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A103">
            <v>36011</v>
          </cell>
          <cell r="B103" t="str">
            <v>Landfill Revenue - C&amp;D Adjustments</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v>36019</v>
          </cell>
          <cell r="B104" t="str">
            <v>Landfill Revenue - C&amp;D Intercompany</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v>36020</v>
          </cell>
          <cell r="B105" t="str">
            <v>Landfill Revenue - Special Waste</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A106">
            <v>36021</v>
          </cell>
          <cell r="B106" t="str">
            <v>Landfill Revenue - Special Waste Adjustm</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A107">
            <v>36029</v>
          </cell>
          <cell r="B107" t="str">
            <v>Landfill Revenue - Special Waste Interco</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v>36030</v>
          </cell>
          <cell r="B108" t="str">
            <v>Landfill Revenue - Asbestos</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A109">
            <v>36031</v>
          </cell>
          <cell r="B109" t="str">
            <v>Landfill Revenue - Asbestos Adjustments</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A110">
            <v>36039</v>
          </cell>
          <cell r="B110" t="str">
            <v>Landfill Revenue - Asbestos Intercompany</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v>36040</v>
          </cell>
          <cell r="B111" t="str">
            <v>Landfill Revenue - Contaminated Soil</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A112">
            <v>36041</v>
          </cell>
          <cell r="B112" t="str">
            <v>Landfill Revenue - Contaminated Soil Adj</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A113">
            <v>36049</v>
          </cell>
          <cell r="B113" t="str">
            <v>Landfill Revenue - Contaminated Soil Int</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v>36050</v>
          </cell>
          <cell r="B114" t="str">
            <v>Landfill Revenue - Yard Waste</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36051</v>
          </cell>
          <cell r="B115" t="str">
            <v>Landfill Revenue - Yard Waste Adjustment</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v>36059</v>
          </cell>
          <cell r="B116" t="str">
            <v>Landfill Revenue - Yard Waste Intercompa</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v>36090</v>
          </cell>
          <cell r="B117" t="str">
            <v>Landfill Pass Through Revenue</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A118">
            <v>36099</v>
          </cell>
          <cell r="B118" t="str">
            <v>Landfill Pass Through Revenue Intercompany</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36301</v>
          </cell>
          <cell r="B119" t="str">
            <v>E&amp;P Liquids - Non Count Waste</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v>36309</v>
          </cell>
          <cell r="B120" t="str">
            <v>E&amp;P Liquids - Non Count Waste Intercompany</v>
          </cell>
          <cell r="E120">
            <v>0</v>
          </cell>
          <cell r="F120">
            <v>0</v>
          </cell>
          <cell r="G120">
            <v>0</v>
          </cell>
          <cell r="H120">
            <v>0</v>
          </cell>
          <cell r="I120">
            <v>0</v>
          </cell>
          <cell r="J120">
            <v>0</v>
          </cell>
          <cell r="K120">
            <v>0</v>
          </cell>
          <cell r="L120">
            <v>0</v>
          </cell>
          <cell r="M120">
            <v>0</v>
          </cell>
          <cell r="N120">
            <v>0</v>
          </cell>
          <cell r="O120">
            <v>0</v>
          </cell>
          <cell r="P120">
            <v>0</v>
          </cell>
          <cell r="Q120">
            <v>0</v>
          </cell>
        </row>
        <row r="121">
          <cell r="A121">
            <v>36311</v>
          </cell>
          <cell r="B121" t="str">
            <v>E&amp;P Liquids - Count Waste</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v>36319</v>
          </cell>
          <cell r="B122" t="str">
            <v>E&amp;P Liquids - Count Waste Intercompany</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A123">
            <v>36321</v>
          </cell>
          <cell r="B123" t="str">
            <v>Other Liquids - Non E&amp;P</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A124">
            <v>36329</v>
          </cell>
          <cell r="B124" t="str">
            <v>Other Liquids - Non E&amp;P Intercompany</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A125">
            <v>36331</v>
          </cell>
          <cell r="B125" t="str">
            <v>E&amp;P Solids - Count Waste</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A126">
            <v>36339</v>
          </cell>
          <cell r="B126" t="str">
            <v>E&amp;P Solids - Count Waste Intercompany</v>
          </cell>
          <cell r="E126">
            <v>0</v>
          </cell>
          <cell r="F126">
            <v>0</v>
          </cell>
          <cell r="G126">
            <v>0</v>
          </cell>
          <cell r="H126">
            <v>0</v>
          </cell>
          <cell r="I126">
            <v>0</v>
          </cell>
          <cell r="J126">
            <v>0</v>
          </cell>
          <cell r="K126">
            <v>0</v>
          </cell>
          <cell r="L126">
            <v>0</v>
          </cell>
          <cell r="M126">
            <v>0</v>
          </cell>
          <cell r="N126">
            <v>0</v>
          </cell>
          <cell r="O126">
            <v>0</v>
          </cell>
          <cell r="P126">
            <v>0</v>
          </cell>
          <cell r="Q126">
            <v>0</v>
          </cell>
        </row>
        <row r="127">
          <cell r="A127" t="str">
            <v>Total Landfill</v>
          </cell>
          <cell r="E127">
            <v>0</v>
          </cell>
          <cell r="F127">
            <v>0</v>
          </cell>
          <cell r="G127">
            <v>0</v>
          </cell>
          <cell r="H127">
            <v>0</v>
          </cell>
          <cell r="I127">
            <v>0</v>
          </cell>
          <cell r="J127">
            <v>0</v>
          </cell>
          <cell r="K127">
            <v>0</v>
          </cell>
          <cell r="L127">
            <v>0</v>
          </cell>
          <cell r="M127">
            <v>0</v>
          </cell>
          <cell r="N127">
            <v>0</v>
          </cell>
          <cell r="O127">
            <v>0</v>
          </cell>
          <cell r="P127">
            <v>0</v>
          </cell>
          <cell r="Q127">
            <v>0</v>
          </cell>
        </row>
        <row r="129">
          <cell r="A129" t="str">
            <v>Intermodal</v>
          </cell>
        </row>
        <row r="130">
          <cell r="A130">
            <v>36101</v>
          </cell>
          <cell r="B130" t="str">
            <v>Rail Drayage Revenue</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v>36109</v>
          </cell>
          <cell r="B131" t="str">
            <v>Rail Drayage Revenue - Intercompany</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36111</v>
          </cell>
          <cell r="B132" t="str">
            <v>Truck Drayage Revenue</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36119</v>
          </cell>
          <cell r="B133" t="str">
            <v>Truck Drayage Revenue - Intercompany</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v>36121</v>
          </cell>
          <cell r="B134" t="str">
            <v>Barge Drayage Revenue</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36131</v>
          </cell>
          <cell r="B135" t="str">
            <v>Service Labor Revenue</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v>36141</v>
          </cell>
          <cell r="B136" t="str">
            <v>Refrigeration Labor Revenue</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v>36145</v>
          </cell>
          <cell r="B137" t="str">
            <v>Parts Revenue</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v>36151</v>
          </cell>
          <cell r="B138" t="str">
            <v>Container Sales Revenue</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v>36161</v>
          </cell>
          <cell r="B139" t="str">
            <v>Container Rental Revenue</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v>36171</v>
          </cell>
          <cell r="B140" t="str">
            <v>Intermodal Revenue</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A141">
            <v>36181</v>
          </cell>
          <cell r="B141" t="str">
            <v>Chassis Lease Revenue</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v>36191</v>
          </cell>
          <cell r="B142" t="str">
            <v>Interchanges Revenue</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v>36201</v>
          </cell>
          <cell r="B143" t="str">
            <v>Storage Revenue</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v>36211</v>
          </cell>
          <cell r="B144" t="str">
            <v>Empty Lifts Revenue</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v>36221</v>
          </cell>
          <cell r="B145" t="str">
            <v>Load Lifts Revenue</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Total Intermodal</v>
          </cell>
          <cell r="E146">
            <v>0</v>
          </cell>
          <cell r="F146">
            <v>0</v>
          </cell>
          <cell r="G146">
            <v>0</v>
          </cell>
          <cell r="H146">
            <v>0</v>
          </cell>
          <cell r="I146">
            <v>0</v>
          </cell>
          <cell r="J146">
            <v>0</v>
          </cell>
          <cell r="K146">
            <v>0</v>
          </cell>
          <cell r="L146">
            <v>0</v>
          </cell>
          <cell r="M146">
            <v>0</v>
          </cell>
          <cell r="N146">
            <v>0</v>
          </cell>
          <cell r="O146">
            <v>0</v>
          </cell>
          <cell r="P146">
            <v>0</v>
          </cell>
          <cell r="Q146">
            <v>0</v>
          </cell>
        </row>
        <row r="148">
          <cell r="A148" t="str">
            <v>Other Revenue</v>
          </cell>
        </row>
        <row r="149">
          <cell r="A149">
            <v>37001</v>
          </cell>
          <cell r="B149" t="str">
            <v>Sale of Equipment</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A150">
            <v>37010</v>
          </cell>
          <cell r="B150" t="str">
            <v>Tire Processing Revenue</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v>37019</v>
          </cell>
          <cell r="B151" t="str">
            <v>Tire Processing Revenue - Intercompany</v>
          </cell>
          <cell r="E151">
            <v>0</v>
          </cell>
          <cell r="F151">
            <v>0</v>
          </cell>
          <cell r="G151">
            <v>0</v>
          </cell>
          <cell r="H151">
            <v>0</v>
          </cell>
          <cell r="I151">
            <v>0</v>
          </cell>
          <cell r="J151">
            <v>0</v>
          </cell>
          <cell r="K151">
            <v>0</v>
          </cell>
          <cell r="L151">
            <v>0</v>
          </cell>
          <cell r="M151">
            <v>0</v>
          </cell>
          <cell r="N151">
            <v>0</v>
          </cell>
          <cell r="O151">
            <v>0</v>
          </cell>
          <cell r="P151">
            <v>0</v>
          </cell>
          <cell r="Q151">
            <v>0</v>
          </cell>
        </row>
        <row r="152">
          <cell r="A152">
            <v>38000</v>
          </cell>
          <cell r="B152" t="str">
            <v>Corporate Other Revenue</v>
          </cell>
          <cell r="E152">
            <v>3459.12</v>
          </cell>
          <cell r="F152">
            <v>7799.57</v>
          </cell>
          <cell r="G152">
            <v>2100.42</v>
          </cell>
          <cell r="H152">
            <v>7267.51</v>
          </cell>
          <cell r="I152">
            <v>3376.39</v>
          </cell>
          <cell r="J152">
            <v>7176.57</v>
          </cell>
          <cell r="K152">
            <v>3493.22</v>
          </cell>
          <cell r="L152">
            <v>8060.32</v>
          </cell>
          <cell r="M152">
            <v>2594</v>
          </cell>
          <cell r="N152">
            <v>7784.1</v>
          </cell>
          <cell r="O152">
            <v>6369.79</v>
          </cell>
          <cell r="P152">
            <v>9281.82</v>
          </cell>
          <cell r="Q152">
            <v>68762.829999999987</v>
          </cell>
        </row>
        <row r="153">
          <cell r="A153">
            <v>38001</v>
          </cell>
          <cell r="B153" t="str">
            <v>P-Card Rebate Revenue</v>
          </cell>
          <cell r="E153">
            <v>0</v>
          </cell>
          <cell r="F153">
            <v>0</v>
          </cell>
          <cell r="G153">
            <v>0</v>
          </cell>
          <cell r="H153">
            <v>0</v>
          </cell>
          <cell r="I153">
            <v>0</v>
          </cell>
          <cell r="J153">
            <v>0</v>
          </cell>
          <cell r="K153">
            <v>0</v>
          </cell>
          <cell r="L153">
            <v>0</v>
          </cell>
          <cell r="M153">
            <v>0</v>
          </cell>
          <cell r="N153">
            <v>0</v>
          </cell>
          <cell r="O153">
            <v>0</v>
          </cell>
          <cell r="P153">
            <v>0</v>
          </cell>
          <cell r="Q153">
            <v>0</v>
          </cell>
        </row>
        <row r="154">
          <cell r="A154" t="str">
            <v>Total Other Revenue</v>
          </cell>
          <cell r="E154">
            <v>3459.12</v>
          </cell>
          <cell r="F154">
            <v>7799.57</v>
          </cell>
          <cell r="G154">
            <v>2100.42</v>
          </cell>
          <cell r="H154">
            <v>7267.51</v>
          </cell>
          <cell r="I154">
            <v>3376.39</v>
          </cell>
          <cell r="J154">
            <v>7176.57</v>
          </cell>
          <cell r="K154">
            <v>3493.22</v>
          </cell>
          <cell r="L154">
            <v>8060.32</v>
          </cell>
          <cell r="M154">
            <v>2594</v>
          </cell>
          <cell r="N154">
            <v>7784.1</v>
          </cell>
          <cell r="O154">
            <v>6369.79</v>
          </cell>
          <cell r="P154">
            <v>9281.82</v>
          </cell>
          <cell r="Q154">
            <v>68762.829999999987</v>
          </cell>
        </row>
        <row r="156">
          <cell r="A156" t="str">
            <v>Total Revenue</v>
          </cell>
          <cell r="E156">
            <v>1389532.61</v>
          </cell>
          <cell r="F156">
            <v>1380077.51</v>
          </cell>
          <cell r="G156">
            <v>1408446.9</v>
          </cell>
          <cell r="H156">
            <v>1419179.07</v>
          </cell>
          <cell r="I156">
            <v>1419577.4599999997</v>
          </cell>
          <cell r="J156">
            <v>1466667.25</v>
          </cell>
          <cell r="K156">
            <v>1465996.93</v>
          </cell>
          <cell r="L156">
            <v>1491957.75</v>
          </cell>
          <cell r="M156">
            <v>1460536.84</v>
          </cell>
          <cell r="N156">
            <v>1419945.4899999998</v>
          </cell>
          <cell r="O156">
            <v>1383569.35</v>
          </cell>
          <cell r="P156">
            <v>1421969.0599999998</v>
          </cell>
          <cell r="Q156">
            <v>17127456.219999995</v>
          </cell>
        </row>
        <row r="158">
          <cell r="A158" t="str">
            <v>Revenue Reductions</v>
          </cell>
        </row>
        <row r="159">
          <cell r="A159" t="str">
            <v>Disposal</v>
          </cell>
        </row>
        <row r="160">
          <cell r="A160">
            <v>40101</v>
          </cell>
          <cell r="B160" t="str">
            <v>Disposal Landfill</v>
          </cell>
          <cell r="E160">
            <v>0</v>
          </cell>
          <cell r="F160">
            <v>0</v>
          </cell>
          <cell r="G160">
            <v>0</v>
          </cell>
          <cell r="H160">
            <v>0</v>
          </cell>
          <cell r="I160">
            <v>0</v>
          </cell>
          <cell r="J160">
            <v>0</v>
          </cell>
          <cell r="K160">
            <v>0</v>
          </cell>
          <cell r="L160">
            <v>0</v>
          </cell>
          <cell r="M160">
            <v>0</v>
          </cell>
          <cell r="N160">
            <v>0</v>
          </cell>
          <cell r="O160">
            <v>0</v>
          </cell>
          <cell r="P160">
            <v>0</v>
          </cell>
          <cell r="Q160">
            <v>0</v>
          </cell>
        </row>
        <row r="161">
          <cell r="A161">
            <v>40109</v>
          </cell>
          <cell r="B161" t="str">
            <v>Disposal Landfill Intercompany</v>
          </cell>
          <cell r="E161">
            <v>0</v>
          </cell>
          <cell r="F161">
            <v>0</v>
          </cell>
          <cell r="G161">
            <v>0</v>
          </cell>
          <cell r="H161">
            <v>0</v>
          </cell>
          <cell r="I161">
            <v>0</v>
          </cell>
          <cell r="J161">
            <v>0</v>
          </cell>
          <cell r="K161">
            <v>0</v>
          </cell>
          <cell r="L161">
            <v>0</v>
          </cell>
          <cell r="M161">
            <v>0</v>
          </cell>
          <cell r="N161">
            <v>0</v>
          </cell>
          <cell r="O161">
            <v>0</v>
          </cell>
          <cell r="P161">
            <v>0</v>
          </cell>
          <cell r="Q161">
            <v>0</v>
          </cell>
        </row>
        <row r="162">
          <cell r="A162">
            <v>40121</v>
          </cell>
          <cell r="B162" t="str">
            <v>Disposal Incineration</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A163">
            <v>40122</v>
          </cell>
          <cell r="B163" t="str">
            <v>Disposal Other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A164">
            <v>40129</v>
          </cell>
          <cell r="B164" t="str">
            <v>Disposal Other</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v>40131</v>
          </cell>
          <cell r="B165" t="str">
            <v>Disposal Transfer</v>
          </cell>
          <cell r="E165">
            <v>0</v>
          </cell>
          <cell r="F165">
            <v>0</v>
          </cell>
          <cell r="G165">
            <v>0</v>
          </cell>
          <cell r="H165">
            <v>0</v>
          </cell>
          <cell r="I165">
            <v>0</v>
          </cell>
          <cell r="J165">
            <v>0</v>
          </cell>
          <cell r="K165">
            <v>0</v>
          </cell>
          <cell r="L165">
            <v>0</v>
          </cell>
          <cell r="M165">
            <v>0</v>
          </cell>
          <cell r="N165">
            <v>0</v>
          </cell>
          <cell r="O165">
            <v>0</v>
          </cell>
          <cell r="P165">
            <v>0</v>
          </cell>
          <cell r="Q165">
            <v>0</v>
          </cell>
        </row>
        <row r="166">
          <cell r="A166">
            <v>40139</v>
          </cell>
          <cell r="B166" t="str">
            <v>Disposal Transfer Intercompany</v>
          </cell>
          <cell r="E166">
            <v>522940.33</v>
          </cell>
          <cell r="F166">
            <v>473522.39</v>
          </cell>
          <cell r="G166">
            <v>554204.89</v>
          </cell>
          <cell r="H166">
            <v>538277.64</v>
          </cell>
          <cell r="I166">
            <v>535071.71</v>
          </cell>
          <cell r="J166">
            <v>582693.4</v>
          </cell>
          <cell r="K166">
            <v>571614.11</v>
          </cell>
          <cell r="L166">
            <v>571380.55000000005</v>
          </cell>
          <cell r="M166">
            <v>569779.74</v>
          </cell>
          <cell r="N166">
            <v>537814.68999999994</v>
          </cell>
          <cell r="O166">
            <v>530807.82999999996</v>
          </cell>
          <cell r="P166">
            <v>576009.71</v>
          </cell>
          <cell r="Q166">
            <v>6564116.9899999993</v>
          </cell>
        </row>
        <row r="167">
          <cell r="A167" t="str">
            <v>Total Disposal</v>
          </cell>
          <cell r="E167">
            <v>522940.33</v>
          </cell>
          <cell r="F167">
            <v>473522.39</v>
          </cell>
          <cell r="G167">
            <v>554204.89</v>
          </cell>
          <cell r="H167">
            <v>538277.64</v>
          </cell>
          <cell r="I167">
            <v>535071.71</v>
          </cell>
          <cell r="J167">
            <v>582693.4</v>
          </cell>
          <cell r="K167">
            <v>571614.11</v>
          </cell>
          <cell r="L167">
            <v>571380.55000000005</v>
          </cell>
          <cell r="M167">
            <v>569779.74</v>
          </cell>
          <cell r="N167">
            <v>537814.68999999994</v>
          </cell>
          <cell r="O167">
            <v>530807.82999999996</v>
          </cell>
          <cell r="P167">
            <v>576009.71</v>
          </cell>
          <cell r="Q167">
            <v>6564116.9899999993</v>
          </cell>
        </row>
        <row r="169">
          <cell r="A169" t="str">
            <v>MRF Processing</v>
          </cell>
        </row>
        <row r="170">
          <cell r="A170">
            <v>40861</v>
          </cell>
          <cell r="B170" t="str">
            <v>Processing Fees MRF</v>
          </cell>
          <cell r="E170">
            <v>0</v>
          </cell>
          <cell r="F170">
            <v>0</v>
          </cell>
          <cell r="G170">
            <v>0</v>
          </cell>
          <cell r="H170">
            <v>0</v>
          </cell>
          <cell r="I170">
            <v>0</v>
          </cell>
          <cell r="J170">
            <v>0</v>
          </cell>
          <cell r="K170">
            <v>0</v>
          </cell>
          <cell r="L170">
            <v>0</v>
          </cell>
          <cell r="M170">
            <v>0</v>
          </cell>
          <cell r="N170">
            <v>0</v>
          </cell>
          <cell r="O170">
            <v>0</v>
          </cell>
          <cell r="P170">
            <v>0</v>
          </cell>
          <cell r="Q170">
            <v>0</v>
          </cell>
        </row>
        <row r="171">
          <cell r="A171">
            <v>40869</v>
          </cell>
          <cell r="B171" t="str">
            <v>Processing Fees MRF Intercompany</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t="str">
            <v>Total MRF Processing</v>
          </cell>
          <cell r="E172">
            <v>0</v>
          </cell>
          <cell r="F172">
            <v>0</v>
          </cell>
          <cell r="G172">
            <v>0</v>
          </cell>
          <cell r="H172">
            <v>0</v>
          </cell>
          <cell r="I172">
            <v>0</v>
          </cell>
          <cell r="J172">
            <v>0</v>
          </cell>
          <cell r="K172">
            <v>0</v>
          </cell>
          <cell r="L172">
            <v>0</v>
          </cell>
          <cell r="M172">
            <v>0</v>
          </cell>
          <cell r="N172">
            <v>0</v>
          </cell>
          <cell r="O172">
            <v>0</v>
          </cell>
          <cell r="P172">
            <v>0</v>
          </cell>
          <cell r="Q172">
            <v>0</v>
          </cell>
        </row>
        <row r="174">
          <cell r="A174" t="str">
            <v>Brokerage, Rebates and Taxes</v>
          </cell>
        </row>
        <row r="175">
          <cell r="A175">
            <v>41121</v>
          </cell>
          <cell r="B175" t="str">
            <v>Brokerage Cost</v>
          </cell>
          <cell r="E175">
            <v>0</v>
          </cell>
          <cell r="F175">
            <v>0</v>
          </cell>
          <cell r="G175">
            <v>0</v>
          </cell>
          <cell r="H175">
            <v>0</v>
          </cell>
          <cell r="I175">
            <v>0</v>
          </cell>
          <cell r="J175">
            <v>0</v>
          </cell>
          <cell r="K175">
            <v>0</v>
          </cell>
          <cell r="L175">
            <v>0</v>
          </cell>
          <cell r="M175">
            <v>0</v>
          </cell>
          <cell r="N175">
            <v>0</v>
          </cell>
          <cell r="O175">
            <v>0</v>
          </cell>
          <cell r="P175">
            <v>0</v>
          </cell>
          <cell r="Q175">
            <v>0</v>
          </cell>
        </row>
        <row r="176">
          <cell r="A176">
            <v>41129</v>
          </cell>
          <cell r="B176" t="str">
            <v>Brokerage Cost Intercompany</v>
          </cell>
          <cell r="E176">
            <v>0</v>
          </cell>
          <cell r="F176">
            <v>0</v>
          </cell>
          <cell r="G176">
            <v>0</v>
          </cell>
          <cell r="H176">
            <v>0</v>
          </cell>
          <cell r="I176">
            <v>0</v>
          </cell>
          <cell r="J176">
            <v>0</v>
          </cell>
          <cell r="K176">
            <v>0</v>
          </cell>
          <cell r="L176">
            <v>0</v>
          </cell>
          <cell r="M176">
            <v>0</v>
          </cell>
          <cell r="N176">
            <v>0</v>
          </cell>
          <cell r="O176">
            <v>0</v>
          </cell>
          <cell r="P176">
            <v>0</v>
          </cell>
          <cell r="Q176">
            <v>0</v>
          </cell>
        </row>
        <row r="177">
          <cell r="A177">
            <v>41131</v>
          </cell>
          <cell r="B177" t="str">
            <v>Rail Drayage Expenses</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v>41135</v>
          </cell>
          <cell r="B178" t="str">
            <v>Resale Parts - Cost of Goods Sold</v>
          </cell>
          <cell r="E178">
            <v>0</v>
          </cell>
          <cell r="F178">
            <v>0</v>
          </cell>
          <cell r="G178">
            <v>0</v>
          </cell>
          <cell r="H178">
            <v>0</v>
          </cell>
          <cell r="I178">
            <v>0</v>
          </cell>
          <cell r="J178">
            <v>0</v>
          </cell>
          <cell r="K178">
            <v>0</v>
          </cell>
          <cell r="L178">
            <v>0</v>
          </cell>
          <cell r="M178">
            <v>0</v>
          </cell>
          <cell r="N178">
            <v>0</v>
          </cell>
          <cell r="O178">
            <v>0</v>
          </cell>
          <cell r="P178">
            <v>0</v>
          </cell>
          <cell r="Q178">
            <v>0</v>
          </cell>
        </row>
        <row r="179">
          <cell r="A179">
            <v>41139</v>
          </cell>
          <cell r="B179" t="str">
            <v>Rail Drayage Expenses - Intercompany</v>
          </cell>
          <cell r="E179">
            <v>0</v>
          </cell>
          <cell r="F179">
            <v>0</v>
          </cell>
          <cell r="G179">
            <v>0</v>
          </cell>
          <cell r="H179">
            <v>0</v>
          </cell>
          <cell r="I179">
            <v>0</v>
          </cell>
          <cell r="J179">
            <v>0</v>
          </cell>
          <cell r="K179">
            <v>0</v>
          </cell>
          <cell r="L179">
            <v>0</v>
          </cell>
          <cell r="M179">
            <v>0</v>
          </cell>
          <cell r="N179">
            <v>0</v>
          </cell>
          <cell r="O179">
            <v>0</v>
          </cell>
          <cell r="P179">
            <v>0</v>
          </cell>
          <cell r="Q179">
            <v>0</v>
          </cell>
        </row>
        <row r="180">
          <cell r="A180">
            <v>41141</v>
          </cell>
          <cell r="B180" t="str">
            <v>Truck Drayage Expenses</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v>41149</v>
          </cell>
          <cell r="B181" t="str">
            <v>Truck Drayage Expenses - Intercompany</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v>41151</v>
          </cell>
          <cell r="B182" t="str">
            <v>Intermodal Expenses</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v>41201</v>
          </cell>
          <cell r="B183" t="str">
            <v>Rebates and Revenue Sharing</v>
          </cell>
          <cell r="E183">
            <v>0</v>
          </cell>
          <cell r="F183">
            <v>0</v>
          </cell>
          <cell r="G183">
            <v>0</v>
          </cell>
          <cell r="H183">
            <v>0</v>
          </cell>
          <cell r="I183">
            <v>0</v>
          </cell>
          <cell r="J183">
            <v>0</v>
          </cell>
          <cell r="K183">
            <v>0</v>
          </cell>
          <cell r="L183">
            <v>0</v>
          </cell>
          <cell r="M183">
            <v>0</v>
          </cell>
          <cell r="N183">
            <v>0</v>
          </cell>
          <cell r="O183">
            <v>0</v>
          </cell>
          <cell r="P183">
            <v>0</v>
          </cell>
          <cell r="Q183">
            <v>0</v>
          </cell>
        </row>
        <row r="184">
          <cell r="A184">
            <v>43001</v>
          </cell>
          <cell r="B184" t="str">
            <v>Taxes and Pass Thru Fees</v>
          </cell>
          <cell r="E184">
            <v>21087.73</v>
          </cell>
          <cell r="F184">
            <v>20959.080000000002</v>
          </cell>
          <cell r="G184">
            <v>21310.05</v>
          </cell>
          <cell r="H184">
            <v>15944.56</v>
          </cell>
          <cell r="I184">
            <v>23292.27</v>
          </cell>
          <cell r="J184">
            <v>26639.14</v>
          </cell>
          <cell r="K184">
            <v>26629.39</v>
          </cell>
          <cell r="L184">
            <v>27074.49</v>
          </cell>
          <cell r="M184">
            <v>26539.13</v>
          </cell>
          <cell r="N184">
            <v>25799.21</v>
          </cell>
          <cell r="O184">
            <v>25079.16</v>
          </cell>
          <cell r="P184">
            <v>25860.43</v>
          </cell>
          <cell r="Q184">
            <v>286214.64</v>
          </cell>
        </row>
        <row r="185">
          <cell r="A185">
            <v>43002</v>
          </cell>
          <cell r="B185" t="str">
            <v>WUTC Taxes</v>
          </cell>
          <cell r="E185">
            <v>5546.62</v>
          </cell>
          <cell r="F185">
            <v>5496.04</v>
          </cell>
          <cell r="G185">
            <v>5619.91</v>
          </cell>
          <cell r="H185">
            <v>5691.97</v>
          </cell>
          <cell r="I185">
            <v>5646.5</v>
          </cell>
          <cell r="J185">
            <v>5841.42</v>
          </cell>
          <cell r="K185">
            <v>5857.81</v>
          </cell>
          <cell r="L185">
            <v>5948.97</v>
          </cell>
          <cell r="M185">
            <v>5802.43</v>
          </cell>
          <cell r="N185">
            <v>5678.9</v>
          </cell>
          <cell r="O185">
            <v>5511.15</v>
          </cell>
          <cell r="P185">
            <v>5695</v>
          </cell>
          <cell r="Q185">
            <v>68336.72</v>
          </cell>
        </row>
        <row r="186">
          <cell r="A186">
            <v>43090</v>
          </cell>
          <cell r="B186" t="str">
            <v>Pass Through Expenses</v>
          </cell>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A187">
            <v>43099</v>
          </cell>
          <cell r="B187" t="str">
            <v>Pass Through Expenses Intercompany</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t="str">
            <v>Total Brokerage, Rebates and Taxes</v>
          </cell>
          <cell r="E188">
            <v>26634.35</v>
          </cell>
          <cell r="F188">
            <v>26455.120000000003</v>
          </cell>
          <cell r="G188">
            <v>26929.96</v>
          </cell>
          <cell r="H188">
            <v>21636.53</v>
          </cell>
          <cell r="I188">
            <v>28938.77</v>
          </cell>
          <cell r="J188">
            <v>32480.559999999998</v>
          </cell>
          <cell r="K188">
            <v>32487.200000000001</v>
          </cell>
          <cell r="L188">
            <v>33023.46</v>
          </cell>
          <cell r="M188">
            <v>32341.56</v>
          </cell>
          <cell r="N188">
            <v>31478.11</v>
          </cell>
          <cell r="O188">
            <v>30590.309999999998</v>
          </cell>
          <cell r="P188">
            <v>31555.43</v>
          </cell>
          <cell r="Q188">
            <v>354551.36</v>
          </cell>
        </row>
        <row r="190">
          <cell r="A190" t="str">
            <v>Recycling Materials Expense</v>
          </cell>
        </row>
        <row r="191">
          <cell r="A191">
            <v>44161</v>
          </cell>
          <cell r="B191" t="str">
            <v>Cost of Materials - OCC</v>
          </cell>
          <cell r="E191">
            <v>0</v>
          </cell>
          <cell r="F191">
            <v>0</v>
          </cell>
          <cell r="G191">
            <v>0</v>
          </cell>
          <cell r="H191">
            <v>0</v>
          </cell>
          <cell r="I191">
            <v>0</v>
          </cell>
          <cell r="J191">
            <v>0</v>
          </cell>
          <cell r="K191">
            <v>0</v>
          </cell>
          <cell r="L191">
            <v>0</v>
          </cell>
          <cell r="M191">
            <v>0</v>
          </cell>
          <cell r="N191">
            <v>0</v>
          </cell>
          <cell r="O191">
            <v>0</v>
          </cell>
          <cell r="P191">
            <v>0</v>
          </cell>
          <cell r="Q191">
            <v>0</v>
          </cell>
        </row>
        <row r="192">
          <cell r="A192">
            <v>44162</v>
          </cell>
          <cell r="B192" t="str">
            <v>Cost of Materials - ONP</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v>44163</v>
          </cell>
          <cell r="B193" t="str">
            <v>Cost of Materials - Other Paper</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A194">
            <v>44164</v>
          </cell>
          <cell r="B194" t="str">
            <v>Cost of Materials - Aluminum</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v>44165</v>
          </cell>
          <cell r="B195" t="str">
            <v>Cost of Materials - Metal</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v>44166</v>
          </cell>
          <cell r="B196" t="str">
            <v>Cost of Materials - Glass</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44167</v>
          </cell>
          <cell r="B197" t="str">
            <v>Cost of Materials - Plastic</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v>44168</v>
          </cell>
          <cell r="B198" t="str">
            <v>Cost of Materials - Other Recyclables</v>
          </cell>
          <cell r="E198">
            <v>0</v>
          </cell>
          <cell r="F198">
            <v>0</v>
          </cell>
          <cell r="G198">
            <v>0</v>
          </cell>
          <cell r="H198">
            <v>0</v>
          </cell>
          <cell r="I198">
            <v>0</v>
          </cell>
          <cell r="J198">
            <v>0</v>
          </cell>
          <cell r="K198">
            <v>0</v>
          </cell>
          <cell r="L198">
            <v>0</v>
          </cell>
          <cell r="M198">
            <v>0</v>
          </cell>
          <cell r="N198">
            <v>0</v>
          </cell>
          <cell r="O198">
            <v>0</v>
          </cell>
          <cell r="P198">
            <v>0</v>
          </cell>
          <cell r="Q198">
            <v>0</v>
          </cell>
        </row>
        <row r="199">
          <cell r="A199">
            <v>44169</v>
          </cell>
          <cell r="B199" t="str">
            <v>Cost of Materials - Intercompany</v>
          </cell>
          <cell r="E199">
            <v>0</v>
          </cell>
          <cell r="F199">
            <v>0</v>
          </cell>
          <cell r="G199">
            <v>0</v>
          </cell>
          <cell r="H199">
            <v>0</v>
          </cell>
          <cell r="I199">
            <v>0</v>
          </cell>
          <cell r="J199">
            <v>0</v>
          </cell>
          <cell r="K199">
            <v>0</v>
          </cell>
          <cell r="L199">
            <v>0</v>
          </cell>
          <cell r="M199">
            <v>0</v>
          </cell>
          <cell r="N199">
            <v>0</v>
          </cell>
          <cell r="O199">
            <v>0</v>
          </cell>
          <cell r="P199">
            <v>0</v>
          </cell>
          <cell r="Q199">
            <v>0</v>
          </cell>
        </row>
        <row r="200">
          <cell r="A200">
            <v>44261</v>
          </cell>
          <cell r="B200" t="str">
            <v>Cost of Materials - Organics</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v>44262</v>
          </cell>
          <cell r="B201" t="str">
            <v>Cost of Materials - Clean Wood</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v>44263</v>
          </cell>
          <cell r="B202" t="str">
            <v>Cost of Materials - Landscaping Materials</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Total Recycling Materials Expense</v>
          </cell>
          <cell r="E203">
            <v>0</v>
          </cell>
          <cell r="F203">
            <v>0</v>
          </cell>
          <cell r="G203">
            <v>0</v>
          </cell>
          <cell r="H203">
            <v>0</v>
          </cell>
          <cell r="I203">
            <v>0</v>
          </cell>
          <cell r="J203">
            <v>0</v>
          </cell>
          <cell r="K203">
            <v>0</v>
          </cell>
          <cell r="L203">
            <v>0</v>
          </cell>
          <cell r="M203">
            <v>0</v>
          </cell>
          <cell r="N203">
            <v>0</v>
          </cell>
          <cell r="O203">
            <v>0</v>
          </cell>
          <cell r="P203">
            <v>0</v>
          </cell>
          <cell r="Q203">
            <v>0</v>
          </cell>
        </row>
        <row r="205">
          <cell r="A205" t="str">
            <v>Other Expense</v>
          </cell>
        </row>
        <row r="206">
          <cell r="A206">
            <v>47000</v>
          </cell>
          <cell r="B206" t="str">
            <v>Cost of Containers Sold</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47001</v>
          </cell>
          <cell r="B207" t="str">
            <v>Cost of Equipment Sold</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v>47010</v>
          </cell>
          <cell r="B208" t="str">
            <v>Tire Processing Expenses</v>
          </cell>
          <cell r="E208">
            <v>0</v>
          </cell>
          <cell r="F208">
            <v>0</v>
          </cell>
          <cell r="G208">
            <v>0</v>
          </cell>
          <cell r="H208">
            <v>0</v>
          </cell>
          <cell r="I208">
            <v>0</v>
          </cell>
          <cell r="J208">
            <v>0</v>
          </cell>
          <cell r="K208">
            <v>0</v>
          </cell>
          <cell r="L208">
            <v>0</v>
          </cell>
          <cell r="M208">
            <v>0</v>
          </cell>
          <cell r="N208">
            <v>0</v>
          </cell>
          <cell r="O208">
            <v>0</v>
          </cell>
          <cell r="P208">
            <v>0</v>
          </cell>
          <cell r="Q208">
            <v>0</v>
          </cell>
        </row>
        <row r="209">
          <cell r="A209">
            <v>47019</v>
          </cell>
          <cell r="B209" t="str">
            <v>Tire Processing Expenses - Intercompany</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Total Other Expense</v>
          </cell>
          <cell r="E210">
            <v>0</v>
          </cell>
          <cell r="F210">
            <v>0</v>
          </cell>
          <cell r="G210">
            <v>0</v>
          </cell>
          <cell r="H210">
            <v>0</v>
          </cell>
          <cell r="I210">
            <v>0</v>
          </cell>
          <cell r="J210">
            <v>0</v>
          </cell>
          <cell r="K210">
            <v>0</v>
          </cell>
          <cell r="L210">
            <v>0</v>
          </cell>
          <cell r="M210">
            <v>0</v>
          </cell>
          <cell r="N210">
            <v>0</v>
          </cell>
          <cell r="O210">
            <v>0</v>
          </cell>
          <cell r="P210">
            <v>0</v>
          </cell>
          <cell r="Q210">
            <v>0</v>
          </cell>
        </row>
        <row r="212">
          <cell r="A212" t="str">
            <v>Total Revenue Reductions</v>
          </cell>
          <cell r="E212">
            <v>549574.68000000005</v>
          </cell>
          <cell r="F212">
            <v>499977.51</v>
          </cell>
          <cell r="G212">
            <v>581134.85</v>
          </cell>
          <cell r="H212">
            <v>559914.17000000004</v>
          </cell>
          <cell r="I212">
            <v>564010.48</v>
          </cell>
          <cell r="J212">
            <v>615173.96</v>
          </cell>
          <cell r="K212">
            <v>604101.30999999994</v>
          </cell>
          <cell r="L212">
            <v>604404.01</v>
          </cell>
          <cell r="M212">
            <v>602121.30000000005</v>
          </cell>
          <cell r="N212">
            <v>569292.79999999993</v>
          </cell>
          <cell r="O212">
            <v>561398.1399999999</v>
          </cell>
          <cell r="P212">
            <v>607565.14</v>
          </cell>
          <cell r="Q212">
            <v>6918668.3499999996</v>
          </cell>
        </row>
        <row r="214">
          <cell r="A214" t="str">
            <v>Net Revenue</v>
          </cell>
          <cell r="E214">
            <v>839957.93</v>
          </cell>
          <cell r="F214">
            <v>880100</v>
          </cell>
          <cell r="G214">
            <v>827312.04999999993</v>
          </cell>
          <cell r="H214">
            <v>859264.9</v>
          </cell>
          <cell r="I214">
            <v>855566.97999999975</v>
          </cell>
          <cell r="J214">
            <v>851493.29</v>
          </cell>
          <cell r="K214">
            <v>861895.62</v>
          </cell>
          <cell r="L214">
            <v>887553.74</v>
          </cell>
          <cell r="M214">
            <v>858415.54</v>
          </cell>
          <cell r="N214">
            <v>850652.68999999983</v>
          </cell>
          <cell r="O214">
            <v>822171.2100000002</v>
          </cell>
          <cell r="P214">
            <v>814403.91999999981</v>
          </cell>
          <cell r="Q214">
            <v>10208787.869999995</v>
          </cell>
        </row>
        <row r="216">
          <cell r="A216" t="str">
            <v>Cost of Operations</v>
          </cell>
        </row>
        <row r="217">
          <cell r="A217" t="str">
            <v>Labor</v>
          </cell>
        </row>
        <row r="218">
          <cell r="A218">
            <v>50010</v>
          </cell>
          <cell r="B218" t="str">
            <v>Salaries</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A219">
            <v>50020</v>
          </cell>
          <cell r="B219" t="str">
            <v>Wages Regular</v>
          </cell>
          <cell r="E219">
            <v>148506.62</v>
          </cell>
          <cell r="F219">
            <v>147781.52000000002</v>
          </cell>
          <cell r="G219">
            <v>162872.48000000001</v>
          </cell>
          <cell r="H219">
            <v>152426.56</v>
          </cell>
          <cell r="I219">
            <v>133250.6</v>
          </cell>
          <cell r="J219">
            <v>141014.94</v>
          </cell>
          <cell r="K219">
            <v>138800.41999999998</v>
          </cell>
          <cell r="L219">
            <v>144467.28999999998</v>
          </cell>
          <cell r="M219">
            <v>139411.4</v>
          </cell>
          <cell r="N219">
            <v>131255.16</v>
          </cell>
          <cell r="O219">
            <v>135440.33000000002</v>
          </cell>
          <cell r="P219">
            <v>141049.91999999998</v>
          </cell>
          <cell r="Q219">
            <v>1716277.2399999998</v>
          </cell>
        </row>
        <row r="220">
          <cell r="A220">
            <v>50025</v>
          </cell>
          <cell r="B220" t="str">
            <v>Wages O.T.</v>
          </cell>
          <cell r="E220">
            <v>22975.54</v>
          </cell>
          <cell r="F220">
            <v>6810.35</v>
          </cell>
          <cell r="G220">
            <v>14008.81</v>
          </cell>
          <cell r="H220">
            <v>20795.96</v>
          </cell>
          <cell r="I220">
            <v>28625.24</v>
          </cell>
          <cell r="J220">
            <v>22652.750000000004</v>
          </cell>
          <cell r="K220">
            <v>20035.850000000002</v>
          </cell>
          <cell r="L220">
            <v>20754.88</v>
          </cell>
          <cell r="M220">
            <v>29699.32</v>
          </cell>
          <cell r="N220">
            <v>20332.329999999998</v>
          </cell>
          <cell r="O220">
            <v>32459.590000000004</v>
          </cell>
          <cell r="P220">
            <v>20007.580000000002</v>
          </cell>
          <cell r="Q220">
            <v>259158.2</v>
          </cell>
        </row>
        <row r="221">
          <cell r="A221">
            <v>50035</v>
          </cell>
          <cell r="B221" t="str">
            <v>Safety Bonuses</v>
          </cell>
          <cell r="E221">
            <v>3200</v>
          </cell>
          <cell r="F221">
            <v>3200</v>
          </cell>
          <cell r="G221">
            <v>3200</v>
          </cell>
          <cell r="H221">
            <v>3200</v>
          </cell>
          <cell r="I221">
            <v>3950</v>
          </cell>
          <cell r="J221">
            <v>3950</v>
          </cell>
          <cell r="K221">
            <v>3950</v>
          </cell>
          <cell r="L221">
            <v>3950</v>
          </cell>
          <cell r="M221">
            <v>2000</v>
          </cell>
          <cell r="N221">
            <v>2000</v>
          </cell>
          <cell r="O221">
            <v>3200</v>
          </cell>
          <cell r="P221">
            <v>0</v>
          </cell>
          <cell r="Q221">
            <v>35800</v>
          </cell>
        </row>
        <row r="222">
          <cell r="A222">
            <v>50036</v>
          </cell>
          <cell r="B222" t="str">
            <v>Other Bonus/Commission - Non-Safety</v>
          </cell>
          <cell r="E222">
            <v>0</v>
          </cell>
          <cell r="F222">
            <v>0</v>
          </cell>
          <cell r="G222">
            <v>1125</v>
          </cell>
          <cell r="H222">
            <v>0</v>
          </cell>
          <cell r="I222">
            <v>0</v>
          </cell>
          <cell r="J222">
            <v>0</v>
          </cell>
          <cell r="K222">
            <v>0</v>
          </cell>
          <cell r="L222">
            <v>0</v>
          </cell>
          <cell r="M222">
            <v>0</v>
          </cell>
          <cell r="N222">
            <v>0</v>
          </cell>
          <cell r="O222">
            <v>0</v>
          </cell>
          <cell r="P222">
            <v>0</v>
          </cell>
          <cell r="Q222">
            <v>1125</v>
          </cell>
        </row>
        <row r="223">
          <cell r="A223">
            <v>50045</v>
          </cell>
          <cell r="B223" t="str">
            <v>Contract Labor</v>
          </cell>
          <cell r="E223">
            <v>0</v>
          </cell>
          <cell r="F223">
            <v>0</v>
          </cell>
          <cell r="G223">
            <v>0</v>
          </cell>
          <cell r="H223">
            <v>0</v>
          </cell>
          <cell r="I223">
            <v>0</v>
          </cell>
          <cell r="J223">
            <v>0</v>
          </cell>
          <cell r="K223">
            <v>0</v>
          </cell>
          <cell r="L223">
            <v>0</v>
          </cell>
          <cell r="M223">
            <v>0</v>
          </cell>
          <cell r="N223">
            <v>0</v>
          </cell>
          <cell r="O223">
            <v>0</v>
          </cell>
          <cell r="P223">
            <v>0</v>
          </cell>
          <cell r="Q223">
            <v>0</v>
          </cell>
        </row>
        <row r="224">
          <cell r="A224">
            <v>50050</v>
          </cell>
          <cell r="B224" t="str">
            <v>Payroll Taxes</v>
          </cell>
          <cell r="E224">
            <v>21085.43</v>
          </cell>
          <cell r="F224">
            <v>16517.190000000002</v>
          </cell>
          <cell r="G224">
            <v>17618.89</v>
          </cell>
          <cell r="H224">
            <v>17201.14</v>
          </cell>
          <cell r="I224">
            <v>16035.320000000002</v>
          </cell>
          <cell r="J224">
            <v>17468.87</v>
          </cell>
          <cell r="K224">
            <v>16392.41</v>
          </cell>
          <cell r="L224">
            <v>16351.01</v>
          </cell>
          <cell r="M224">
            <v>17217.28</v>
          </cell>
          <cell r="N224">
            <v>14701.12</v>
          </cell>
          <cell r="O224">
            <v>17942.59</v>
          </cell>
          <cell r="P224">
            <v>10482.15</v>
          </cell>
          <cell r="Q224">
            <v>199013.4</v>
          </cell>
        </row>
        <row r="225">
          <cell r="A225">
            <v>50060</v>
          </cell>
          <cell r="B225" t="str">
            <v>Group Insurance</v>
          </cell>
          <cell r="E225">
            <v>1330</v>
          </cell>
          <cell r="F225">
            <v>1226</v>
          </cell>
          <cell r="G225">
            <v>729.5</v>
          </cell>
          <cell r="H225">
            <v>1026.5</v>
          </cell>
          <cell r="I225">
            <v>878</v>
          </cell>
          <cell r="J225">
            <v>878</v>
          </cell>
          <cell r="K225">
            <v>878.77</v>
          </cell>
          <cell r="L225">
            <v>826</v>
          </cell>
          <cell r="M225">
            <v>1077.5</v>
          </cell>
          <cell r="N225">
            <v>1826.5</v>
          </cell>
          <cell r="O225">
            <v>1678.77</v>
          </cell>
          <cell r="P225">
            <v>1088.4199999999998</v>
          </cell>
          <cell r="Q225">
            <v>13443.960000000001</v>
          </cell>
        </row>
        <row r="226">
          <cell r="A226">
            <v>50065</v>
          </cell>
          <cell r="B226" t="str">
            <v>Vacation Pay</v>
          </cell>
          <cell r="E226">
            <v>13381.59</v>
          </cell>
          <cell r="F226">
            <v>8706.9500000000007</v>
          </cell>
          <cell r="G226">
            <v>9543.1899999999987</v>
          </cell>
          <cell r="H226">
            <v>7013.4</v>
          </cell>
          <cell r="I226">
            <v>14309.95</v>
          </cell>
          <cell r="J226">
            <v>8179.11</v>
          </cell>
          <cell r="K226">
            <v>14227.68</v>
          </cell>
          <cell r="L226">
            <v>7288.4699999999993</v>
          </cell>
          <cell r="M226">
            <v>15009.16</v>
          </cell>
          <cell r="N226">
            <v>10400.879999999999</v>
          </cell>
          <cell r="O226">
            <v>16702.490000000002</v>
          </cell>
          <cell r="P226">
            <v>14167.710000000001</v>
          </cell>
          <cell r="Q226">
            <v>138930.58000000002</v>
          </cell>
        </row>
        <row r="227">
          <cell r="A227">
            <v>50070</v>
          </cell>
          <cell r="B227" t="str">
            <v>Sick Pay</v>
          </cell>
          <cell r="E227">
            <v>510.84</v>
          </cell>
          <cell r="F227">
            <v>-249.9</v>
          </cell>
          <cell r="G227">
            <v>257.39999999999998</v>
          </cell>
          <cell r="H227">
            <v>14.4</v>
          </cell>
          <cell r="I227">
            <v>0</v>
          </cell>
          <cell r="J227">
            <v>722.88</v>
          </cell>
          <cell r="K227">
            <v>80.319999999999993</v>
          </cell>
          <cell r="L227">
            <v>92</v>
          </cell>
          <cell r="M227">
            <v>0</v>
          </cell>
          <cell r="N227">
            <v>200.8</v>
          </cell>
          <cell r="O227">
            <v>156.4</v>
          </cell>
          <cell r="P227">
            <v>27.6</v>
          </cell>
          <cell r="Q227">
            <v>1812.7399999999998</v>
          </cell>
        </row>
        <row r="228">
          <cell r="A228">
            <v>50086</v>
          </cell>
          <cell r="B228" t="str">
            <v>Safety and Training</v>
          </cell>
          <cell r="E228">
            <v>52.5</v>
          </cell>
          <cell r="F228">
            <v>57.5</v>
          </cell>
          <cell r="G228">
            <v>269.42</v>
          </cell>
          <cell r="H228">
            <v>-147.5</v>
          </cell>
          <cell r="I228">
            <v>423.2</v>
          </cell>
          <cell r="J228">
            <v>0</v>
          </cell>
          <cell r="K228">
            <v>0</v>
          </cell>
          <cell r="L228">
            <v>0</v>
          </cell>
          <cell r="M228">
            <v>1724.48</v>
          </cell>
          <cell r="N228">
            <v>1092.78</v>
          </cell>
          <cell r="O228">
            <v>642.78</v>
          </cell>
          <cell r="P228">
            <v>0</v>
          </cell>
          <cell r="Q228">
            <v>4115.16</v>
          </cell>
        </row>
        <row r="229">
          <cell r="A229">
            <v>50087</v>
          </cell>
          <cell r="B229" t="str">
            <v>Drug Testing</v>
          </cell>
          <cell r="E229">
            <v>60</v>
          </cell>
          <cell r="F229">
            <v>0</v>
          </cell>
          <cell r="G229">
            <v>0</v>
          </cell>
          <cell r="H229">
            <v>240</v>
          </cell>
          <cell r="I229">
            <v>120</v>
          </cell>
          <cell r="J229">
            <v>240</v>
          </cell>
          <cell r="K229">
            <v>694</v>
          </cell>
          <cell r="L229">
            <v>180</v>
          </cell>
          <cell r="M229">
            <v>420</v>
          </cell>
          <cell r="N229">
            <v>60</v>
          </cell>
          <cell r="O229">
            <v>360</v>
          </cell>
          <cell r="P229">
            <v>60</v>
          </cell>
          <cell r="Q229">
            <v>2434</v>
          </cell>
        </row>
        <row r="230">
          <cell r="A230">
            <v>50090</v>
          </cell>
          <cell r="B230" t="str">
            <v>Uniforms</v>
          </cell>
          <cell r="E230">
            <v>6868.59</v>
          </cell>
          <cell r="F230">
            <v>9292.77</v>
          </cell>
          <cell r="G230">
            <v>8124.38</v>
          </cell>
          <cell r="H230">
            <v>7694.95</v>
          </cell>
          <cell r="I230">
            <v>4128.24</v>
          </cell>
          <cell r="J230">
            <v>12100.73</v>
          </cell>
          <cell r="K230">
            <v>9167.7900000000009</v>
          </cell>
          <cell r="L230">
            <v>12042.49</v>
          </cell>
          <cell r="M230">
            <v>8237.0400000000009</v>
          </cell>
          <cell r="N230">
            <v>8038.55</v>
          </cell>
          <cell r="O230">
            <v>7814.48</v>
          </cell>
          <cell r="P230">
            <v>9358.16</v>
          </cell>
          <cell r="Q230">
            <v>102868.17000000001</v>
          </cell>
        </row>
        <row r="231">
          <cell r="A231">
            <v>50115</v>
          </cell>
          <cell r="B231" t="str">
            <v>Pension and Profit Sharing</v>
          </cell>
          <cell r="E231">
            <v>20881.310000000001</v>
          </cell>
          <cell r="F231">
            <v>19908.310000000001</v>
          </cell>
          <cell r="G231">
            <v>22571.059999999998</v>
          </cell>
          <cell r="H231">
            <v>20908.93</v>
          </cell>
          <cell r="I231">
            <v>20644.87</v>
          </cell>
          <cell r="J231">
            <v>20431.82</v>
          </cell>
          <cell r="K231">
            <v>19793.68</v>
          </cell>
          <cell r="L231">
            <v>25409.94</v>
          </cell>
          <cell r="M231">
            <v>19345.43</v>
          </cell>
          <cell r="N231">
            <v>18963.18</v>
          </cell>
          <cell r="O231">
            <v>19131.61</v>
          </cell>
          <cell r="P231">
            <v>16610.04</v>
          </cell>
          <cell r="Q231">
            <v>244600.17999999996</v>
          </cell>
        </row>
        <row r="232">
          <cell r="A232">
            <v>50116</v>
          </cell>
          <cell r="B232" t="str">
            <v>Union Benefit Expense</v>
          </cell>
          <cell r="E232">
            <v>55955.6</v>
          </cell>
          <cell r="F232">
            <v>54981.08</v>
          </cell>
          <cell r="G232">
            <v>57124.76</v>
          </cell>
          <cell r="H232">
            <v>59521.61</v>
          </cell>
          <cell r="I232">
            <v>55020.61</v>
          </cell>
          <cell r="J232">
            <v>53907.77</v>
          </cell>
          <cell r="K232">
            <v>51487.79</v>
          </cell>
          <cell r="L232">
            <v>50364.490000000005</v>
          </cell>
          <cell r="M232">
            <v>51135.950000000004</v>
          </cell>
          <cell r="N232">
            <v>51271.57</v>
          </cell>
          <cell r="O232">
            <v>52010.640000000007</v>
          </cell>
          <cell r="P232">
            <v>49943.11</v>
          </cell>
          <cell r="Q232">
            <v>642724.98</v>
          </cell>
        </row>
        <row r="233">
          <cell r="A233">
            <v>50117</v>
          </cell>
          <cell r="B233" t="str">
            <v>Union Pension</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A234">
            <v>50148</v>
          </cell>
          <cell r="B234" t="str">
            <v>Allocated Exp In - District</v>
          </cell>
          <cell r="E234">
            <v>0</v>
          </cell>
          <cell r="F234">
            <v>0</v>
          </cell>
          <cell r="G234">
            <v>0</v>
          </cell>
          <cell r="H234">
            <v>0</v>
          </cell>
          <cell r="I234">
            <v>0</v>
          </cell>
          <cell r="J234">
            <v>0</v>
          </cell>
          <cell r="K234">
            <v>0</v>
          </cell>
          <cell r="L234">
            <v>0</v>
          </cell>
          <cell r="M234">
            <v>0</v>
          </cell>
          <cell r="N234">
            <v>0</v>
          </cell>
          <cell r="O234">
            <v>0</v>
          </cell>
          <cell r="P234">
            <v>0</v>
          </cell>
          <cell r="Q234">
            <v>0</v>
          </cell>
        </row>
        <row r="235">
          <cell r="A235">
            <v>50149</v>
          </cell>
          <cell r="B235" t="str">
            <v>Allocated Exp In Out - District</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A236">
            <v>50335</v>
          </cell>
          <cell r="B236" t="str">
            <v>Miscellaneous</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v>50900</v>
          </cell>
          <cell r="B237" t="str">
            <v>Capitalized Costs</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A238">
            <v>50998</v>
          </cell>
          <cell r="B238" t="str">
            <v>Allocation Out - District</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A239">
            <v>50999</v>
          </cell>
          <cell r="B239" t="str">
            <v>Allocation Out - Out District</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A240" t="str">
            <v>Total Labor</v>
          </cell>
          <cell r="E240">
            <v>294808.01999999996</v>
          </cell>
          <cell r="F240">
            <v>268231.77</v>
          </cell>
          <cell r="G240">
            <v>297444.89</v>
          </cell>
          <cell r="H240">
            <v>289895.94999999995</v>
          </cell>
          <cell r="I240">
            <v>277386.03000000003</v>
          </cell>
          <cell r="J240">
            <v>281546.87</v>
          </cell>
          <cell r="K240">
            <v>275508.70999999996</v>
          </cell>
          <cell r="L240">
            <v>281726.57</v>
          </cell>
          <cell r="M240">
            <v>285277.56</v>
          </cell>
          <cell r="N240">
            <v>260142.86999999997</v>
          </cell>
          <cell r="O240">
            <v>287539.68</v>
          </cell>
          <cell r="P240">
            <v>262794.69</v>
          </cell>
          <cell r="Q240">
            <v>3362303.6100000003</v>
          </cell>
        </row>
        <row r="242">
          <cell r="A242" t="str">
            <v>Truck Fixed Expenses</v>
          </cell>
        </row>
        <row r="243">
          <cell r="A243">
            <v>51148</v>
          </cell>
          <cell r="B243" t="str">
            <v>Allocation In - District</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A244">
            <v>51149</v>
          </cell>
          <cell r="B244" t="str">
            <v>Allocation In - Out District</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A245">
            <v>51175</v>
          </cell>
          <cell r="B245" t="str">
            <v>Equipment/Vehicle Rental</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A246">
            <v>51275</v>
          </cell>
          <cell r="B246" t="str">
            <v>Property Taxes</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A247">
            <v>51295</v>
          </cell>
          <cell r="B247" t="str">
            <v>Licenses</v>
          </cell>
          <cell r="E247">
            <v>2602.56</v>
          </cell>
          <cell r="F247">
            <v>2531.56</v>
          </cell>
          <cell r="G247">
            <v>2595.5500000000002</v>
          </cell>
          <cell r="H247">
            <v>2489.9299999999998</v>
          </cell>
          <cell r="I247">
            <v>2160.58</v>
          </cell>
          <cell r="J247">
            <v>2256.83</v>
          </cell>
          <cell r="K247">
            <v>2128.83</v>
          </cell>
          <cell r="L247">
            <v>2085.83</v>
          </cell>
          <cell r="M247">
            <v>2085.83</v>
          </cell>
          <cell r="N247">
            <v>2190.83</v>
          </cell>
          <cell r="O247">
            <v>2085.83</v>
          </cell>
          <cell r="P247">
            <v>2550.89</v>
          </cell>
          <cell r="Q247">
            <v>27765.050000000003</v>
          </cell>
        </row>
        <row r="248">
          <cell r="A248">
            <v>51335</v>
          </cell>
          <cell r="B248" t="str">
            <v>Miscellaneous</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A249">
            <v>51998</v>
          </cell>
          <cell r="B249" t="str">
            <v>Allocation Out - District</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A250">
            <v>51999</v>
          </cell>
          <cell r="B250" t="str">
            <v>Allocation Out - Out District</v>
          </cell>
          <cell r="E250">
            <v>0</v>
          </cell>
          <cell r="F250">
            <v>0</v>
          </cell>
          <cell r="G250">
            <v>0</v>
          </cell>
          <cell r="H250">
            <v>0</v>
          </cell>
          <cell r="I250">
            <v>0</v>
          </cell>
          <cell r="J250">
            <v>0</v>
          </cell>
          <cell r="K250">
            <v>0</v>
          </cell>
          <cell r="L250">
            <v>0</v>
          </cell>
          <cell r="M250">
            <v>0</v>
          </cell>
          <cell r="N250">
            <v>0</v>
          </cell>
          <cell r="O250">
            <v>0</v>
          </cell>
          <cell r="P250">
            <v>0</v>
          </cell>
          <cell r="Q250">
            <v>0</v>
          </cell>
        </row>
        <row r="251">
          <cell r="A251" t="str">
            <v>Total Truck Fixed Expenses</v>
          </cell>
          <cell r="E251">
            <v>2602.56</v>
          </cell>
          <cell r="F251">
            <v>2531.56</v>
          </cell>
          <cell r="G251">
            <v>2595.5500000000002</v>
          </cell>
          <cell r="H251">
            <v>2489.9299999999998</v>
          </cell>
          <cell r="I251">
            <v>2160.58</v>
          </cell>
          <cell r="J251">
            <v>2256.83</v>
          </cell>
          <cell r="K251">
            <v>2128.83</v>
          </cell>
          <cell r="L251">
            <v>2085.83</v>
          </cell>
          <cell r="M251">
            <v>2085.83</v>
          </cell>
          <cell r="N251">
            <v>2190.83</v>
          </cell>
          <cell r="O251">
            <v>2085.83</v>
          </cell>
          <cell r="P251">
            <v>2550.89</v>
          </cell>
          <cell r="Q251">
            <v>27765.050000000003</v>
          </cell>
        </row>
        <row r="253">
          <cell r="A253" t="str">
            <v>Truck Variable Expenses</v>
          </cell>
        </row>
        <row r="254">
          <cell r="A254">
            <v>52010</v>
          </cell>
          <cell r="B254" t="str">
            <v>Salaries</v>
          </cell>
          <cell r="E254">
            <v>6209.13</v>
          </cell>
          <cell r="F254">
            <v>5913.46</v>
          </cell>
          <cell r="G254">
            <v>6800.48</v>
          </cell>
          <cell r="H254">
            <v>6504.81</v>
          </cell>
          <cell r="I254">
            <v>6209.13</v>
          </cell>
          <cell r="J254">
            <v>6504.8</v>
          </cell>
          <cell r="K254">
            <v>6504.81</v>
          </cell>
          <cell r="L254">
            <v>6504.81</v>
          </cell>
          <cell r="M254">
            <v>6504.8</v>
          </cell>
          <cell r="N254">
            <v>6209.14</v>
          </cell>
          <cell r="O254">
            <v>6504.8</v>
          </cell>
          <cell r="P254">
            <v>6800.48</v>
          </cell>
          <cell r="Q254">
            <v>77170.649999999994</v>
          </cell>
        </row>
        <row r="255">
          <cell r="A255">
            <v>52020</v>
          </cell>
          <cell r="B255" t="str">
            <v>Wages Regular</v>
          </cell>
          <cell r="E255">
            <v>11640.62</v>
          </cell>
          <cell r="F255">
            <v>14929.71</v>
          </cell>
          <cell r="G255">
            <v>14082.73</v>
          </cell>
          <cell r="H255">
            <v>13654.74</v>
          </cell>
          <cell r="I255">
            <v>14918.37</v>
          </cell>
          <cell r="J255">
            <v>14754.95</v>
          </cell>
          <cell r="K255">
            <v>12181.44</v>
          </cell>
          <cell r="L255">
            <v>11315.17</v>
          </cell>
          <cell r="M255">
            <v>11931.83</v>
          </cell>
          <cell r="N255">
            <v>11946.65</v>
          </cell>
          <cell r="O255">
            <v>12371.33</v>
          </cell>
          <cell r="P255">
            <v>15662.7</v>
          </cell>
          <cell r="Q255">
            <v>159390.24</v>
          </cell>
        </row>
        <row r="256">
          <cell r="A256">
            <v>52025</v>
          </cell>
          <cell r="B256" t="str">
            <v>Wages O.T.</v>
          </cell>
          <cell r="E256">
            <v>2614.52</v>
          </cell>
          <cell r="F256">
            <v>2473.63</v>
          </cell>
          <cell r="G256">
            <v>2117.09</v>
          </cell>
          <cell r="H256">
            <v>2164.7199999999998</v>
          </cell>
          <cell r="I256">
            <v>2848.44</v>
          </cell>
          <cell r="J256">
            <v>3075.19</v>
          </cell>
          <cell r="K256">
            <v>3378.52</v>
          </cell>
          <cell r="L256">
            <v>1747.37</v>
          </cell>
          <cell r="M256">
            <v>2402.91</v>
          </cell>
          <cell r="N256">
            <v>2322.34</v>
          </cell>
          <cell r="O256">
            <v>3755.06</v>
          </cell>
          <cell r="P256">
            <v>2288.11</v>
          </cell>
          <cell r="Q256">
            <v>31187.9</v>
          </cell>
        </row>
        <row r="257">
          <cell r="A257">
            <v>52035</v>
          </cell>
          <cell r="B257" t="str">
            <v>Safety Bonuses</v>
          </cell>
          <cell r="E257">
            <v>833</v>
          </cell>
          <cell r="F257">
            <v>833</v>
          </cell>
          <cell r="G257">
            <v>833</v>
          </cell>
          <cell r="H257">
            <v>833</v>
          </cell>
          <cell r="I257">
            <v>1583</v>
          </cell>
          <cell r="J257">
            <v>1583</v>
          </cell>
          <cell r="K257">
            <v>1583</v>
          </cell>
          <cell r="L257">
            <v>1583</v>
          </cell>
          <cell r="M257">
            <v>500</v>
          </cell>
          <cell r="N257">
            <v>500</v>
          </cell>
          <cell r="O257">
            <v>1000</v>
          </cell>
          <cell r="P257">
            <v>0</v>
          </cell>
          <cell r="Q257">
            <v>11664</v>
          </cell>
        </row>
        <row r="258">
          <cell r="A258">
            <v>52036</v>
          </cell>
          <cell r="B258" t="str">
            <v>Other Bonus/Commission - Non-Safety</v>
          </cell>
          <cell r="E258">
            <v>0</v>
          </cell>
          <cell r="F258">
            <v>0</v>
          </cell>
          <cell r="G258">
            <v>0</v>
          </cell>
          <cell r="H258">
            <v>0</v>
          </cell>
          <cell r="I258">
            <v>0</v>
          </cell>
          <cell r="J258">
            <v>0</v>
          </cell>
          <cell r="K258">
            <v>0</v>
          </cell>
          <cell r="L258">
            <v>0</v>
          </cell>
          <cell r="M258">
            <v>0</v>
          </cell>
          <cell r="N258">
            <v>0</v>
          </cell>
          <cell r="O258">
            <v>0</v>
          </cell>
          <cell r="P258">
            <v>0</v>
          </cell>
          <cell r="Q258">
            <v>0</v>
          </cell>
        </row>
        <row r="259">
          <cell r="A259">
            <v>52045</v>
          </cell>
          <cell r="B259" t="str">
            <v>Contract Labor</v>
          </cell>
          <cell r="E259">
            <v>0</v>
          </cell>
          <cell r="F259">
            <v>0</v>
          </cell>
          <cell r="G259">
            <v>0</v>
          </cell>
          <cell r="H259">
            <v>0</v>
          </cell>
          <cell r="I259">
            <v>0</v>
          </cell>
          <cell r="J259">
            <v>0</v>
          </cell>
          <cell r="K259">
            <v>0</v>
          </cell>
          <cell r="L259">
            <v>0</v>
          </cell>
          <cell r="M259">
            <v>0</v>
          </cell>
          <cell r="N259">
            <v>0</v>
          </cell>
          <cell r="O259">
            <v>0</v>
          </cell>
          <cell r="P259">
            <v>0</v>
          </cell>
          <cell r="Q259">
            <v>0</v>
          </cell>
        </row>
        <row r="260">
          <cell r="A260">
            <v>52050</v>
          </cell>
          <cell r="B260" t="str">
            <v>Payroll Taxes</v>
          </cell>
          <cell r="E260">
            <v>2869.35</v>
          </cell>
          <cell r="F260">
            <v>2242.16</v>
          </cell>
          <cell r="G260">
            <v>2468.5100000000002</v>
          </cell>
          <cell r="H260">
            <v>2064.63</v>
          </cell>
          <cell r="I260">
            <v>2186.88</v>
          </cell>
          <cell r="J260">
            <v>2344.56</v>
          </cell>
          <cell r="K260">
            <v>1962.2</v>
          </cell>
          <cell r="L260">
            <v>1763.36</v>
          </cell>
          <cell r="M260">
            <v>1881.81</v>
          </cell>
          <cell r="N260">
            <v>1731.74</v>
          </cell>
          <cell r="O260">
            <v>2453.91</v>
          </cell>
          <cell r="P260">
            <v>1757.74</v>
          </cell>
          <cell r="Q260">
            <v>25726.850000000006</v>
          </cell>
        </row>
        <row r="261">
          <cell r="A261">
            <v>52060</v>
          </cell>
          <cell r="B261" t="str">
            <v>Group Insurance</v>
          </cell>
          <cell r="E261">
            <v>1441</v>
          </cell>
          <cell r="F261">
            <v>1441</v>
          </cell>
          <cell r="G261">
            <v>561.5</v>
          </cell>
          <cell r="H261">
            <v>720.5</v>
          </cell>
          <cell r="I261">
            <v>641</v>
          </cell>
          <cell r="J261">
            <v>641</v>
          </cell>
          <cell r="K261">
            <v>641</v>
          </cell>
          <cell r="L261">
            <v>641</v>
          </cell>
          <cell r="M261">
            <v>561.5</v>
          </cell>
          <cell r="N261">
            <v>720.5</v>
          </cell>
          <cell r="O261">
            <v>641</v>
          </cell>
          <cell r="P261">
            <v>583.48</v>
          </cell>
          <cell r="Q261">
            <v>9234.48</v>
          </cell>
        </row>
        <row r="262">
          <cell r="A262">
            <v>52065</v>
          </cell>
          <cell r="B262" t="str">
            <v>Vacation Pay</v>
          </cell>
          <cell r="E262">
            <v>1511.38</v>
          </cell>
          <cell r="F262">
            <v>-838.54</v>
          </cell>
          <cell r="G262">
            <v>2800.68</v>
          </cell>
          <cell r="H262">
            <v>381.27</v>
          </cell>
          <cell r="I262">
            <v>800.29</v>
          </cell>
          <cell r="J262">
            <v>1912.65</v>
          </cell>
          <cell r="K262">
            <v>745.69</v>
          </cell>
          <cell r="L262">
            <v>1755.74</v>
          </cell>
          <cell r="M262">
            <v>996.88</v>
          </cell>
          <cell r="N262">
            <v>1492.04</v>
          </cell>
          <cell r="O262">
            <v>2476.17</v>
          </cell>
          <cell r="P262">
            <v>1846.32</v>
          </cell>
          <cell r="Q262">
            <v>15880.569999999998</v>
          </cell>
        </row>
        <row r="263">
          <cell r="A263">
            <v>52070</v>
          </cell>
          <cell r="B263" t="str">
            <v>Sick Pay</v>
          </cell>
          <cell r="E263">
            <v>0</v>
          </cell>
          <cell r="F263">
            <v>0</v>
          </cell>
          <cell r="G263">
            <v>0</v>
          </cell>
          <cell r="H263">
            <v>0</v>
          </cell>
          <cell r="I263">
            <v>0</v>
          </cell>
          <cell r="J263">
            <v>0</v>
          </cell>
          <cell r="K263">
            <v>0</v>
          </cell>
          <cell r="L263">
            <v>0</v>
          </cell>
          <cell r="M263">
            <v>0</v>
          </cell>
          <cell r="N263">
            <v>0</v>
          </cell>
          <cell r="O263">
            <v>0</v>
          </cell>
          <cell r="P263">
            <v>0</v>
          </cell>
          <cell r="Q263">
            <v>0</v>
          </cell>
        </row>
        <row r="264">
          <cell r="A264">
            <v>52086</v>
          </cell>
          <cell r="B264" t="str">
            <v>Safety and Training</v>
          </cell>
          <cell r="E264">
            <v>104.55</v>
          </cell>
          <cell r="F264">
            <v>112.64</v>
          </cell>
          <cell r="G264">
            <v>154.71</v>
          </cell>
          <cell r="H264">
            <v>299.60000000000002</v>
          </cell>
          <cell r="I264">
            <v>846.98</v>
          </cell>
          <cell r="J264">
            <v>185.38</v>
          </cell>
          <cell r="K264">
            <v>78.989999999999995</v>
          </cell>
          <cell r="L264">
            <v>145.65</v>
          </cell>
          <cell r="M264">
            <v>0</v>
          </cell>
          <cell r="N264">
            <v>876.33</v>
          </cell>
          <cell r="O264">
            <v>-395.59</v>
          </cell>
          <cell r="P264">
            <v>1720.49</v>
          </cell>
          <cell r="Q264">
            <v>4129.7300000000005</v>
          </cell>
        </row>
        <row r="265">
          <cell r="A265">
            <v>52087</v>
          </cell>
          <cell r="B265" t="str">
            <v>Drug Screening</v>
          </cell>
          <cell r="E265">
            <v>0</v>
          </cell>
          <cell r="F265">
            <v>0</v>
          </cell>
          <cell r="G265">
            <v>0</v>
          </cell>
          <cell r="H265">
            <v>0</v>
          </cell>
          <cell r="I265">
            <v>0</v>
          </cell>
          <cell r="J265">
            <v>0</v>
          </cell>
          <cell r="K265">
            <v>0</v>
          </cell>
          <cell r="L265">
            <v>0</v>
          </cell>
          <cell r="M265">
            <v>0</v>
          </cell>
          <cell r="N265">
            <v>0</v>
          </cell>
          <cell r="O265">
            <v>0</v>
          </cell>
          <cell r="P265">
            <v>0</v>
          </cell>
          <cell r="Q265">
            <v>0</v>
          </cell>
        </row>
        <row r="266">
          <cell r="A266">
            <v>52090</v>
          </cell>
          <cell r="B266" t="str">
            <v>Uniforms</v>
          </cell>
          <cell r="E266">
            <v>1040.42</v>
          </cell>
          <cell r="F266">
            <v>1033.9000000000001</v>
          </cell>
          <cell r="G266">
            <v>1397.48</v>
          </cell>
          <cell r="H266">
            <v>1377.31</v>
          </cell>
          <cell r="I266">
            <v>475.1</v>
          </cell>
          <cell r="J266">
            <v>1617.7</v>
          </cell>
          <cell r="K266">
            <v>910.5</v>
          </cell>
          <cell r="L266">
            <v>1633.6</v>
          </cell>
          <cell r="M266">
            <v>1021.73</v>
          </cell>
          <cell r="N266">
            <v>756.54</v>
          </cell>
          <cell r="O266">
            <v>828.81</v>
          </cell>
          <cell r="P266">
            <v>987.61</v>
          </cell>
          <cell r="Q266">
            <v>13080.699999999999</v>
          </cell>
        </row>
        <row r="267">
          <cell r="A267">
            <v>52115</v>
          </cell>
          <cell r="B267" t="str">
            <v>Pension and Profit Sharing</v>
          </cell>
          <cell r="E267">
            <v>2995.29</v>
          </cell>
          <cell r="F267">
            <v>2862.61</v>
          </cell>
          <cell r="G267">
            <v>3299.63</v>
          </cell>
          <cell r="H267">
            <v>2999.06</v>
          </cell>
          <cell r="I267">
            <v>2963.05</v>
          </cell>
          <cell r="J267">
            <v>2934</v>
          </cell>
          <cell r="K267">
            <v>2846.98</v>
          </cell>
          <cell r="L267">
            <v>2774.57</v>
          </cell>
          <cell r="M267">
            <v>2785.85</v>
          </cell>
          <cell r="N267">
            <v>2807.65</v>
          </cell>
          <cell r="O267">
            <v>2756.7</v>
          </cell>
          <cell r="P267">
            <v>2412.85</v>
          </cell>
          <cell r="Q267">
            <v>34438.239999999998</v>
          </cell>
        </row>
        <row r="268">
          <cell r="A268">
            <v>52116</v>
          </cell>
          <cell r="B268" t="str">
            <v>Union Benefit Expense</v>
          </cell>
          <cell r="E268">
            <v>7876.76</v>
          </cell>
          <cell r="F268">
            <v>7880.62</v>
          </cell>
          <cell r="G268">
            <v>7872.8</v>
          </cell>
          <cell r="H268">
            <v>7884.58</v>
          </cell>
          <cell r="I268">
            <v>7878.69</v>
          </cell>
          <cell r="J268">
            <v>7878.69</v>
          </cell>
          <cell r="K268">
            <v>7881.97</v>
          </cell>
          <cell r="L268">
            <v>6752.1</v>
          </cell>
          <cell r="M268">
            <v>6747.85</v>
          </cell>
          <cell r="N268">
            <v>6756.35</v>
          </cell>
          <cell r="O268">
            <v>7182.94</v>
          </cell>
          <cell r="P268">
            <v>7779.69</v>
          </cell>
          <cell r="Q268">
            <v>90373.040000000023</v>
          </cell>
        </row>
        <row r="269">
          <cell r="A269">
            <v>52117</v>
          </cell>
          <cell r="B269" t="str">
            <v>Union Pension</v>
          </cell>
          <cell r="E269">
            <v>0</v>
          </cell>
          <cell r="F269">
            <v>0</v>
          </cell>
          <cell r="G269">
            <v>0</v>
          </cell>
          <cell r="H269">
            <v>0</v>
          </cell>
          <cell r="I269">
            <v>0</v>
          </cell>
          <cell r="J269">
            <v>0</v>
          </cell>
          <cell r="K269">
            <v>0</v>
          </cell>
          <cell r="L269">
            <v>0</v>
          </cell>
          <cell r="M269">
            <v>0</v>
          </cell>
          <cell r="N269">
            <v>0</v>
          </cell>
          <cell r="O269">
            <v>0</v>
          </cell>
          <cell r="P269">
            <v>0</v>
          </cell>
          <cell r="Q269">
            <v>0</v>
          </cell>
        </row>
        <row r="270">
          <cell r="A270">
            <v>52120</v>
          </cell>
          <cell r="B270" t="str">
            <v>Parts and Materials</v>
          </cell>
          <cell r="E270">
            <v>13715.59</v>
          </cell>
          <cell r="F270">
            <v>21102.71</v>
          </cell>
          <cell r="G270">
            <v>18678.920000000006</v>
          </cell>
          <cell r="H270">
            <v>30064.99</v>
          </cell>
          <cell r="I270">
            <v>11133.51</v>
          </cell>
          <cell r="J270">
            <v>9706.94</v>
          </cell>
          <cell r="K270">
            <v>12873.069999999998</v>
          </cell>
          <cell r="L270">
            <v>12811.720000000001</v>
          </cell>
          <cell r="M270">
            <v>13514.23</v>
          </cell>
          <cell r="N270">
            <v>8953.7200000000012</v>
          </cell>
          <cell r="O270">
            <v>16547.27</v>
          </cell>
          <cell r="P270">
            <v>15817.25</v>
          </cell>
          <cell r="Q270">
            <v>184919.91999999998</v>
          </cell>
        </row>
        <row r="271">
          <cell r="A271">
            <v>52125</v>
          </cell>
          <cell r="B271" t="str">
            <v>Operating Supplies</v>
          </cell>
          <cell r="E271">
            <v>568.15</v>
          </cell>
          <cell r="F271">
            <v>288.02999999999997</v>
          </cell>
          <cell r="G271">
            <v>385.62</v>
          </cell>
          <cell r="H271">
            <v>179.18</v>
          </cell>
          <cell r="I271">
            <v>339.98</v>
          </cell>
          <cell r="J271">
            <v>264.08</v>
          </cell>
          <cell r="K271">
            <v>131.13</v>
          </cell>
          <cell r="L271">
            <v>13.55</v>
          </cell>
          <cell r="M271">
            <v>9.8699999999999992</v>
          </cell>
          <cell r="N271">
            <v>372.92</v>
          </cell>
          <cell r="O271">
            <v>819.61</v>
          </cell>
          <cell r="P271">
            <v>414.71</v>
          </cell>
          <cell r="Q271">
            <v>3786.8300000000004</v>
          </cell>
        </row>
        <row r="272">
          <cell r="A272">
            <v>52135</v>
          </cell>
          <cell r="B272" t="str">
            <v>Equipment and Maint Repair</v>
          </cell>
          <cell r="E272">
            <v>0</v>
          </cell>
          <cell r="F272">
            <v>0</v>
          </cell>
          <cell r="G272">
            <v>149.16</v>
          </cell>
          <cell r="H272">
            <v>681.98</v>
          </cell>
          <cell r="I272">
            <v>545.25</v>
          </cell>
          <cell r="J272">
            <v>332.59</v>
          </cell>
          <cell r="K272">
            <v>984.37</v>
          </cell>
          <cell r="L272">
            <v>173.37</v>
          </cell>
          <cell r="M272">
            <v>0</v>
          </cell>
          <cell r="N272">
            <v>156.19999999999999</v>
          </cell>
          <cell r="O272">
            <v>-156.19999999999999</v>
          </cell>
          <cell r="P272">
            <v>27.01</v>
          </cell>
          <cell r="Q272">
            <v>2893.73</v>
          </cell>
        </row>
        <row r="273">
          <cell r="A273">
            <v>52140</v>
          </cell>
          <cell r="B273" t="str">
            <v>Tires</v>
          </cell>
          <cell r="E273">
            <v>11282.69</v>
          </cell>
          <cell r="F273">
            <v>1664.63</v>
          </cell>
          <cell r="G273">
            <v>5175.3999999999996</v>
          </cell>
          <cell r="H273">
            <v>8753.43</v>
          </cell>
          <cell r="I273">
            <v>9084.64</v>
          </cell>
          <cell r="J273">
            <v>1370.04</v>
          </cell>
          <cell r="K273">
            <v>8864.5</v>
          </cell>
          <cell r="L273">
            <v>438.2</v>
          </cell>
          <cell r="M273">
            <v>5010.1400000000003</v>
          </cell>
          <cell r="N273">
            <v>1896.06</v>
          </cell>
          <cell r="O273">
            <v>7161.25</v>
          </cell>
          <cell r="P273">
            <v>3395.56</v>
          </cell>
          <cell r="Q273">
            <v>64096.539999999994</v>
          </cell>
        </row>
        <row r="274">
          <cell r="A274">
            <v>52142</v>
          </cell>
          <cell r="B274" t="str">
            <v>Fuel Expense</v>
          </cell>
          <cell r="E274">
            <v>54158.289999999994</v>
          </cell>
          <cell r="F274">
            <v>50956.94</v>
          </cell>
          <cell r="G274">
            <v>60111.49</v>
          </cell>
          <cell r="H274">
            <v>62505</v>
          </cell>
          <cell r="I274">
            <v>58155.18</v>
          </cell>
          <cell r="J274">
            <v>61304.36</v>
          </cell>
          <cell r="K274">
            <v>60908.59</v>
          </cell>
          <cell r="L274">
            <v>64096.240000000005</v>
          </cell>
          <cell r="M274">
            <v>63144.08</v>
          </cell>
          <cell r="N274">
            <v>63868.340000000004</v>
          </cell>
          <cell r="O274">
            <v>56605.93</v>
          </cell>
          <cell r="P274">
            <v>67191.64</v>
          </cell>
          <cell r="Q274">
            <v>723006.08</v>
          </cell>
        </row>
        <row r="275">
          <cell r="A275">
            <v>52143</v>
          </cell>
          <cell r="B275" t="str">
            <v>Transmontagne Fuel</v>
          </cell>
          <cell r="E275">
            <v>0</v>
          </cell>
          <cell r="F275">
            <v>0</v>
          </cell>
          <cell r="G275">
            <v>0</v>
          </cell>
          <cell r="H275">
            <v>0</v>
          </cell>
          <cell r="I275">
            <v>0</v>
          </cell>
          <cell r="J275">
            <v>0</v>
          </cell>
          <cell r="K275">
            <v>0</v>
          </cell>
          <cell r="L275">
            <v>0</v>
          </cell>
          <cell r="M275">
            <v>0</v>
          </cell>
          <cell r="N275">
            <v>0</v>
          </cell>
          <cell r="O275">
            <v>0</v>
          </cell>
          <cell r="P275">
            <v>0</v>
          </cell>
          <cell r="Q275">
            <v>0</v>
          </cell>
        </row>
        <row r="276">
          <cell r="A276">
            <v>52144</v>
          </cell>
          <cell r="B276" t="str">
            <v>Urea Expense</v>
          </cell>
          <cell r="E276">
            <v>0</v>
          </cell>
          <cell r="F276">
            <v>0</v>
          </cell>
          <cell r="G276">
            <v>0</v>
          </cell>
          <cell r="H276">
            <v>0</v>
          </cell>
          <cell r="I276">
            <v>0</v>
          </cell>
          <cell r="J276">
            <v>0</v>
          </cell>
          <cell r="K276">
            <v>0</v>
          </cell>
          <cell r="L276">
            <v>0</v>
          </cell>
          <cell r="M276">
            <v>0</v>
          </cell>
          <cell r="N276">
            <v>0</v>
          </cell>
          <cell r="O276">
            <v>0</v>
          </cell>
          <cell r="P276">
            <v>0</v>
          </cell>
          <cell r="Q276">
            <v>0</v>
          </cell>
        </row>
        <row r="277">
          <cell r="A277">
            <v>52146</v>
          </cell>
          <cell r="B277" t="str">
            <v>Oil and Grease</v>
          </cell>
          <cell r="E277">
            <v>3179.71</v>
          </cell>
          <cell r="F277">
            <v>7401.66</v>
          </cell>
          <cell r="G277">
            <v>5696.15</v>
          </cell>
          <cell r="H277">
            <v>6990.25</v>
          </cell>
          <cell r="I277">
            <v>4918.58</v>
          </cell>
          <cell r="J277">
            <v>3341.27</v>
          </cell>
          <cell r="K277">
            <v>1599.94</v>
          </cell>
          <cell r="L277">
            <v>9095.31</v>
          </cell>
          <cell r="M277">
            <v>5629.35</v>
          </cell>
          <cell r="N277">
            <v>4937.97</v>
          </cell>
          <cell r="O277">
            <v>5285.37</v>
          </cell>
          <cell r="P277">
            <v>5402.36</v>
          </cell>
          <cell r="Q277">
            <v>63477.919999999998</v>
          </cell>
        </row>
        <row r="278">
          <cell r="A278">
            <v>52147</v>
          </cell>
          <cell r="B278" t="str">
            <v>Outside Repairs</v>
          </cell>
          <cell r="E278">
            <v>2520.1099999999997</v>
          </cell>
          <cell r="F278">
            <v>148.44</v>
          </cell>
          <cell r="G278">
            <v>4753.75</v>
          </cell>
          <cell r="H278">
            <v>2049.4</v>
          </cell>
          <cell r="I278">
            <v>568.04999999999995</v>
          </cell>
          <cell r="J278">
            <v>4319.34</v>
          </cell>
          <cell r="K278">
            <v>3088.65</v>
          </cell>
          <cell r="L278">
            <v>4131.92</v>
          </cell>
          <cell r="M278">
            <v>939.12</v>
          </cell>
          <cell r="N278">
            <v>4227.5600000000004</v>
          </cell>
          <cell r="O278">
            <v>38.909999999999997</v>
          </cell>
          <cell r="P278">
            <v>448.88</v>
          </cell>
          <cell r="Q278">
            <v>27234.129999999997</v>
          </cell>
        </row>
        <row r="279">
          <cell r="A279">
            <v>52148</v>
          </cell>
          <cell r="B279" t="str">
            <v>Allocated Exp In - District</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A280">
            <v>52149</v>
          </cell>
          <cell r="B280" t="str">
            <v>Allocated Exp In Out - District</v>
          </cell>
          <cell r="E280">
            <v>0</v>
          </cell>
          <cell r="F280">
            <v>0</v>
          </cell>
          <cell r="G280">
            <v>0</v>
          </cell>
          <cell r="H280">
            <v>0</v>
          </cell>
          <cell r="I280">
            <v>0</v>
          </cell>
          <cell r="J280">
            <v>0</v>
          </cell>
          <cell r="K280">
            <v>0</v>
          </cell>
          <cell r="L280">
            <v>0</v>
          </cell>
          <cell r="M280">
            <v>0</v>
          </cell>
          <cell r="N280">
            <v>0</v>
          </cell>
          <cell r="O280">
            <v>0</v>
          </cell>
          <cell r="P280">
            <v>0</v>
          </cell>
          <cell r="Q280">
            <v>0</v>
          </cell>
        </row>
        <row r="281">
          <cell r="A281">
            <v>52150</v>
          </cell>
          <cell r="B281" t="str">
            <v>Utilities</v>
          </cell>
          <cell r="E281">
            <v>1060.3800000000001</v>
          </cell>
          <cell r="F281">
            <v>764.22</v>
          </cell>
          <cell r="G281">
            <v>713.08</v>
          </cell>
          <cell r="H281">
            <v>617.6</v>
          </cell>
          <cell r="I281">
            <v>412.22</v>
          </cell>
          <cell r="J281">
            <v>355.41</v>
          </cell>
          <cell r="K281">
            <v>1187.46</v>
          </cell>
          <cell r="L281">
            <v>314.74</v>
          </cell>
          <cell r="M281">
            <v>291.92</v>
          </cell>
          <cell r="N281">
            <v>296.52999999999997</v>
          </cell>
          <cell r="O281">
            <v>545.01</v>
          </cell>
          <cell r="P281">
            <v>997.3</v>
          </cell>
          <cell r="Q281">
            <v>7555.87</v>
          </cell>
        </row>
        <row r="282">
          <cell r="A282">
            <v>52165</v>
          </cell>
          <cell r="B282" t="str">
            <v>Communications</v>
          </cell>
          <cell r="E282">
            <v>497.52</v>
          </cell>
          <cell r="F282">
            <v>509.58</v>
          </cell>
          <cell r="G282">
            <v>521.71</v>
          </cell>
          <cell r="H282">
            <v>497.47</v>
          </cell>
          <cell r="I282">
            <v>622.69000000000005</v>
          </cell>
          <cell r="J282">
            <v>534.09</v>
          </cell>
          <cell r="K282">
            <v>-388.32</v>
          </cell>
          <cell r="L282">
            <v>662.93</v>
          </cell>
          <cell r="M282">
            <v>678.76</v>
          </cell>
          <cell r="N282">
            <v>509.78</v>
          </cell>
          <cell r="O282">
            <v>678.67</v>
          </cell>
          <cell r="P282">
            <v>546.71</v>
          </cell>
          <cell r="Q282">
            <v>5871.59</v>
          </cell>
        </row>
        <row r="283">
          <cell r="A283">
            <v>52170</v>
          </cell>
          <cell r="B283" t="str">
            <v>Real Estate Rentals</v>
          </cell>
          <cell r="E283">
            <v>0</v>
          </cell>
          <cell r="F283">
            <v>0</v>
          </cell>
          <cell r="G283">
            <v>0</v>
          </cell>
          <cell r="H283">
            <v>0</v>
          </cell>
          <cell r="I283">
            <v>0</v>
          </cell>
          <cell r="J283">
            <v>0</v>
          </cell>
          <cell r="K283">
            <v>0</v>
          </cell>
          <cell r="L283">
            <v>0</v>
          </cell>
          <cell r="M283">
            <v>0</v>
          </cell>
          <cell r="N283">
            <v>0</v>
          </cell>
          <cell r="O283">
            <v>0</v>
          </cell>
          <cell r="P283">
            <v>0</v>
          </cell>
          <cell r="Q283">
            <v>0</v>
          </cell>
        </row>
        <row r="284">
          <cell r="A284">
            <v>52172</v>
          </cell>
          <cell r="B284" t="str">
            <v>Chassis Lease Expense</v>
          </cell>
          <cell r="E284">
            <v>0</v>
          </cell>
          <cell r="F284">
            <v>0</v>
          </cell>
          <cell r="G284">
            <v>0</v>
          </cell>
          <cell r="H284">
            <v>0</v>
          </cell>
          <cell r="I284">
            <v>0</v>
          </cell>
          <cell r="J284">
            <v>0</v>
          </cell>
          <cell r="K284">
            <v>0</v>
          </cell>
          <cell r="L284">
            <v>0</v>
          </cell>
          <cell r="M284">
            <v>0</v>
          </cell>
          <cell r="N284">
            <v>0</v>
          </cell>
          <cell r="O284">
            <v>0</v>
          </cell>
          <cell r="P284">
            <v>0</v>
          </cell>
          <cell r="Q284">
            <v>0</v>
          </cell>
        </row>
        <row r="285">
          <cell r="A285">
            <v>52175</v>
          </cell>
          <cell r="B285" t="str">
            <v>Equip/Vehicle Rental</v>
          </cell>
          <cell r="E285">
            <v>0</v>
          </cell>
          <cell r="F285">
            <v>0</v>
          </cell>
          <cell r="G285">
            <v>0</v>
          </cell>
          <cell r="H285">
            <v>0</v>
          </cell>
          <cell r="I285">
            <v>0</v>
          </cell>
          <cell r="J285">
            <v>0</v>
          </cell>
          <cell r="K285">
            <v>0</v>
          </cell>
          <cell r="L285">
            <v>0</v>
          </cell>
          <cell r="M285">
            <v>0</v>
          </cell>
          <cell r="N285">
            <v>0</v>
          </cell>
          <cell r="O285">
            <v>0</v>
          </cell>
          <cell r="P285">
            <v>0</v>
          </cell>
          <cell r="Q285">
            <v>0</v>
          </cell>
        </row>
        <row r="286">
          <cell r="A286">
            <v>52181</v>
          </cell>
          <cell r="B286" t="str">
            <v>Freight</v>
          </cell>
          <cell r="E286">
            <v>0</v>
          </cell>
          <cell r="F286">
            <v>0</v>
          </cell>
          <cell r="G286">
            <v>0</v>
          </cell>
          <cell r="H286">
            <v>0</v>
          </cell>
          <cell r="I286">
            <v>0</v>
          </cell>
          <cell r="J286">
            <v>0</v>
          </cell>
          <cell r="K286">
            <v>0</v>
          </cell>
          <cell r="L286">
            <v>0</v>
          </cell>
          <cell r="M286">
            <v>0</v>
          </cell>
          <cell r="N286">
            <v>0</v>
          </cell>
          <cell r="O286">
            <v>0</v>
          </cell>
          <cell r="P286">
            <v>0</v>
          </cell>
          <cell r="Q286">
            <v>0</v>
          </cell>
        </row>
        <row r="287">
          <cell r="A287">
            <v>52182</v>
          </cell>
          <cell r="B287" t="str">
            <v>Towing Expense</v>
          </cell>
          <cell r="E287">
            <v>243.9</v>
          </cell>
          <cell r="F287">
            <v>678.32</v>
          </cell>
          <cell r="G287">
            <v>518.41999999999996</v>
          </cell>
          <cell r="H287">
            <v>0</v>
          </cell>
          <cell r="I287">
            <v>0</v>
          </cell>
          <cell r="J287">
            <v>271</v>
          </cell>
          <cell r="K287">
            <v>0</v>
          </cell>
          <cell r="L287">
            <v>211.38</v>
          </cell>
          <cell r="M287">
            <v>563.67999999999995</v>
          </cell>
          <cell r="N287">
            <v>0</v>
          </cell>
          <cell r="O287">
            <v>0</v>
          </cell>
          <cell r="P287">
            <v>243.9</v>
          </cell>
          <cell r="Q287">
            <v>2730.6</v>
          </cell>
        </row>
        <row r="288">
          <cell r="A288">
            <v>52185</v>
          </cell>
          <cell r="B288" t="str">
            <v>Travel</v>
          </cell>
          <cell r="E288">
            <v>0</v>
          </cell>
          <cell r="F288">
            <v>0</v>
          </cell>
          <cell r="G288">
            <v>0</v>
          </cell>
          <cell r="H288">
            <v>0</v>
          </cell>
          <cell r="I288">
            <v>0</v>
          </cell>
          <cell r="J288">
            <v>0</v>
          </cell>
          <cell r="K288">
            <v>0</v>
          </cell>
          <cell r="L288">
            <v>0</v>
          </cell>
          <cell r="M288">
            <v>0</v>
          </cell>
          <cell r="N288">
            <v>397.98</v>
          </cell>
          <cell r="O288">
            <v>-397.98</v>
          </cell>
          <cell r="P288">
            <v>0</v>
          </cell>
          <cell r="Q288">
            <v>0</v>
          </cell>
        </row>
        <row r="289">
          <cell r="A289">
            <v>52200</v>
          </cell>
          <cell r="B289" t="str">
            <v>Office Supply and Equip</v>
          </cell>
          <cell r="E289">
            <v>100.76</v>
          </cell>
          <cell r="F289">
            <v>168.31</v>
          </cell>
          <cell r="G289">
            <v>81.760000000000005</v>
          </cell>
          <cell r="H289">
            <v>538.53</v>
          </cell>
          <cell r="I289">
            <v>50.95</v>
          </cell>
          <cell r="J289">
            <v>51.81</v>
          </cell>
          <cell r="K289">
            <v>0</v>
          </cell>
          <cell r="L289">
            <v>226.01</v>
          </cell>
          <cell r="M289">
            <v>51.5</v>
          </cell>
          <cell r="N289">
            <v>0</v>
          </cell>
          <cell r="O289">
            <v>556.91</v>
          </cell>
          <cell r="P289">
            <v>324.24</v>
          </cell>
          <cell r="Q289">
            <v>2150.7799999999997</v>
          </cell>
        </row>
        <row r="290">
          <cell r="A290">
            <v>52275</v>
          </cell>
          <cell r="B290" t="str">
            <v>Property Taxes</v>
          </cell>
          <cell r="E290">
            <v>0</v>
          </cell>
          <cell r="F290">
            <v>0</v>
          </cell>
          <cell r="G290">
            <v>0</v>
          </cell>
          <cell r="H290">
            <v>0</v>
          </cell>
          <cell r="I290">
            <v>0</v>
          </cell>
          <cell r="J290">
            <v>0</v>
          </cell>
          <cell r="K290">
            <v>0</v>
          </cell>
          <cell r="L290">
            <v>0</v>
          </cell>
          <cell r="M290">
            <v>0</v>
          </cell>
          <cell r="N290">
            <v>0</v>
          </cell>
          <cell r="O290">
            <v>0</v>
          </cell>
          <cell r="P290">
            <v>0</v>
          </cell>
          <cell r="Q290">
            <v>0</v>
          </cell>
        </row>
        <row r="291">
          <cell r="A291">
            <v>52335</v>
          </cell>
          <cell r="B291" t="str">
            <v>Miscellaneous</v>
          </cell>
          <cell r="E291">
            <v>9</v>
          </cell>
          <cell r="F291">
            <v>0</v>
          </cell>
          <cell r="G291">
            <v>4.5</v>
          </cell>
          <cell r="H291">
            <v>0</v>
          </cell>
          <cell r="I291">
            <v>0</v>
          </cell>
          <cell r="J291">
            <v>0</v>
          </cell>
          <cell r="K291">
            <v>0</v>
          </cell>
          <cell r="L291">
            <v>0</v>
          </cell>
          <cell r="M291">
            <v>0</v>
          </cell>
          <cell r="N291">
            <v>0</v>
          </cell>
          <cell r="O291">
            <v>0</v>
          </cell>
          <cell r="P291">
            <v>0</v>
          </cell>
          <cell r="Q291">
            <v>13.5</v>
          </cell>
        </row>
        <row r="292">
          <cell r="A292">
            <v>52900</v>
          </cell>
          <cell r="B292" t="str">
            <v>Capitalized Costs</v>
          </cell>
          <cell r="E292">
            <v>0</v>
          </cell>
          <cell r="F292">
            <v>0</v>
          </cell>
          <cell r="G292">
            <v>0</v>
          </cell>
          <cell r="H292">
            <v>0</v>
          </cell>
          <cell r="I292">
            <v>0</v>
          </cell>
          <cell r="J292">
            <v>0</v>
          </cell>
          <cell r="K292">
            <v>0</v>
          </cell>
          <cell r="L292">
            <v>0</v>
          </cell>
          <cell r="M292">
            <v>0</v>
          </cell>
          <cell r="N292">
            <v>0</v>
          </cell>
          <cell r="O292">
            <v>0</v>
          </cell>
          <cell r="P292">
            <v>0</v>
          </cell>
          <cell r="Q292">
            <v>0</v>
          </cell>
        </row>
        <row r="293">
          <cell r="A293">
            <v>52901</v>
          </cell>
          <cell r="B293" t="str">
            <v>Costs Awaiting Capitilization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A294">
            <v>52998</v>
          </cell>
          <cell r="B294" t="str">
            <v>Allocation Out - District</v>
          </cell>
          <cell r="E294">
            <v>0</v>
          </cell>
          <cell r="F294">
            <v>0</v>
          </cell>
          <cell r="G294">
            <v>0</v>
          </cell>
          <cell r="H294">
            <v>0</v>
          </cell>
          <cell r="I294">
            <v>0</v>
          </cell>
          <cell r="J294">
            <v>0</v>
          </cell>
          <cell r="K294">
            <v>0</v>
          </cell>
          <cell r="L294">
            <v>0</v>
          </cell>
          <cell r="M294">
            <v>0</v>
          </cell>
          <cell r="N294">
            <v>0</v>
          </cell>
          <cell r="O294">
            <v>0</v>
          </cell>
          <cell r="P294">
            <v>0</v>
          </cell>
          <cell r="Q294">
            <v>0</v>
          </cell>
        </row>
        <row r="295">
          <cell r="A295">
            <v>52999</v>
          </cell>
          <cell r="B295" t="str">
            <v>Allocation Out - Out District</v>
          </cell>
          <cell r="E295">
            <v>0</v>
          </cell>
          <cell r="F295">
            <v>0</v>
          </cell>
          <cell r="G295">
            <v>0</v>
          </cell>
          <cell r="H295">
            <v>0</v>
          </cell>
          <cell r="I295">
            <v>0</v>
          </cell>
          <cell r="J295">
            <v>0</v>
          </cell>
          <cell r="K295">
            <v>0</v>
          </cell>
          <cell r="L295">
            <v>0</v>
          </cell>
          <cell r="M295">
            <v>0</v>
          </cell>
          <cell r="N295">
            <v>0</v>
          </cell>
          <cell r="O295">
            <v>0</v>
          </cell>
          <cell r="P295">
            <v>0</v>
          </cell>
          <cell r="Q295">
            <v>0</v>
          </cell>
        </row>
        <row r="296">
          <cell r="A296" t="str">
            <v>Total Truck Variable</v>
          </cell>
          <cell r="E296">
            <v>126472.12</v>
          </cell>
          <cell r="F296">
            <v>122567.03000000001</v>
          </cell>
          <cell r="G296">
            <v>139178.57</v>
          </cell>
          <cell r="H296">
            <v>151762.04999999999</v>
          </cell>
          <cell r="I296">
            <v>127181.98000000001</v>
          </cell>
          <cell r="J296">
            <v>125282.85</v>
          </cell>
          <cell r="K296">
            <v>127964.48999999999</v>
          </cell>
          <cell r="L296">
            <v>128791.74</v>
          </cell>
          <cell r="M296">
            <v>125167.81</v>
          </cell>
          <cell r="N296">
            <v>121736.34</v>
          </cell>
          <cell r="O296">
            <v>127259.88000000002</v>
          </cell>
          <cell r="P296">
            <v>136649.02999999997</v>
          </cell>
          <cell r="Q296">
            <v>1560013.8900000001</v>
          </cell>
        </row>
        <row r="298">
          <cell r="A298" t="str">
            <v>Container</v>
          </cell>
        </row>
        <row r="299">
          <cell r="A299">
            <v>54148</v>
          </cell>
          <cell r="B299" t="str">
            <v>Allocation In - District</v>
          </cell>
          <cell r="E299">
            <v>0</v>
          </cell>
          <cell r="F299">
            <v>0</v>
          </cell>
          <cell r="G299">
            <v>0</v>
          </cell>
          <cell r="H299">
            <v>0</v>
          </cell>
          <cell r="I299">
            <v>0</v>
          </cell>
          <cell r="J299">
            <v>0</v>
          </cell>
          <cell r="K299">
            <v>0</v>
          </cell>
          <cell r="L299">
            <v>0</v>
          </cell>
          <cell r="M299">
            <v>0</v>
          </cell>
          <cell r="N299">
            <v>0</v>
          </cell>
          <cell r="O299">
            <v>0</v>
          </cell>
          <cell r="P299">
            <v>0</v>
          </cell>
          <cell r="Q299">
            <v>0</v>
          </cell>
        </row>
        <row r="300">
          <cell r="A300">
            <v>54149</v>
          </cell>
          <cell r="B300" t="str">
            <v>Allocation In - Out District</v>
          </cell>
          <cell r="E300">
            <v>0</v>
          </cell>
          <cell r="F300">
            <v>0</v>
          </cell>
          <cell r="G300">
            <v>0</v>
          </cell>
          <cell r="H300">
            <v>0</v>
          </cell>
          <cell r="I300">
            <v>0</v>
          </cell>
          <cell r="J300">
            <v>0</v>
          </cell>
          <cell r="K300">
            <v>0</v>
          </cell>
          <cell r="L300">
            <v>0</v>
          </cell>
          <cell r="M300">
            <v>0</v>
          </cell>
          <cell r="N300">
            <v>0</v>
          </cell>
          <cell r="O300">
            <v>0</v>
          </cell>
          <cell r="P300">
            <v>0</v>
          </cell>
          <cell r="Q300">
            <v>0</v>
          </cell>
        </row>
        <row r="301">
          <cell r="A301">
            <v>54175</v>
          </cell>
          <cell r="B301" t="str">
            <v>Equipment/Vehicle Rental</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v>54275</v>
          </cell>
          <cell r="B302" t="str">
            <v>Property Taxes</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v>54335</v>
          </cell>
          <cell r="B303" t="str">
            <v>Miscellaneous</v>
          </cell>
          <cell r="E303">
            <v>0</v>
          </cell>
          <cell r="F303">
            <v>0</v>
          </cell>
          <cell r="G303">
            <v>0</v>
          </cell>
          <cell r="H303">
            <v>0</v>
          </cell>
          <cell r="I303">
            <v>0</v>
          </cell>
          <cell r="J303">
            <v>0</v>
          </cell>
          <cell r="K303">
            <v>0</v>
          </cell>
          <cell r="L303">
            <v>0</v>
          </cell>
          <cell r="M303">
            <v>0</v>
          </cell>
          <cell r="N303">
            <v>0</v>
          </cell>
          <cell r="O303">
            <v>0</v>
          </cell>
          <cell r="P303">
            <v>0</v>
          </cell>
          <cell r="Q303">
            <v>0</v>
          </cell>
        </row>
        <row r="304">
          <cell r="A304">
            <v>54998</v>
          </cell>
          <cell r="B304" t="str">
            <v>Allocation Out - District</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A305">
            <v>54999</v>
          </cell>
          <cell r="B305" t="str">
            <v>Allocation Out - Out District</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v>55010</v>
          </cell>
          <cell r="B306" t="str">
            <v>Salaries</v>
          </cell>
          <cell r="E306">
            <v>0</v>
          </cell>
          <cell r="F306">
            <v>0</v>
          </cell>
          <cell r="G306">
            <v>0</v>
          </cell>
          <cell r="H306">
            <v>0</v>
          </cell>
          <cell r="I306">
            <v>0</v>
          </cell>
          <cell r="J306">
            <v>0</v>
          </cell>
          <cell r="K306">
            <v>0</v>
          </cell>
          <cell r="L306">
            <v>0</v>
          </cell>
          <cell r="M306">
            <v>0</v>
          </cell>
          <cell r="N306">
            <v>0</v>
          </cell>
          <cell r="O306">
            <v>0</v>
          </cell>
          <cell r="P306">
            <v>0</v>
          </cell>
          <cell r="Q306">
            <v>0</v>
          </cell>
        </row>
        <row r="307">
          <cell r="A307">
            <v>55020</v>
          </cell>
          <cell r="B307" t="str">
            <v>Wages Regular</v>
          </cell>
          <cell r="E307">
            <v>10121.69</v>
          </cell>
          <cell r="F307">
            <v>8242.4699999999993</v>
          </cell>
          <cell r="G307">
            <v>12061.67</v>
          </cell>
          <cell r="H307">
            <v>10915.7</v>
          </cell>
          <cell r="I307">
            <v>8008.44</v>
          </cell>
          <cell r="J307">
            <v>8531.7900000000009</v>
          </cell>
          <cell r="K307">
            <v>9525.08</v>
          </cell>
          <cell r="L307">
            <v>11641.49</v>
          </cell>
          <cell r="M307">
            <v>9358.9</v>
          </cell>
          <cell r="N307">
            <v>9463.3700000000008</v>
          </cell>
          <cell r="O307">
            <v>10355.24</v>
          </cell>
          <cell r="P307">
            <v>9802.01</v>
          </cell>
          <cell r="Q307">
            <v>118027.84999999999</v>
          </cell>
        </row>
        <row r="308">
          <cell r="A308">
            <v>55025</v>
          </cell>
          <cell r="B308" t="str">
            <v>Wages O.T.</v>
          </cell>
          <cell r="E308">
            <v>636.62</v>
          </cell>
          <cell r="F308">
            <v>425.9</v>
          </cell>
          <cell r="G308">
            <v>278.45999999999998</v>
          </cell>
          <cell r="H308">
            <v>1269.6099999999999</v>
          </cell>
          <cell r="I308">
            <v>580.07000000000005</v>
          </cell>
          <cell r="J308">
            <v>803.54</v>
          </cell>
          <cell r="K308">
            <v>467.98</v>
          </cell>
          <cell r="L308">
            <v>832.02</v>
          </cell>
          <cell r="M308">
            <v>17.989999999999998</v>
          </cell>
          <cell r="N308">
            <v>412.16</v>
          </cell>
          <cell r="O308">
            <v>650.38</v>
          </cell>
          <cell r="P308">
            <v>65.599999999999994</v>
          </cell>
          <cell r="Q308">
            <v>6440.3300000000008</v>
          </cell>
        </row>
        <row r="309">
          <cell r="A309">
            <v>55035</v>
          </cell>
          <cell r="B309" t="str">
            <v>Safety Bonuses</v>
          </cell>
          <cell r="E309">
            <v>0</v>
          </cell>
          <cell r="F309">
            <v>0</v>
          </cell>
          <cell r="G309">
            <v>0</v>
          </cell>
          <cell r="H309">
            <v>0</v>
          </cell>
          <cell r="I309">
            <v>0</v>
          </cell>
          <cell r="J309">
            <v>0</v>
          </cell>
          <cell r="K309">
            <v>0</v>
          </cell>
          <cell r="L309">
            <v>0</v>
          </cell>
          <cell r="M309">
            <v>0</v>
          </cell>
          <cell r="N309">
            <v>0</v>
          </cell>
          <cell r="O309">
            <v>0</v>
          </cell>
          <cell r="P309">
            <v>0</v>
          </cell>
          <cell r="Q309">
            <v>0</v>
          </cell>
        </row>
        <row r="310">
          <cell r="A310">
            <v>55036</v>
          </cell>
          <cell r="B310" t="str">
            <v>Other Bonus/Commission - Non-Safety</v>
          </cell>
          <cell r="E310">
            <v>0</v>
          </cell>
          <cell r="F310">
            <v>0</v>
          </cell>
          <cell r="G310">
            <v>0</v>
          </cell>
          <cell r="H310">
            <v>0</v>
          </cell>
          <cell r="I310">
            <v>0</v>
          </cell>
          <cell r="J310">
            <v>0</v>
          </cell>
          <cell r="K310">
            <v>0</v>
          </cell>
          <cell r="L310">
            <v>0</v>
          </cell>
          <cell r="M310">
            <v>0</v>
          </cell>
          <cell r="N310">
            <v>0</v>
          </cell>
          <cell r="O310">
            <v>0</v>
          </cell>
          <cell r="P310">
            <v>0</v>
          </cell>
          <cell r="Q310">
            <v>0</v>
          </cell>
        </row>
        <row r="311">
          <cell r="A311">
            <v>55045</v>
          </cell>
          <cell r="B311" t="str">
            <v>Contract Labor</v>
          </cell>
          <cell r="E311">
            <v>0</v>
          </cell>
          <cell r="F311">
            <v>0</v>
          </cell>
          <cell r="G311">
            <v>0</v>
          </cell>
          <cell r="H311">
            <v>0</v>
          </cell>
          <cell r="I311">
            <v>0</v>
          </cell>
          <cell r="J311">
            <v>0</v>
          </cell>
          <cell r="K311">
            <v>0</v>
          </cell>
          <cell r="L311">
            <v>0</v>
          </cell>
          <cell r="M311">
            <v>0</v>
          </cell>
          <cell r="N311">
            <v>0</v>
          </cell>
          <cell r="O311">
            <v>0</v>
          </cell>
          <cell r="P311">
            <v>0</v>
          </cell>
          <cell r="Q311">
            <v>0</v>
          </cell>
        </row>
        <row r="312">
          <cell r="A312">
            <v>55050</v>
          </cell>
          <cell r="B312" t="str">
            <v>Payroll Taxes</v>
          </cell>
          <cell r="E312">
            <v>1302.32</v>
          </cell>
          <cell r="F312">
            <v>934.4</v>
          </cell>
          <cell r="G312">
            <v>1150.47</v>
          </cell>
          <cell r="H312">
            <v>1167.9000000000001</v>
          </cell>
          <cell r="I312">
            <v>860.19</v>
          </cell>
          <cell r="J312">
            <v>884.97</v>
          </cell>
          <cell r="K312">
            <v>1058.24</v>
          </cell>
          <cell r="L312">
            <v>1180.19</v>
          </cell>
          <cell r="M312">
            <v>1055.3399999999999</v>
          </cell>
          <cell r="N312">
            <v>1038.93</v>
          </cell>
          <cell r="O312">
            <v>1185.43</v>
          </cell>
          <cell r="P312">
            <v>525.12</v>
          </cell>
          <cell r="Q312">
            <v>12343.500000000002</v>
          </cell>
        </row>
        <row r="313">
          <cell r="A313">
            <v>55060</v>
          </cell>
          <cell r="B313" t="str">
            <v>Group Insurance</v>
          </cell>
          <cell r="E313">
            <v>2215</v>
          </cell>
          <cell r="F313">
            <v>2215</v>
          </cell>
          <cell r="G313">
            <v>1935</v>
          </cell>
          <cell r="H313">
            <v>2495</v>
          </cell>
          <cell r="I313">
            <v>2215</v>
          </cell>
          <cell r="J313">
            <v>1919</v>
          </cell>
          <cell r="K313">
            <v>1919</v>
          </cell>
          <cell r="L313">
            <v>1919</v>
          </cell>
          <cell r="M313">
            <v>1691</v>
          </cell>
          <cell r="N313">
            <v>2147</v>
          </cell>
          <cell r="O313">
            <v>1711</v>
          </cell>
          <cell r="P313">
            <v>2215</v>
          </cell>
          <cell r="Q313">
            <v>24596</v>
          </cell>
        </row>
        <row r="314">
          <cell r="A314">
            <v>55065</v>
          </cell>
          <cell r="B314" t="str">
            <v>Vacation Pay</v>
          </cell>
          <cell r="E314">
            <v>303.81</v>
          </cell>
          <cell r="F314">
            <v>1016.29</v>
          </cell>
          <cell r="G314">
            <v>-198.06</v>
          </cell>
          <cell r="H314">
            <v>1145.3599999999999</v>
          </cell>
          <cell r="I314">
            <v>1042.8699999999999</v>
          </cell>
          <cell r="J314">
            <v>-719.54</v>
          </cell>
          <cell r="K314">
            <v>1222.3399999999999</v>
          </cell>
          <cell r="L314">
            <v>925.15</v>
          </cell>
          <cell r="M314">
            <v>1907.53</v>
          </cell>
          <cell r="N314">
            <v>789.75</v>
          </cell>
          <cell r="O314">
            <v>394.38</v>
          </cell>
          <cell r="P314">
            <v>930.27</v>
          </cell>
          <cell r="Q314">
            <v>8760.15</v>
          </cell>
        </row>
        <row r="315">
          <cell r="A315">
            <v>55070</v>
          </cell>
          <cell r="B315" t="str">
            <v>Sick Pay</v>
          </cell>
          <cell r="E315">
            <v>255.74</v>
          </cell>
          <cell r="F315">
            <v>163.92</v>
          </cell>
          <cell r="G315">
            <v>253.25</v>
          </cell>
          <cell r="H315">
            <v>-42.31</v>
          </cell>
          <cell r="I315">
            <v>0</v>
          </cell>
          <cell r="J315">
            <v>317.39999999999998</v>
          </cell>
          <cell r="K315">
            <v>165.6</v>
          </cell>
          <cell r="L315">
            <v>-138</v>
          </cell>
          <cell r="M315">
            <v>138</v>
          </cell>
          <cell r="N315">
            <v>216.36</v>
          </cell>
          <cell r="O315">
            <v>0</v>
          </cell>
          <cell r="P315">
            <v>317.60000000000002</v>
          </cell>
          <cell r="Q315">
            <v>1647.56</v>
          </cell>
        </row>
        <row r="316">
          <cell r="A316">
            <v>55086</v>
          </cell>
          <cell r="B316" t="str">
            <v>Safety and Training</v>
          </cell>
          <cell r="E316">
            <v>0</v>
          </cell>
          <cell r="F316">
            <v>0</v>
          </cell>
          <cell r="G316">
            <v>0</v>
          </cell>
          <cell r="H316">
            <v>34.299999999999997</v>
          </cell>
          <cell r="I316">
            <v>29.01</v>
          </cell>
          <cell r="J316">
            <v>0</v>
          </cell>
          <cell r="K316">
            <v>0</v>
          </cell>
          <cell r="L316">
            <v>1292.83</v>
          </cell>
          <cell r="M316">
            <v>425.23</v>
          </cell>
          <cell r="N316">
            <v>50</v>
          </cell>
          <cell r="O316">
            <v>0</v>
          </cell>
          <cell r="P316">
            <v>0</v>
          </cell>
          <cell r="Q316">
            <v>1831.37</v>
          </cell>
        </row>
        <row r="317">
          <cell r="A317">
            <v>55090</v>
          </cell>
          <cell r="B317" t="str">
            <v>Uniforms</v>
          </cell>
          <cell r="E317">
            <v>711.08</v>
          </cell>
          <cell r="F317">
            <v>516.91999999999996</v>
          </cell>
          <cell r="G317">
            <v>548.66</v>
          </cell>
          <cell r="H317">
            <v>420.37</v>
          </cell>
          <cell r="I317">
            <v>237.53</v>
          </cell>
          <cell r="J317">
            <v>620.41999999999996</v>
          </cell>
          <cell r="K317">
            <v>488.2</v>
          </cell>
          <cell r="L317">
            <v>1071.5999999999999</v>
          </cell>
          <cell r="M317">
            <v>360.8</v>
          </cell>
          <cell r="N317">
            <v>378.21</v>
          </cell>
          <cell r="O317">
            <v>414.33</v>
          </cell>
          <cell r="P317">
            <v>378.31</v>
          </cell>
          <cell r="Q317">
            <v>6146.43</v>
          </cell>
        </row>
        <row r="318">
          <cell r="A318">
            <v>55115</v>
          </cell>
          <cell r="B318" t="str">
            <v>Pension and Profit Sharing</v>
          </cell>
          <cell r="E318">
            <v>75.61</v>
          </cell>
          <cell r="F318">
            <v>80.2</v>
          </cell>
          <cell r="G318">
            <v>115.17</v>
          </cell>
          <cell r="H318">
            <v>81.77</v>
          </cell>
          <cell r="I318">
            <v>90.46</v>
          </cell>
          <cell r="J318">
            <v>86.97</v>
          </cell>
          <cell r="K318">
            <v>86.46</v>
          </cell>
          <cell r="L318">
            <v>85.09</v>
          </cell>
          <cell r="M318">
            <v>75.69</v>
          </cell>
          <cell r="N318">
            <v>120.4</v>
          </cell>
          <cell r="O318">
            <v>78.64</v>
          </cell>
          <cell r="P318">
            <v>73.08</v>
          </cell>
          <cell r="Q318">
            <v>1049.54</v>
          </cell>
        </row>
        <row r="319">
          <cell r="A319">
            <v>55116</v>
          </cell>
          <cell r="B319" t="str">
            <v>Union Benefit Expense</v>
          </cell>
          <cell r="E319">
            <v>0</v>
          </cell>
          <cell r="F319">
            <v>0</v>
          </cell>
          <cell r="G319">
            <v>0</v>
          </cell>
          <cell r="H319">
            <v>0</v>
          </cell>
          <cell r="I319">
            <v>0</v>
          </cell>
          <cell r="J319">
            <v>0</v>
          </cell>
          <cell r="K319">
            <v>0</v>
          </cell>
          <cell r="L319">
            <v>0</v>
          </cell>
          <cell r="M319">
            <v>0</v>
          </cell>
          <cell r="N319">
            <v>0</v>
          </cell>
          <cell r="O319">
            <v>0</v>
          </cell>
          <cell r="P319">
            <v>0</v>
          </cell>
          <cell r="Q319">
            <v>0</v>
          </cell>
        </row>
        <row r="320">
          <cell r="A320">
            <v>55117</v>
          </cell>
          <cell r="B320" t="str">
            <v>Union Pension</v>
          </cell>
          <cell r="E320">
            <v>0</v>
          </cell>
          <cell r="F320">
            <v>0</v>
          </cell>
          <cell r="G320">
            <v>0</v>
          </cell>
          <cell r="H320">
            <v>0</v>
          </cell>
          <cell r="I320">
            <v>0</v>
          </cell>
          <cell r="J320">
            <v>0</v>
          </cell>
          <cell r="K320">
            <v>0</v>
          </cell>
          <cell r="L320">
            <v>0</v>
          </cell>
          <cell r="M320">
            <v>0</v>
          </cell>
          <cell r="N320">
            <v>0</v>
          </cell>
          <cell r="O320">
            <v>0</v>
          </cell>
          <cell r="P320">
            <v>0</v>
          </cell>
          <cell r="Q320">
            <v>0</v>
          </cell>
        </row>
        <row r="321">
          <cell r="A321">
            <v>55120</v>
          </cell>
          <cell r="B321" t="str">
            <v>Parts and Materials</v>
          </cell>
          <cell r="E321">
            <v>6822.4</v>
          </cell>
          <cell r="F321">
            <v>7408.98</v>
          </cell>
          <cell r="G321">
            <v>6676.59</v>
          </cell>
          <cell r="H321">
            <v>10883.54</v>
          </cell>
          <cell r="I321">
            <v>6756.74</v>
          </cell>
          <cell r="J321">
            <v>6992.66</v>
          </cell>
          <cell r="K321">
            <v>7598.15</v>
          </cell>
          <cell r="L321">
            <v>6124.07</v>
          </cell>
          <cell r="M321">
            <v>6075.32</v>
          </cell>
          <cell r="N321">
            <v>1985.95</v>
          </cell>
          <cell r="O321">
            <v>4110.71</v>
          </cell>
          <cell r="P321">
            <v>5007.25</v>
          </cell>
          <cell r="Q321">
            <v>76442.360000000015</v>
          </cell>
        </row>
        <row r="322">
          <cell r="A322">
            <v>55125</v>
          </cell>
          <cell r="B322" t="str">
            <v>Operating Supplies</v>
          </cell>
          <cell r="E322">
            <v>208.43</v>
          </cell>
          <cell r="F322">
            <v>96</v>
          </cell>
          <cell r="G322">
            <v>0</v>
          </cell>
          <cell r="H322">
            <v>269.91000000000003</v>
          </cell>
          <cell r="I322">
            <v>134.9</v>
          </cell>
          <cell r="J322">
            <v>0</v>
          </cell>
          <cell r="K322">
            <v>0</v>
          </cell>
          <cell r="L322">
            <v>242.16</v>
          </cell>
          <cell r="M322">
            <v>0</v>
          </cell>
          <cell r="N322">
            <v>0</v>
          </cell>
          <cell r="O322">
            <v>0</v>
          </cell>
          <cell r="P322">
            <v>0</v>
          </cell>
          <cell r="Q322">
            <v>951.4</v>
          </cell>
        </row>
        <row r="323">
          <cell r="A323">
            <v>55135</v>
          </cell>
          <cell r="B323" t="str">
            <v>Equipment and Maint Repair</v>
          </cell>
          <cell r="E323">
            <v>0</v>
          </cell>
          <cell r="F323">
            <v>107.12</v>
          </cell>
          <cell r="G323">
            <v>103.06</v>
          </cell>
          <cell r="H323">
            <v>127.6</v>
          </cell>
          <cell r="I323">
            <v>177.2</v>
          </cell>
          <cell r="J323">
            <v>0</v>
          </cell>
          <cell r="K323">
            <v>402.9</v>
          </cell>
          <cell r="L323">
            <v>0</v>
          </cell>
          <cell r="M323">
            <v>1045.6400000000001</v>
          </cell>
          <cell r="N323">
            <v>613.79999999999995</v>
          </cell>
          <cell r="O323">
            <v>0.01</v>
          </cell>
          <cell r="P323">
            <v>0</v>
          </cell>
          <cell r="Q323">
            <v>2577.33</v>
          </cell>
        </row>
        <row r="324">
          <cell r="A324">
            <v>55140</v>
          </cell>
          <cell r="B324" t="str">
            <v>Tires</v>
          </cell>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A325">
            <v>55142</v>
          </cell>
          <cell r="B325" t="str">
            <v>Fuel Expense</v>
          </cell>
          <cell r="E325">
            <v>0</v>
          </cell>
          <cell r="F325">
            <v>0</v>
          </cell>
          <cell r="G325">
            <v>0</v>
          </cell>
          <cell r="H325">
            <v>0</v>
          </cell>
          <cell r="I325">
            <v>0</v>
          </cell>
          <cell r="J325">
            <v>0</v>
          </cell>
          <cell r="K325">
            <v>0</v>
          </cell>
          <cell r="L325">
            <v>0</v>
          </cell>
          <cell r="M325">
            <v>0</v>
          </cell>
          <cell r="N325">
            <v>0</v>
          </cell>
          <cell r="O325">
            <v>0</v>
          </cell>
          <cell r="P325">
            <v>0</v>
          </cell>
          <cell r="Q325">
            <v>0</v>
          </cell>
        </row>
        <row r="326">
          <cell r="A326">
            <v>55143</v>
          </cell>
          <cell r="B326" t="str">
            <v>Corporate Medical Waste Supplies</v>
          </cell>
          <cell r="E326">
            <v>0</v>
          </cell>
          <cell r="F326">
            <v>0</v>
          </cell>
          <cell r="G326">
            <v>0</v>
          </cell>
          <cell r="H326">
            <v>0</v>
          </cell>
          <cell r="I326">
            <v>0</v>
          </cell>
          <cell r="J326">
            <v>0</v>
          </cell>
          <cell r="K326">
            <v>0</v>
          </cell>
          <cell r="L326">
            <v>0</v>
          </cell>
          <cell r="M326">
            <v>0</v>
          </cell>
          <cell r="N326">
            <v>0</v>
          </cell>
          <cell r="O326">
            <v>0</v>
          </cell>
          <cell r="P326">
            <v>0</v>
          </cell>
          <cell r="Q326">
            <v>0</v>
          </cell>
        </row>
        <row r="327">
          <cell r="A327">
            <v>55146</v>
          </cell>
          <cell r="B327" t="str">
            <v>Oil and Grease</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A328">
            <v>55147</v>
          </cell>
          <cell r="B328" t="str">
            <v>Outside Repairs</v>
          </cell>
          <cell r="E328">
            <v>0</v>
          </cell>
          <cell r="F328">
            <v>0</v>
          </cell>
          <cell r="G328">
            <v>0</v>
          </cell>
          <cell r="H328">
            <v>0</v>
          </cell>
          <cell r="I328">
            <v>0</v>
          </cell>
          <cell r="J328">
            <v>0</v>
          </cell>
          <cell r="K328">
            <v>0</v>
          </cell>
          <cell r="L328">
            <v>0</v>
          </cell>
          <cell r="M328">
            <v>0</v>
          </cell>
          <cell r="N328">
            <v>0</v>
          </cell>
          <cell r="O328">
            <v>0</v>
          </cell>
          <cell r="P328">
            <v>0</v>
          </cell>
          <cell r="Q328">
            <v>0</v>
          </cell>
        </row>
        <row r="329">
          <cell r="A329">
            <v>55148</v>
          </cell>
          <cell r="B329" t="str">
            <v>Allocated Exp In - District</v>
          </cell>
          <cell r="E329">
            <v>0</v>
          </cell>
          <cell r="F329">
            <v>0</v>
          </cell>
          <cell r="G329">
            <v>0</v>
          </cell>
          <cell r="H329">
            <v>0</v>
          </cell>
          <cell r="I329">
            <v>0</v>
          </cell>
          <cell r="J329">
            <v>0</v>
          </cell>
          <cell r="K329">
            <v>0</v>
          </cell>
          <cell r="L329">
            <v>0</v>
          </cell>
          <cell r="M329">
            <v>0</v>
          </cell>
          <cell r="N329">
            <v>0</v>
          </cell>
          <cell r="O329">
            <v>0</v>
          </cell>
          <cell r="P329">
            <v>0</v>
          </cell>
          <cell r="Q329">
            <v>0</v>
          </cell>
        </row>
        <row r="330">
          <cell r="A330">
            <v>55149</v>
          </cell>
          <cell r="B330" t="str">
            <v>Allocated Exp In Out - District</v>
          </cell>
          <cell r="E330">
            <v>0</v>
          </cell>
          <cell r="F330">
            <v>0</v>
          </cell>
          <cell r="G330">
            <v>0</v>
          </cell>
          <cell r="H330">
            <v>0</v>
          </cell>
          <cell r="I330">
            <v>0</v>
          </cell>
          <cell r="J330">
            <v>0</v>
          </cell>
          <cell r="K330">
            <v>0</v>
          </cell>
          <cell r="L330">
            <v>0</v>
          </cell>
          <cell r="M330">
            <v>0</v>
          </cell>
          <cell r="N330">
            <v>0</v>
          </cell>
          <cell r="O330">
            <v>0</v>
          </cell>
          <cell r="P330">
            <v>0</v>
          </cell>
          <cell r="Q330">
            <v>0</v>
          </cell>
        </row>
        <row r="331">
          <cell r="A331">
            <v>55150</v>
          </cell>
          <cell r="B331" t="str">
            <v>Utilities</v>
          </cell>
          <cell r="E331">
            <v>145.91</v>
          </cell>
          <cell r="F331">
            <v>170</v>
          </cell>
          <cell r="G331">
            <v>160.13999999999999</v>
          </cell>
          <cell r="H331">
            <v>153.57</v>
          </cell>
          <cell r="I331">
            <v>132.77000000000001</v>
          </cell>
          <cell r="J331">
            <v>124.01</v>
          </cell>
          <cell r="K331">
            <v>109.77</v>
          </cell>
          <cell r="L331">
            <v>522.32000000000005</v>
          </cell>
          <cell r="M331">
            <v>123.5</v>
          </cell>
          <cell r="N331">
            <v>114.69</v>
          </cell>
          <cell r="O331">
            <v>122.68</v>
          </cell>
          <cell r="P331">
            <v>122.68</v>
          </cell>
          <cell r="Q331">
            <v>2002.04</v>
          </cell>
        </row>
        <row r="332">
          <cell r="A332">
            <v>55181</v>
          </cell>
          <cell r="B332" t="str">
            <v>Freight</v>
          </cell>
          <cell r="E332">
            <v>0</v>
          </cell>
          <cell r="F332">
            <v>0</v>
          </cell>
          <cell r="G332">
            <v>0</v>
          </cell>
          <cell r="H332">
            <v>0</v>
          </cell>
          <cell r="I332">
            <v>0</v>
          </cell>
          <cell r="J332">
            <v>0</v>
          </cell>
          <cell r="K332">
            <v>0</v>
          </cell>
          <cell r="L332">
            <v>0</v>
          </cell>
          <cell r="M332">
            <v>0</v>
          </cell>
          <cell r="N332">
            <v>0</v>
          </cell>
          <cell r="O332">
            <v>0</v>
          </cell>
          <cell r="P332">
            <v>0</v>
          </cell>
          <cell r="Q332">
            <v>0</v>
          </cell>
        </row>
        <row r="333">
          <cell r="A333">
            <v>55335</v>
          </cell>
          <cell r="B333" t="str">
            <v>Miscellaneous</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v>55900</v>
          </cell>
          <cell r="B334" t="str">
            <v>Capitalized Costs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v>55998</v>
          </cell>
          <cell r="B335" t="str">
            <v>Allocation Out - District</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v>55999</v>
          </cell>
          <cell r="B336" t="str">
            <v>Allocation Out - Out District</v>
          </cell>
          <cell r="E336">
            <v>0</v>
          </cell>
          <cell r="F336">
            <v>0</v>
          </cell>
          <cell r="G336">
            <v>0</v>
          </cell>
          <cell r="H336">
            <v>0</v>
          </cell>
          <cell r="I336">
            <v>0</v>
          </cell>
          <cell r="J336">
            <v>0</v>
          </cell>
          <cell r="K336">
            <v>0</v>
          </cell>
          <cell r="L336">
            <v>0</v>
          </cell>
          <cell r="M336">
            <v>0</v>
          </cell>
          <cell r="N336">
            <v>0</v>
          </cell>
          <cell r="O336">
            <v>0</v>
          </cell>
          <cell r="P336">
            <v>0</v>
          </cell>
          <cell r="Q336">
            <v>0</v>
          </cell>
        </row>
        <row r="337">
          <cell r="A337" t="str">
            <v>Total Container</v>
          </cell>
          <cell r="E337">
            <v>22798.61</v>
          </cell>
          <cell r="F337">
            <v>21377.199999999997</v>
          </cell>
          <cell r="G337">
            <v>23084.41</v>
          </cell>
          <cell r="H337">
            <v>28922.319999999996</v>
          </cell>
          <cell r="I337">
            <v>20265.18</v>
          </cell>
          <cell r="J337">
            <v>19561.219999999998</v>
          </cell>
          <cell r="K337">
            <v>23043.72</v>
          </cell>
          <cell r="L337">
            <v>25697.919999999998</v>
          </cell>
          <cell r="M337">
            <v>22274.94</v>
          </cell>
          <cell r="N337">
            <v>17330.62</v>
          </cell>
          <cell r="O337">
            <v>19022.799999999996</v>
          </cell>
          <cell r="P337">
            <v>19436.920000000002</v>
          </cell>
          <cell r="Q337">
            <v>262815.86</v>
          </cell>
        </row>
        <row r="339">
          <cell r="A339" t="str">
            <v>Supervisor</v>
          </cell>
        </row>
        <row r="340">
          <cell r="A340">
            <v>56010</v>
          </cell>
          <cell r="B340" t="str">
            <v>Salaries</v>
          </cell>
          <cell r="E340">
            <v>21484.6</v>
          </cell>
          <cell r="F340">
            <v>20461.52</v>
          </cell>
          <cell r="G340">
            <v>23530.74</v>
          </cell>
          <cell r="H340">
            <v>22507.68</v>
          </cell>
          <cell r="I340">
            <v>21484.6</v>
          </cell>
          <cell r="J340">
            <v>22507.66</v>
          </cell>
          <cell r="K340">
            <v>22636.52</v>
          </cell>
          <cell r="L340">
            <v>22649.4</v>
          </cell>
          <cell r="M340">
            <v>22649.39</v>
          </cell>
          <cell r="N340">
            <v>21768.59</v>
          </cell>
          <cell r="O340">
            <v>22733.7</v>
          </cell>
          <cell r="P340">
            <v>23898.34</v>
          </cell>
          <cell r="Q340">
            <v>268312.74</v>
          </cell>
        </row>
        <row r="341">
          <cell r="A341">
            <v>56020</v>
          </cell>
          <cell r="B341" t="str">
            <v>Wages Regular</v>
          </cell>
          <cell r="E341">
            <v>4948.7299999999996</v>
          </cell>
          <cell r="F341">
            <v>4243.8599999999997</v>
          </cell>
          <cell r="G341">
            <v>5249.43</v>
          </cell>
          <cell r="H341">
            <v>5618.66</v>
          </cell>
          <cell r="I341">
            <v>4920.93</v>
          </cell>
          <cell r="J341">
            <v>5799.39</v>
          </cell>
          <cell r="K341">
            <v>5404.71</v>
          </cell>
          <cell r="L341">
            <v>5365.56</v>
          </cell>
          <cell r="M341">
            <v>4903.59</v>
          </cell>
          <cell r="N341">
            <v>5263.01</v>
          </cell>
          <cell r="O341">
            <v>5800.6</v>
          </cell>
          <cell r="P341">
            <v>5428.54</v>
          </cell>
          <cell r="Q341">
            <v>62947.01</v>
          </cell>
        </row>
        <row r="342">
          <cell r="A342">
            <v>56025</v>
          </cell>
          <cell r="B342" t="str">
            <v>Wages O.T.</v>
          </cell>
          <cell r="E342">
            <v>515.38</v>
          </cell>
          <cell r="F342">
            <v>23.34</v>
          </cell>
          <cell r="G342">
            <v>199.47</v>
          </cell>
          <cell r="H342">
            <v>439.74</v>
          </cell>
          <cell r="I342">
            <v>937.69</v>
          </cell>
          <cell r="J342">
            <v>676.04</v>
          </cell>
          <cell r="K342">
            <v>89.23</v>
          </cell>
          <cell r="L342">
            <v>691.05</v>
          </cell>
          <cell r="M342">
            <v>707.32</v>
          </cell>
          <cell r="N342">
            <v>322.20999999999998</v>
          </cell>
          <cell r="O342">
            <v>737.63</v>
          </cell>
          <cell r="P342">
            <v>791.29</v>
          </cell>
          <cell r="Q342">
            <v>6130.3899999999994</v>
          </cell>
        </row>
        <row r="343">
          <cell r="A343">
            <v>56035</v>
          </cell>
          <cell r="B343" t="str">
            <v>Safety Bonuses</v>
          </cell>
          <cell r="E343">
            <v>0</v>
          </cell>
          <cell r="F343">
            <v>0</v>
          </cell>
          <cell r="G343">
            <v>0</v>
          </cell>
          <cell r="H343">
            <v>0</v>
          </cell>
          <cell r="I343">
            <v>0</v>
          </cell>
          <cell r="J343">
            <v>0</v>
          </cell>
          <cell r="K343">
            <v>0</v>
          </cell>
          <cell r="L343">
            <v>0</v>
          </cell>
          <cell r="M343">
            <v>0</v>
          </cell>
          <cell r="N343">
            <v>0</v>
          </cell>
          <cell r="O343">
            <v>0</v>
          </cell>
          <cell r="P343">
            <v>0</v>
          </cell>
          <cell r="Q343">
            <v>0</v>
          </cell>
        </row>
        <row r="344">
          <cell r="A344">
            <v>56036</v>
          </cell>
          <cell r="B344" t="str">
            <v>Other Bonus/Commission - Non-Safety</v>
          </cell>
          <cell r="E344">
            <v>0</v>
          </cell>
          <cell r="F344">
            <v>0</v>
          </cell>
          <cell r="G344">
            <v>0</v>
          </cell>
          <cell r="H344">
            <v>0</v>
          </cell>
          <cell r="I344">
            <v>0</v>
          </cell>
          <cell r="J344">
            <v>0</v>
          </cell>
          <cell r="K344">
            <v>0</v>
          </cell>
          <cell r="L344">
            <v>0</v>
          </cell>
          <cell r="M344">
            <v>0</v>
          </cell>
          <cell r="N344">
            <v>0</v>
          </cell>
          <cell r="O344">
            <v>0</v>
          </cell>
          <cell r="P344">
            <v>0</v>
          </cell>
          <cell r="Q344">
            <v>0</v>
          </cell>
        </row>
        <row r="345">
          <cell r="A345">
            <v>56037</v>
          </cell>
          <cell r="B345" t="str">
            <v>Termination Pay</v>
          </cell>
          <cell r="E345">
            <v>0</v>
          </cell>
          <cell r="F345">
            <v>0</v>
          </cell>
          <cell r="G345">
            <v>0</v>
          </cell>
          <cell r="H345">
            <v>0</v>
          </cell>
          <cell r="I345">
            <v>0</v>
          </cell>
          <cell r="J345">
            <v>0</v>
          </cell>
          <cell r="K345">
            <v>0</v>
          </cell>
          <cell r="L345">
            <v>0</v>
          </cell>
          <cell r="M345">
            <v>0</v>
          </cell>
          <cell r="N345">
            <v>0</v>
          </cell>
          <cell r="O345">
            <v>0</v>
          </cell>
          <cell r="P345">
            <v>0</v>
          </cell>
          <cell r="Q345">
            <v>0</v>
          </cell>
        </row>
        <row r="346">
          <cell r="A346">
            <v>56045</v>
          </cell>
          <cell r="B346" t="str">
            <v>Contract Labor</v>
          </cell>
          <cell r="E346">
            <v>0</v>
          </cell>
          <cell r="F346">
            <v>0</v>
          </cell>
          <cell r="G346">
            <v>0</v>
          </cell>
          <cell r="H346">
            <v>0</v>
          </cell>
          <cell r="I346">
            <v>0</v>
          </cell>
          <cell r="J346">
            <v>0</v>
          </cell>
          <cell r="K346">
            <v>0</v>
          </cell>
          <cell r="L346">
            <v>0</v>
          </cell>
          <cell r="M346">
            <v>0</v>
          </cell>
          <cell r="N346">
            <v>0</v>
          </cell>
          <cell r="O346">
            <v>0</v>
          </cell>
          <cell r="P346">
            <v>0</v>
          </cell>
          <cell r="Q346">
            <v>0</v>
          </cell>
        </row>
        <row r="347">
          <cell r="A347">
            <v>56050</v>
          </cell>
          <cell r="B347" t="str">
            <v>Payroll Taxes</v>
          </cell>
          <cell r="E347">
            <v>3178.64</v>
          </cell>
          <cell r="F347">
            <v>2251.66</v>
          </cell>
          <cell r="G347">
            <v>2524.9499999999998</v>
          </cell>
          <cell r="H347">
            <v>2497.5100000000002</v>
          </cell>
          <cell r="I347">
            <v>2309.15</v>
          </cell>
          <cell r="J347">
            <v>2588.5</v>
          </cell>
          <cell r="K347">
            <v>2219.94</v>
          </cell>
          <cell r="L347">
            <v>1586.57</v>
          </cell>
          <cell r="M347">
            <v>1804.92</v>
          </cell>
          <cell r="N347">
            <v>1787.26</v>
          </cell>
          <cell r="O347">
            <v>1971.2</v>
          </cell>
          <cell r="P347">
            <v>1725.76</v>
          </cell>
          <cell r="Q347">
            <v>26446.059999999994</v>
          </cell>
        </row>
        <row r="348">
          <cell r="A348">
            <v>56060</v>
          </cell>
          <cell r="B348" t="str">
            <v>Group Insurance</v>
          </cell>
          <cell r="E348">
            <v>2508.5</v>
          </cell>
          <cell r="F348">
            <v>2315.5</v>
          </cell>
          <cell r="G348">
            <v>2043</v>
          </cell>
          <cell r="H348">
            <v>2781</v>
          </cell>
          <cell r="I348">
            <v>2412</v>
          </cell>
          <cell r="J348">
            <v>1237</v>
          </cell>
          <cell r="K348">
            <v>1237</v>
          </cell>
          <cell r="L348">
            <v>1237</v>
          </cell>
          <cell r="M348">
            <v>868</v>
          </cell>
          <cell r="N348">
            <v>1606</v>
          </cell>
          <cell r="O348">
            <v>1237</v>
          </cell>
          <cell r="P348">
            <v>1237</v>
          </cell>
          <cell r="Q348">
            <v>20719</v>
          </cell>
        </row>
        <row r="349">
          <cell r="A349">
            <v>56065</v>
          </cell>
          <cell r="B349" t="str">
            <v>Vacation Pay</v>
          </cell>
          <cell r="E349">
            <v>2015.83</v>
          </cell>
          <cell r="F349">
            <v>1112.7</v>
          </cell>
          <cell r="G349">
            <v>1240.4000000000001</v>
          </cell>
          <cell r="H349">
            <v>1221.3699999999999</v>
          </cell>
          <cell r="I349">
            <v>1789.21</v>
          </cell>
          <cell r="J349">
            <v>2096.9899999999998</v>
          </cell>
          <cell r="K349">
            <v>-3773.2</v>
          </cell>
          <cell r="L349">
            <v>-940.29</v>
          </cell>
          <cell r="M349">
            <v>2549.7399999999998</v>
          </cell>
          <cell r="N349">
            <v>360.95</v>
          </cell>
          <cell r="O349">
            <v>2162.4499999999998</v>
          </cell>
          <cell r="P349">
            <v>2200.5700000000002</v>
          </cell>
          <cell r="Q349">
            <v>12036.72</v>
          </cell>
        </row>
        <row r="350">
          <cell r="A350">
            <v>56070</v>
          </cell>
          <cell r="B350" t="str">
            <v>Sick Pay</v>
          </cell>
          <cell r="E350">
            <v>-88.92</v>
          </cell>
          <cell r="F350">
            <v>208.16</v>
          </cell>
          <cell r="G350">
            <v>-102.08</v>
          </cell>
          <cell r="H350">
            <v>0</v>
          </cell>
          <cell r="I350">
            <v>487.17</v>
          </cell>
          <cell r="J350">
            <v>-182.69</v>
          </cell>
          <cell r="K350">
            <v>304.48</v>
          </cell>
          <cell r="L350">
            <v>182.69</v>
          </cell>
          <cell r="M350">
            <v>124.67</v>
          </cell>
          <cell r="N350">
            <v>66.48</v>
          </cell>
          <cell r="O350">
            <v>0</v>
          </cell>
          <cell r="P350">
            <v>0</v>
          </cell>
          <cell r="Q350">
            <v>999.96000000000015</v>
          </cell>
        </row>
        <row r="351">
          <cell r="A351">
            <v>56086</v>
          </cell>
          <cell r="B351" t="str">
            <v>Safety and Training</v>
          </cell>
          <cell r="E351">
            <v>86.34</v>
          </cell>
          <cell r="F351">
            <v>16.23</v>
          </cell>
          <cell r="G351">
            <v>31.23</v>
          </cell>
          <cell r="H351">
            <v>21.48</v>
          </cell>
          <cell r="I351">
            <v>0</v>
          </cell>
          <cell r="J351">
            <v>64.92</v>
          </cell>
          <cell r="K351">
            <v>0</v>
          </cell>
          <cell r="L351">
            <v>80.650000000000006</v>
          </cell>
          <cell r="M351">
            <v>0</v>
          </cell>
          <cell r="N351">
            <v>121.71</v>
          </cell>
          <cell r="O351">
            <v>0</v>
          </cell>
          <cell r="P351">
            <v>0</v>
          </cell>
          <cell r="Q351">
            <v>422.56</v>
          </cell>
        </row>
        <row r="352">
          <cell r="A352">
            <v>56090</v>
          </cell>
          <cell r="B352" t="str">
            <v>Uniforms</v>
          </cell>
          <cell r="E352">
            <v>356.19</v>
          </cell>
          <cell r="F352">
            <v>519.97</v>
          </cell>
          <cell r="G352">
            <v>1421.43</v>
          </cell>
          <cell r="H352">
            <v>967.63</v>
          </cell>
          <cell r="I352">
            <v>1153.95</v>
          </cell>
          <cell r="J352">
            <v>1314.26</v>
          </cell>
          <cell r="K352">
            <v>1629.69</v>
          </cell>
          <cell r="L352">
            <v>1082.08</v>
          </cell>
          <cell r="M352">
            <v>1087.67</v>
          </cell>
          <cell r="N352">
            <v>1240.51</v>
          </cell>
          <cell r="O352">
            <v>1230.1199999999999</v>
          </cell>
          <cell r="P352">
            <v>1719.85</v>
          </cell>
          <cell r="Q352">
            <v>13723.35</v>
          </cell>
        </row>
        <row r="353">
          <cell r="A353">
            <v>56095</v>
          </cell>
          <cell r="B353" t="str">
            <v>Empl &amp; Commun Activ</v>
          </cell>
          <cell r="E353">
            <v>242.51</v>
          </cell>
          <cell r="F353">
            <v>-88.98</v>
          </cell>
          <cell r="G353">
            <v>0</v>
          </cell>
          <cell r="H353">
            <v>30.82</v>
          </cell>
          <cell r="I353">
            <v>161.91999999999999</v>
          </cell>
          <cell r="J353">
            <v>154.44999999999999</v>
          </cell>
          <cell r="K353">
            <v>0</v>
          </cell>
          <cell r="L353">
            <v>81.739999999999995</v>
          </cell>
          <cell r="M353">
            <v>97.68</v>
          </cell>
          <cell r="N353">
            <v>250.97</v>
          </cell>
          <cell r="O353">
            <v>-60.35</v>
          </cell>
          <cell r="P353">
            <v>0</v>
          </cell>
          <cell r="Q353">
            <v>870.75999999999988</v>
          </cell>
        </row>
        <row r="354">
          <cell r="A354">
            <v>56105</v>
          </cell>
          <cell r="B354" t="str">
            <v>Employee Relocation</v>
          </cell>
          <cell r="E354">
            <v>0</v>
          </cell>
          <cell r="F354">
            <v>0</v>
          </cell>
          <cell r="G354">
            <v>0</v>
          </cell>
          <cell r="H354">
            <v>0</v>
          </cell>
          <cell r="I354">
            <v>0</v>
          </cell>
          <cell r="J354">
            <v>0</v>
          </cell>
          <cell r="K354">
            <v>0</v>
          </cell>
          <cell r="L354">
            <v>0</v>
          </cell>
          <cell r="M354">
            <v>0</v>
          </cell>
          <cell r="N354">
            <v>0</v>
          </cell>
          <cell r="O354">
            <v>0</v>
          </cell>
          <cell r="P354">
            <v>0</v>
          </cell>
          <cell r="Q354">
            <v>0</v>
          </cell>
        </row>
        <row r="355">
          <cell r="A355">
            <v>56108</v>
          </cell>
          <cell r="B355" t="str">
            <v>School Tuition</v>
          </cell>
          <cell r="E355">
            <v>0</v>
          </cell>
          <cell r="F355">
            <v>0</v>
          </cell>
          <cell r="G355">
            <v>0</v>
          </cell>
          <cell r="H355">
            <v>0</v>
          </cell>
          <cell r="I355">
            <v>0</v>
          </cell>
          <cell r="J355">
            <v>0</v>
          </cell>
          <cell r="K355">
            <v>0</v>
          </cell>
          <cell r="L355">
            <v>0</v>
          </cell>
          <cell r="M355">
            <v>0</v>
          </cell>
          <cell r="N355">
            <v>0</v>
          </cell>
          <cell r="O355">
            <v>0</v>
          </cell>
          <cell r="P355">
            <v>0</v>
          </cell>
          <cell r="Q355">
            <v>0</v>
          </cell>
        </row>
        <row r="356">
          <cell r="A356">
            <v>56115</v>
          </cell>
          <cell r="B356" t="str">
            <v>Pension and Profit Sharing</v>
          </cell>
          <cell r="E356">
            <v>259.32</v>
          </cell>
          <cell r="F356">
            <v>257.68</v>
          </cell>
          <cell r="G356">
            <v>386.43</v>
          </cell>
          <cell r="H356">
            <v>258.10000000000002</v>
          </cell>
          <cell r="I356">
            <v>332.41</v>
          </cell>
          <cell r="J356">
            <v>433.93</v>
          </cell>
          <cell r="K356">
            <v>427.05</v>
          </cell>
          <cell r="L356">
            <v>424.39</v>
          </cell>
          <cell r="M356">
            <v>428.34</v>
          </cell>
          <cell r="N356">
            <v>657.37</v>
          </cell>
          <cell r="O356">
            <v>545.69000000000005</v>
          </cell>
          <cell r="P356">
            <v>433.37</v>
          </cell>
          <cell r="Q356">
            <v>4844.0800000000008</v>
          </cell>
        </row>
        <row r="357">
          <cell r="A357">
            <v>56116</v>
          </cell>
          <cell r="B357" t="str">
            <v>Union Benefit Expense</v>
          </cell>
          <cell r="E357">
            <v>0</v>
          </cell>
          <cell r="F357">
            <v>0</v>
          </cell>
          <cell r="G357">
            <v>0</v>
          </cell>
          <cell r="H357">
            <v>0</v>
          </cell>
          <cell r="I357">
            <v>0</v>
          </cell>
          <cell r="J357">
            <v>0</v>
          </cell>
          <cell r="K357">
            <v>0</v>
          </cell>
          <cell r="L357">
            <v>0</v>
          </cell>
          <cell r="M357">
            <v>0</v>
          </cell>
          <cell r="N357">
            <v>0</v>
          </cell>
          <cell r="O357">
            <v>0</v>
          </cell>
          <cell r="P357">
            <v>0</v>
          </cell>
          <cell r="Q357">
            <v>0</v>
          </cell>
        </row>
        <row r="358">
          <cell r="A358">
            <v>56117</v>
          </cell>
          <cell r="B358" t="str">
            <v>Union Pension</v>
          </cell>
          <cell r="E358">
            <v>0</v>
          </cell>
          <cell r="F358">
            <v>0</v>
          </cell>
          <cell r="G358">
            <v>0</v>
          </cell>
          <cell r="H358">
            <v>0</v>
          </cell>
          <cell r="I358">
            <v>0</v>
          </cell>
          <cell r="J358">
            <v>0</v>
          </cell>
          <cell r="K358">
            <v>0</v>
          </cell>
          <cell r="L358">
            <v>0</v>
          </cell>
          <cell r="M358">
            <v>0</v>
          </cell>
          <cell r="N358">
            <v>0</v>
          </cell>
          <cell r="O358">
            <v>0</v>
          </cell>
          <cell r="P358">
            <v>0</v>
          </cell>
          <cell r="Q358">
            <v>0</v>
          </cell>
        </row>
        <row r="359">
          <cell r="A359">
            <v>56125</v>
          </cell>
          <cell r="B359" t="str">
            <v>Operating Supplies</v>
          </cell>
          <cell r="E359">
            <v>391.66</v>
          </cell>
          <cell r="F359">
            <v>526.79999999999995</v>
          </cell>
          <cell r="G359">
            <v>580.32000000000005</v>
          </cell>
          <cell r="H359">
            <v>1039.98</v>
          </cell>
          <cell r="I359">
            <v>-623.28</v>
          </cell>
          <cell r="J359">
            <v>102.55</v>
          </cell>
          <cell r="K359">
            <v>582.14</v>
          </cell>
          <cell r="L359">
            <v>366.9</v>
          </cell>
          <cell r="M359">
            <v>350.1</v>
          </cell>
          <cell r="N359">
            <v>0</v>
          </cell>
          <cell r="O359">
            <v>255.27</v>
          </cell>
          <cell r="P359">
            <v>127.61</v>
          </cell>
          <cell r="Q359">
            <v>3700.05</v>
          </cell>
        </row>
        <row r="360">
          <cell r="A360">
            <v>56140</v>
          </cell>
          <cell r="B360" t="str">
            <v>Tires</v>
          </cell>
          <cell r="E360">
            <v>0</v>
          </cell>
          <cell r="F360">
            <v>0</v>
          </cell>
          <cell r="G360">
            <v>0</v>
          </cell>
          <cell r="H360">
            <v>0</v>
          </cell>
          <cell r="I360">
            <v>0</v>
          </cell>
          <cell r="J360">
            <v>0</v>
          </cell>
          <cell r="K360">
            <v>0</v>
          </cell>
          <cell r="L360">
            <v>0</v>
          </cell>
          <cell r="M360">
            <v>0</v>
          </cell>
          <cell r="N360">
            <v>0</v>
          </cell>
          <cell r="O360">
            <v>0</v>
          </cell>
          <cell r="P360">
            <v>0</v>
          </cell>
          <cell r="Q360">
            <v>0</v>
          </cell>
        </row>
        <row r="361">
          <cell r="A361">
            <v>56142</v>
          </cell>
          <cell r="B361" t="str">
            <v>Fuel Expense</v>
          </cell>
          <cell r="E361">
            <v>0</v>
          </cell>
          <cell r="F361">
            <v>0</v>
          </cell>
          <cell r="G361">
            <v>0</v>
          </cell>
          <cell r="H361">
            <v>0</v>
          </cell>
          <cell r="I361">
            <v>0</v>
          </cell>
          <cell r="J361">
            <v>0</v>
          </cell>
          <cell r="K361">
            <v>0</v>
          </cell>
          <cell r="L361">
            <v>0</v>
          </cell>
          <cell r="M361">
            <v>0</v>
          </cell>
          <cell r="N361">
            <v>0</v>
          </cell>
          <cell r="O361">
            <v>0</v>
          </cell>
          <cell r="P361">
            <v>0</v>
          </cell>
          <cell r="Q361">
            <v>0</v>
          </cell>
        </row>
        <row r="362">
          <cell r="A362">
            <v>56148</v>
          </cell>
          <cell r="B362" t="str">
            <v>Allocated Exp In - District</v>
          </cell>
          <cell r="E362">
            <v>0</v>
          </cell>
          <cell r="F362">
            <v>0</v>
          </cell>
          <cell r="G362">
            <v>0</v>
          </cell>
          <cell r="H362">
            <v>0</v>
          </cell>
          <cell r="I362">
            <v>0</v>
          </cell>
          <cell r="J362">
            <v>0</v>
          </cell>
          <cell r="K362">
            <v>0</v>
          </cell>
          <cell r="L362">
            <v>0</v>
          </cell>
          <cell r="M362">
            <v>0</v>
          </cell>
          <cell r="N362">
            <v>0</v>
          </cell>
          <cell r="O362">
            <v>0</v>
          </cell>
          <cell r="P362">
            <v>0</v>
          </cell>
          <cell r="Q362">
            <v>0</v>
          </cell>
        </row>
        <row r="363">
          <cell r="A363">
            <v>56149</v>
          </cell>
          <cell r="B363" t="str">
            <v>Allocated Exp In Out - District</v>
          </cell>
          <cell r="E363">
            <v>0</v>
          </cell>
          <cell r="F363">
            <v>0</v>
          </cell>
          <cell r="G363">
            <v>0</v>
          </cell>
          <cell r="H363">
            <v>0</v>
          </cell>
          <cell r="I363">
            <v>0</v>
          </cell>
          <cell r="J363">
            <v>0</v>
          </cell>
          <cell r="K363">
            <v>0</v>
          </cell>
          <cell r="L363">
            <v>0</v>
          </cell>
          <cell r="M363">
            <v>0</v>
          </cell>
          <cell r="N363">
            <v>0</v>
          </cell>
          <cell r="O363">
            <v>0</v>
          </cell>
          <cell r="P363">
            <v>0</v>
          </cell>
          <cell r="Q363">
            <v>0</v>
          </cell>
        </row>
        <row r="364">
          <cell r="A364">
            <v>56165</v>
          </cell>
          <cell r="B364" t="str">
            <v>Communications</v>
          </cell>
          <cell r="E364">
            <v>1519.45</v>
          </cell>
          <cell r="F364">
            <v>1450.07</v>
          </cell>
          <cell r="G364">
            <v>1554.65</v>
          </cell>
          <cell r="H364">
            <v>4434.3500000000004</v>
          </cell>
          <cell r="I364">
            <v>-1597.73</v>
          </cell>
          <cell r="J364">
            <v>1513.67</v>
          </cell>
          <cell r="K364">
            <v>1505.33</v>
          </cell>
          <cell r="L364">
            <v>5156.7</v>
          </cell>
          <cell r="M364">
            <v>1422.01</v>
          </cell>
          <cell r="N364">
            <v>1404.71</v>
          </cell>
          <cell r="O364">
            <v>4969.07</v>
          </cell>
          <cell r="P364">
            <v>2885.81</v>
          </cell>
          <cell r="Q364">
            <v>26218.09</v>
          </cell>
        </row>
        <row r="365">
          <cell r="A365">
            <v>56200</v>
          </cell>
          <cell r="B365" t="str">
            <v>Travel</v>
          </cell>
          <cell r="E365">
            <v>0</v>
          </cell>
          <cell r="F365">
            <v>23</v>
          </cell>
          <cell r="G365">
            <v>32.75</v>
          </cell>
          <cell r="H365">
            <v>17.62</v>
          </cell>
          <cell r="I365">
            <v>0</v>
          </cell>
          <cell r="J365">
            <v>0</v>
          </cell>
          <cell r="K365">
            <v>0</v>
          </cell>
          <cell r="L365">
            <v>0</v>
          </cell>
          <cell r="M365">
            <v>0</v>
          </cell>
          <cell r="N365">
            <v>14.84</v>
          </cell>
          <cell r="O365">
            <v>-12.97</v>
          </cell>
          <cell r="P365">
            <v>0</v>
          </cell>
          <cell r="Q365">
            <v>75.240000000000009</v>
          </cell>
        </row>
        <row r="366">
          <cell r="A366">
            <v>56201</v>
          </cell>
          <cell r="B366" t="str">
            <v>Meal and Entertainment</v>
          </cell>
          <cell r="E366">
            <v>0</v>
          </cell>
          <cell r="F366">
            <v>0</v>
          </cell>
          <cell r="G366">
            <v>0</v>
          </cell>
          <cell r="H366">
            <v>0</v>
          </cell>
          <cell r="I366">
            <v>0</v>
          </cell>
          <cell r="J366">
            <v>34.36</v>
          </cell>
          <cell r="K366">
            <v>0</v>
          </cell>
          <cell r="L366">
            <v>0</v>
          </cell>
          <cell r="M366">
            <v>0</v>
          </cell>
          <cell r="N366">
            <v>348.63</v>
          </cell>
          <cell r="O366">
            <v>-333.79</v>
          </cell>
          <cell r="P366">
            <v>0</v>
          </cell>
          <cell r="Q366">
            <v>49.199999999999989</v>
          </cell>
        </row>
        <row r="367">
          <cell r="A367">
            <v>56210</v>
          </cell>
          <cell r="B367" t="str">
            <v>Office Supply and Equip</v>
          </cell>
          <cell r="E367">
            <v>302.63</v>
          </cell>
          <cell r="F367">
            <v>422.29</v>
          </cell>
          <cell r="G367">
            <v>391.69</v>
          </cell>
          <cell r="H367">
            <v>179.55</v>
          </cell>
          <cell r="I367">
            <v>722.74</v>
          </cell>
          <cell r="J367">
            <v>352.24</v>
          </cell>
          <cell r="K367">
            <v>0</v>
          </cell>
          <cell r="L367">
            <v>741.46</v>
          </cell>
          <cell r="M367">
            <v>364.82</v>
          </cell>
          <cell r="N367">
            <v>0</v>
          </cell>
          <cell r="O367">
            <v>886.4</v>
          </cell>
          <cell r="P367">
            <v>0</v>
          </cell>
          <cell r="Q367">
            <v>4363.8200000000006</v>
          </cell>
        </row>
        <row r="368">
          <cell r="A368">
            <v>56335</v>
          </cell>
          <cell r="B368" t="str">
            <v>Miscellaneous</v>
          </cell>
          <cell r="E368">
            <v>0</v>
          </cell>
          <cell r="F368">
            <v>0</v>
          </cell>
          <cell r="G368">
            <v>0</v>
          </cell>
          <cell r="H368">
            <v>0</v>
          </cell>
          <cell r="I368">
            <v>0</v>
          </cell>
          <cell r="J368">
            <v>0</v>
          </cell>
          <cell r="K368">
            <v>0</v>
          </cell>
          <cell r="L368">
            <v>0</v>
          </cell>
          <cell r="M368">
            <v>0</v>
          </cell>
          <cell r="N368">
            <v>0</v>
          </cell>
          <cell r="O368">
            <v>0</v>
          </cell>
          <cell r="P368">
            <v>0</v>
          </cell>
          <cell r="Q368">
            <v>0</v>
          </cell>
        </row>
        <row r="369">
          <cell r="A369">
            <v>56998</v>
          </cell>
          <cell r="B369" t="str">
            <v>Allocation Out - District</v>
          </cell>
          <cell r="E369">
            <v>0</v>
          </cell>
          <cell r="F369">
            <v>0</v>
          </cell>
          <cell r="G369">
            <v>0</v>
          </cell>
          <cell r="H369">
            <v>0</v>
          </cell>
          <cell r="I369">
            <v>0</v>
          </cell>
          <cell r="J369">
            <v>0</v>
          </cell>
          <cell r="K369">
            <v>0</v>
          </cell>
          <cell r="L369">
            <v>0</v>
          </cell>
          <cell r="M369">
            <v>0</v>
          </cell>
          <cell r="N369">
            <v>0</v>
          </cell>
          <cell r="O369">
            <v>0</v>
          </cell>
          <cell r="P369">
            <v>0</v>
          </cell>
          <cell r="Q369">
            <v>0</v>
          </cell>
        </row>
        <row r="370">
          <cell r="A370">
            <v>56999</v>
          </cell>
          <cell r="B370" t="str">
            <v>Allocation Out - Out District</v>
          </cell>
          <cell r="E370">
            <v>0</v>
          </cell>
          <cell r="F370">
            <v>0</v>
          </cell>
          <cell r="G370">
            <v>0</v>
          </cell>
          <cell r="H370">
            <v>0</v>
          </cell>
          <cell r="I370">
            <v>0</v>
          </cell>
          <cell r="J370">
            <v>0</v>
          </cell>
          <cell r="K370">
            <v>0</v>
          </cell>
          <cell r="L370">
            <v>0</v>
          </cell>
          <cell r="M370">
            <v>0</v>
          </cell>
          <cell r="N370">
            <v>0</v>
          </cell>
          <cell r="O370">
            <v>0</v>
          </cell>
          <cell r="P370">
            <v>0</v>
          </cell>
          <cell r="Q370">
            <v>0</v>
          </cell>
        </row>
        <row r="371">
          <cell r="A371" t="str">
            <v>Total Supervisor</v>
          </cell>
          <cell r="E371">
            <v>37720.86</v>
          </cell>
          <cell r="F371">
            <v>33743.800000000003</v>
          </cell>
          <cell r="G371">
            <v>39084.410000000011</v>
          </cell>
          <cell r="H371">
            <v>42015.490000000013</v>
          </cell>
          <cell r="I371">
            <v>34490.759999999995</v>
          </cell>
          <cell r="J371">
            <v>38693.26999999999</v>
          </cell>
          <cell r="K371">
            <v>32262.889999999992</v>
          </cell>
          <cell r="L371">
            <v>38705.899999999994</v>
          </cell>
          <cell r="M371">
            <v>37358.249999999993</v>
          </cell>
          <cell r="N371">
            <v>35213.239999999991</v>
          </cell>
          <cell r="O371">
            <v>42122.020000000004</v>
          </cell>
          <cell r="P371">
            <v>40448.14</v>
          </cell>
          <cell r="Q371">
            <v>451859.03</v>
          </cell>
        </row>
        <row r="373">
          <cell r="A373" t="str">
            <v>Other Operating Expense</v>
          </cell>
        </row>
        <row r="374">
          <cell r="A374">
            <v>46020</v>
          </cell>
          <cell r="B374" t="str">
            <v>Post Closure Amortization</v>
          </cell>
          <cell r="E374">
            <v>0</v>
          </cell>
          <cell r="F374">
            <v>0</v>
          </cell>
          <cell r="G374">
            <v>0</v>
          </cell>
          <cell r="H374">
            <v>0</v>
          </cell>
          <cell r="I374">
            <v>0</v>
          </cell>
          <cell r="J374">
            <v>0</v>
          </cell>
          <cell r="K374">
            <v>0</v>
          </cell>
          <cell r="L374">
            <v>0</v>
          </cell>
          <cell r="M374">
            <v>0</v>
          </cell>
          <cell r="N374">
            <v>0</v>
          </cell>
          <cell r="O374">
            <v>0</v>
          </cell>
          <cell r="P374">
            <v>0</v>
          </cell>
          <cell r="Q374">
            <v>0</v>
          </cell>
        </row>
        <row r="375">
          <cell r="A375">
            <v>57051</v>
          </cell>
          <cell r="B375" t="str">
            <v>AA Premiums</v>
          </cell>
          <cell r="E375">
            <v>0</v>
          </cell>
          <cell r="F375">
            <v>0</v>
          </cell>
          <cell r="G375">
            <v>0</v>
          </cell>
          <cell r="H375">
            <v>0</v>
          </cell>
          <cell r="I375">
            <v>0</v>
          </cell>
          <cell r="J375">
            <v>0</v>
          </cell>
          <cell r="K375">
            <v>0</v>
          </cell>
          <cell r="L375">
            <v>0</v>
          </cell>
          <cell r="M375">
            <v>0</v>
          </cell>
          <cell r="N375">
            <v>0</v>
          </cell>
          <cell r="O375">
            <v>0</v>
          </cell>
          <cell r="P375">
            <v>0</v>
          </cell>
          <cell r="Q375">
            <v>0</v>
          </cell>
        </row>
        <row r="376">
          <cell r="A376">
            <v>57125</v>
          </cell>
          <cell r="B376" t="str">
            <v>Operating Supplies</v>
          </cell>
          <cell r="E376">
            <v>0</v>
          </cell>
          <cell r="F376">
            <v>0</v>
          </cell>
          <cell r="G376">
            <v>0</v>
          </cell>
          <cell r="H376">
            <v>142.55000000000001</v>
          </cell>
          <cell r="I376">
            <v>0</v>
          </cell>
          <cell r="J376">
            <v>0</v>
          </cell>
          <cell r="K376">
            <v>0</v>
          </cell>
          <cell r="L376">
            <v>0</v>
          </cell>
          <cell r="M376">
            <v>0</v>
          </cell>
          <cell r="N376">
            <v>1177.5899999999999</v>
          </cell>
          <cell r="O376">
            <v>-1102.77</v>
          </cell>
          <cell r="P376">
            <v>0</v>
          </cell>
          <cell r="Q376">
            <v>217.36999999999989</v>
          </cell>
        </row>
        <row r="377">
          <cell r="A377">
            <v>57147</v>
          </cell>
          <cell r="B377" t="str">
            <v>Bldg &amp; Property</v>
          </cell>
          <cell r="E377">
            <v>5273.81</v>
          </cell>
          <cell r="F377">
            <v>1312.43</v>
          </cell>
          <cell r="G377">
            <v>1899.21</v>
          </cell>
          <cell r="H377">
            <v>1309.79</v>
          </cell>
          <cell r="I377">
            <v>1872.61</v>
          </cell>
          <cell r="J377">
            <v>1128</v>
          </cell>
          <cell r="K377">
            <v>1740.26</v>
          </cell>
          <cell r="L377">
            <v>3083.68</v>
          </cell>
          <cell r="M377">
            <v>2114.81</v>
          </cell>
          <cell r="N377">
            <v>1811.92</v>
          </cell>
          <cell r="O377">
            <v>3002.6</v>
          </cell>
          <cell r="P377">
            <v>2169.63</v>
          </cell>
          <cell r="Q377">
            <v>26718.750000000004</v>
          </cell>
        </row>
        <row r="378">
          <cell r="A378">
            <v>57148</v>
          </cell>
          <cell r="B378" t="str">
            <v>Allocated In - District</v>
          </cell>
          <cell r="E378">
            <v>0</v>
          </cell>
          <cell r="F378">
            <v>0</v>
          </cell>
          <cell r="G378">
            <v>0</v>
          </cell>
          <cell r="H378">
            <v>0</v>
          </cell>
          <cell r="I378">
            <v>0</v>
          </cell>
          <cell r="J378">
            <v>0</v>
          </cell>
          <cell r="K378">
            <v>0</v>
          </cell>
          <cell r="L378">
            <v>0</v>
          </cell>
          <cell r="M378">
            <v>0</v>
          </cell>
          <cell r="N378">
            <v>0</v>
          </cell>
          <cell r="O378">
            <v>0</v>
          </cell>
          <cell r="P378">
            <v>0</v>
          </cell>
          <cell r="Q378">
            <v>0</v>
          </cell>
        </row>
        <row r="379">
          <cell r="A379">
            <v>57149</v>
          </cell>
          <cell r="B379" t="str">
            <v>Allocated In - Out District</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v>57150</v>
          </cell>
          <cell r="B380" t="str">
            <v>Utilities</v>
          </cell>
          <cell r="E380">
            <v>461.43</v>
          </cell>
          <cell r="F380">
            <v>96.57</v>
          </cell>
          <cell r="G380">
            <v>117.6</v>
          </cell>
          <cell r="H380">
            <v>83.43</v>
          </cell>
          <cell r="I380">
            <v>90.9</v>
          </cell>
          <cell r="J380">
            <v>57.15</v>
          </cell>
          <cell r="K380">
            <v>89.42</v>
          </cell>
          <cell r="L380">
            <v>52.59</v>
          </cell>
          <cell r="M380">
            <v>307.08</v>
          </cell>
          <cell r="N380">
            <v>59.56</v>
          </cell>
          <cell r="O380">
            <v>541.69000000000005</v>
          </cell>
          <cell r="P380">
            <v>104.21</v>
          </cell>
          <cell r="Q380">
            <v>2061.6299999999997</v>
          </cell>
        </row>
        <row r="381">
          <cell r="A381">
            <v>57165</v>
          </cell>
          <cell r="B381" t="str">
            <v>Communications</v>
          </cell>
          <cell r="E381">
            <v>0</v>
          </cell>
          <cell r="F381">
            <v>0</v>
          </cell>
          <cell r="G381">
            <v>0</v>
          </cell>
          <cell r="H381">
            <v>0</v>
          </cell>
          <cell r="I381">
            <v>0</v>
          </cell>
          <cell r="J381">
            <v>0</v>
          </cell>
          <cell r="K381">
            <v>0</v>
          </cell>
          <cell r="L381">
            <v>0</v>
          </cell>
          <cell r="M381">
            <v>0</v>
          </cell>
          <cell r="N381">
            <v>0</v>
          </cell>
          <cell r="O381">
            <v>0</v>
          </cell>
          <cell r="P381">
            <v>0</v>
          </cell>
          <cell r="Q381">
            <v>0</v>
          </cell>
        </row>
        <row r="382">
          <cell r="A382">
            <v>57166</v>
          </cell>
          <cell r="B382" t="str">
            <v>Leachate Treatment</v>
          </cell>
          <cell r="E382">
            <v>0</v>
          </cell>
          <cell r="F382">
            <v>0</v>
          </cell>
          <cell r="G382">
            <v>0</v>
          </cell>
          <cell r="H382">
            <v>0</v>
          </cell>
          <cell r="I382">
            <v>0</v>
          </cell>
          <cell r="J382">
            <v>0</v>
          </cell>
          <cell r="K382">
            <v>0</v>
          </cell>
          <cell r="L382">
            <v>0</v>
          </cell>
          <cell r="M382">
            <v>0</v>
          </cell>
          <cell r="N382">
            <v>0</v>
          </cell>
          <cell r="O382">
            <v>0</v>
          </cell>
          <cell r="P382">
            <v>0</v>
          </cell>
          <cell r="Q382">
            <v>0</v>
          </cell>
        </row>
        <row r="383">
          <cell r="A383">
            <v>57170</v>
          </cell>
          <cell r="B383" t="str">
            <v>Real Estate Rentals</v>
          </cell>
          <cell r="E383">
            <v>5891.03</v>
          </cell>
          <cell r="F383">
            <v>6528.62</v>
          </cell>
          <cell r="G383">
            <v>5891.03</v>
          </cell>
          <cell r="H383">
            <v>5800.95</v>
          </cell>
          <cell r="I383">
            <v>5800.95</v>
          </cell>
          <cell r="J383">
            <v>5800.95</v>
          </cell>
          <cell r="K383">
            <v>5800.95</v>
          </cell>
          <cell r="L383">
            <v>5800.95</v>
          </cell>
          <cell r="M383">
            <v>4412</v>
          </cell>
          <cell r="N383">
            <v>4412</v>
          </cell>
          <cell r="O383">
            <v>5800.95</v>
          </cell>
          <cell r="P383">
            <v>13259</v>
          </cell>
          <cell r="Q383">
            <v>75199.37999999999</v>
          </cell>
        </row>
        <row r="384">
          <cell r="A384">
            <v>57175</v>
          </cell>
          <cell r="B384" t="str">
            <v>Equipment Vehicle Rental</v>
          </cell>
          <cell r="E384">
            <v>0</v>
          </cell>
          <cell r="F384">
            <v>0</v>
          </cell>
          <cell r="G384">
            <v>0</v>
          </cell>
          <cell r="H384">
            <v>0</v>
          </cell>
          <cell r="I384">
            <v>0</v>
          </cell>
          <cell r="J384">
            <v>0</v>
          </cell>
          <cell r="K384">
            <v>0</v>
          </cell>
          <cell r="L384">
            <v>0</v>
          </cell>
          <cell r="M384">
            <v>0</v>
          </cell>
          <cell r="N384">
            <v>0</v>
          </cell>
          <cell r="O384">
            <v>0</v>
          </cell>
          <cell r="P384">
            <v>0</v>
          </cell>
          <cell r="Q384">
            <v>0</v>
          </cell>
        </row>
        <row r="385">
          <cell r="A385">
            <v>57185</v>
          </cell>
          <cell r="B385" t="str">
            <v>Postage</v>
          </cell>
          <cell r="E385">
            <v>0</v>
          </cell>
          <cell r="F385">
            <v>0</v>
          </cell>
          <cell r="G385">
            <v>0</v>
          </cell>
          <cell r="H385">
            <v>0</v>
          </cell>
          <cell r="I385">
            <v>0</v>
          </cell>
          <cell r="J385">
            <v>0</v>
          </cell>
          <cell r="K385">
            <v>0</v>
          </cell>
          <cell r="L385">
            <v>0</v>
          </cell>
          <cell r="M385">
            <v>0</v>
          </cell>
          <cell r="N385">
            <v>0</v>
          </cell>
          <cell r="O385">
            <v>0</v>
          </cell>
          <cell r="P385">
            <v>0</v>
          </cell>
          <cell r="Q385">
            <v>0</v>
          </cell>
        </row>
        <row r="386">
          <cell r="A386">
            <v>57252</v>
          </cell>
          <cell r="B386" t="str">
            <v>Subcontract Expense</v>
          </cell>
          <cell r="E386">
            <v>0</v>
          </cell>
          <cell r="F386">
            <v>0</v>
          </cell>
          <cell r="G386">
            <v>0</v>
          </cell>
          <cell r="H386">
            <v>0</v>
          </cell>
          <cell r="I386">
            <v>0</v>
          </cell>
          <cell r="J386">
            <v>0</v>
          </cell>
          <cell r="K386">
            <v>0</v>
          </cell>
          <cell r="L386">
            <v>0</v>
          </cell>
          <cell r="M386">
            <v>0</v>
          </cell>
          <cell r="N386">
            <v>0</v>
          </cell>
          <cell r="O386">
            <v>0</v>
          </cell>
          <cell r="P386">
            <v>0</v>
          </cell>
          <cell r="Q386">
            <v>0</v>
          </cell>
        </row>
        <row r="387">
          <cell r="A387">
            <v>57254</v>
          </cell>
          <cell r="B387" t="str">
            <v>Drive Cam Fees</v>
          </cell>
          <cell r="E387">
            <v>1912.5</v>
          </cell>
          <cell r="F387">
            <v>1912.5</v>
          </cell>
          <cell r="G387">
            <v>1912.5</v>
          </cell>
          <cell r="H387">
            <v>1912.5</v>
          </cell>
          <cell r="I387">
            <v>2520</v>
          </cell>
          <cell r="J387">
            <v>2520</v>
          </cell>
          <cell r="K387">
            <v>2678.73</v>
          </cell>
          <cell r="L387">
            <v>2580.4699999999998</v>
          </cell>
          <cell r="M387">
            <v>2576.33</v>
          </cell>
          <cell r="N387">
            <v>2636.37</v>
          </cell>
          <cell r="O387">
            <v>2511.33</v>
          </cell>
          <cell r="P387">
            <v>2531.54</v>
          </cell>
          <cell r="Q387">
            <v>28204.769999999997</v>
          </cell>
        </row>
        <row r="388">
          <cell r="A388">
            <v>57255</v>
          </cell>
          <cell r="B388" t="str">
            <v>Other Prof Fees</v>
          </cell>
          <cell r="E388">
            <v>0</v>
          </cell>
          <cell r="F388">
            <v>0</v>
          </cell>
          <cell r="G388">
            <v>4.5</v>
          </cell>
          <cell r="H388">
            <v>4.5</v>
          </cell>
          <cell r="I388">
            <v>4.5</v>
          </cell>
          <cell r="J388">
            <v>4.5</v>
          </cell>
          <cell r="K388">
            <v>18</v>
          </cell>
          <cell r="L388">
            <v>4.5</v>
          </cell>
          <cell r="M388">
            <v>4.5</v>
          </cell>
          <cell r="N388">
            <v>4.5</v>
          </cell>
          <cell r="O388">
            <v>4.5</v>
          </cell>
          <cell r="P388">
            <v>0</v>
          </cell>
          <cell r="Q388">
            <v>54</v>
          </cell>
        </row>
        <row r="389">
          <cell r="A389">
            <v>57256</v>
          </cell>
          <cell r="B389" t="str">
            <v>Laboratory Fees</v>
          </cell>
          <cell r="E389">
            <v>0</v>
          </cell>
          <cell r="F389">
            <v>0</v>
          </cell>
          <cell r="G389">
            <v>0</v>
          </cell>
          <cell r="H389">
            <v>0</v>
          </cell>
          <cell r="I389">
            <v>0</v>
          </cell>
          <cell r="J389">
            <v>0</v>
          </cell>
          <cell r="K389">
            <v>0</v>
          </cell>
          <cell r="L389">
            <v>0</v>
          </cell>
          <cell r="M389">
            <v>0</v>
          </cell>
          <cell r="N389">
            <v>0</v>
          </cell>
          <cell r="O389">
            <v>0</v>
          </cell>
          <cell r="P389">
            <v>0</v>
          </cell>
          <cell r="Q389">
            <v>0</v>
          </cell>
        </row>
        <row r="390">
          <cell r="A390">
            <v>57257</v>
          </cell>
          <cell r="B390" t="str">
            <v>Engineering Fees</v>
          </cell>
          <cell r="E390">
            <v>0</v>
          </cell>
          <cell r="F390">
            <v>0</v>
          </cell>
          <cell r="G390">
            <v>0</v>
          </cell>
          <cell r="H390">
            <v>0</v>
          </cell>
          <cell r="I390">
            <v>0</v>
          </cell>
          <cell r="J390">
            <v>18100.03</v>
          </cell>
          <cell r="K390">
            <v>1254.3699999999999</v>
          </cell>
          <cell r="L390">
            <v>1448.12</v>
          </cell>
          <cell r="M390">
            <v>-11585</v>
          </cell>
          <cell r="N390">
            <v>0</v>
          </cell>
          <cell r="O390">
            <v>0</v>
          </cell>
          <cell r="P390">
            <v>0</v>
          </cell>
          <cell r="Q390">
            <v>9217.5199999999968</v>
          </cell>
        </row>
        <row r="391">
          <cell r="A391">
            <v>57275</v>
          </cell>
          <cell r="B391" t="str">
            <v>Property Taxes</v>
          </cell>
          <cell r="E391">
            <v>0</v>
          </cell>
          <cell r="F391">
            <v>0</v>
          </cell>
          <cell r="G391">
            <v>0</v>
          </cell>
          <cell r="H391">
            <v>0</v>
          </cell>
          <cell r="I391">
            <v>0</v>
          </cell>
          <cell r="J391">
            <v>0</v>
          </cell>
          <cell r="K391">
            <v>0</v>
          </cell>
          <cell r="L391">
            <v>0</v>
          </cell>
          <cell r="M391">
            <v>0</v>
          </cell>
          <cell r="N391">
            <v>0</v>
          </cell>
          <cell r="O391">
            <v>0</v>
          </cell>
          <cell r="P391">
            <v>0</v>
          </cell>
          <cell r="Q391">
            <v>0</v>
          </cell>
        </row>
        <row r="392">
          <cell r="A392">
            <v>57280</v>
          </cell>
          <cell r="B392" t="str">
            <v>Other Taxes</v>
          </cell>
          <cell r="E392">
            <v>459</v>
          </cell>
          <cell r="F392">
            <v>459</v>
          </cell>
          <cell r="G392">
            <v>459</v>
          </cell>
          <cell r="H392">
            <v>459</v>
          </cell>
          <cell r="I392">
            <v>459</v>
          </cell>
          <cell r="J392">
            <v>459</v>
          </cell>
          <cell r="K392">
            <v>459</v>
          </cell>
          <cell r="L392">
            <v>459</v>
          </cell>
          <cell r="M392">
            <v>459</v>
          </cell>
          <cell r="N392">
            <v>459</v>
          </cell>
          <cell r="O392">
            <v>459</v>
          </cell>
          <cell r="P392">
            <v>459</v>
          </cell>
          <cell r="Q392">
            <v>5508</v>
          </cell>
        </row>
        <row r="393">
          <cell r="A393">
            <v>57324</v>
          </cell>
          <cell r="B393" t="str">
            <v>Penalties and Violations</v>
          </cell>
          <cell r="E393">
            <v>0</v>
          </cell>
          <cell r="F393">
            <v>0</v>
          </cell>
          <cell r="G393">
            <v>0</v>
          </cell>
          <cell r="H393">
            <v>0</v>
          </cell>
          <cell r="I393">
            <v>0</v>
          </cell>
          <cell r="J393">
            <v>0</v>
          </cell>
          <cell r="K393">
            <v>0</v>
          </cell>
          <cell r="L393">
            <v>0</v>
          </cell>
          <cell r="M393">
            <v>0</v>
          </cell>
          <cell r="N393">
            <v>266.95</v>
          </cell>
          <cell r="O393">
            <v>0</v>
          </cell>
          <cell r="P393">
            <v>631.95000000000005</v>
          </cell>
          <cell r="Q393">
            <v>898.90000000000009</v>
          </cell>
        </row>
        <row r="394">
          <cell r="A394">
            <v>57335</v>
          </cell>
          <cell r="B394" t="str">
            <v>Miscellaneous</v>
          </cell>
          <cell r="E394">
            <v>0</v>
          </cell>
          <cell r="F394">
            <v>0</v>
          </cell>
          <cell r="G394">
            <v>0</v>
          </cell>
          <cell r="H394">
            <v>0</v>
          </cell>
          <cell r="I394">
            <v>0</v>
          </cell>
          <cell r="J394">
            <v>0</v>
          </cell>
          <cell r="K394">
            <v>0</v>
          </cell>
          <cell r="L394">
            <v>0</v>
          </cell>
          <cell r="M394">
            <v>0</v>
          </cell>
          <cell r="N394">
            <v>0</v>
          </cell>
          <cell r="O394">
            <v>0</v>
          </cell>
          <cell r="P394">
            <v>0</v>
          </cell>
          <cell r="Q394">
            <v>0</v>
          </cell>
        </row>
        <row r="395">
          <cell r="A395">
            <v>57345</v>
          </cell>
          <cell r="B395" t="str">
            <v>Secruity Services</v>
          </cell>
          <cell r="E395">
            <v>62.5</v>
          </cell>
          <cell r="F395">
            <v>62.5</v>
          </cell>
          <cell r="G395">
            <v>62.5</v>
          </cell>
          <cell r="H395">
            <v>62.5</v>
          </cell>
          <cell r="I395">
            <v>62.5</v>
          </cell>
          <cell r="J395">
            <v>62.5</v>
          </cell>
          <cell r="K395">
            <v>62.5</v>
          </cell>
          <cell r="L395">
            <v>62.5</v>
          </cell>
          <cell r="M395">
            <v>62.5</v>
          </cell>
          <cell r="N395">
            <v>0</v>
          </cell>
          <cell r="O395">
            <v>125</v>
          </cell>
          <cell r="P395">
            <v>0</v>
          </cell>
          <cell r="Q395">
            <v>687.5</v>
          </cell>
        </row>
        <row r="396">
          <cell r="A396">
            <v>57353</v>
          </cell>
          <cell r="B396" t="str">
            <v>Monitoring and Maint</v>
          </cell>
          <cell r="E396">
            <v>0</v>
          </cell>
          <cell r="F396">
            <v>0</v>
          </cell>
          <cell r="G396">
            <v>0</v>
          </cell>
          <cell r="H396">
            <v>0</v>
          </cell>
          <cell r="I396">
            <v>0</v>
          </cell>
          <cell r="J396">
            <v>0</v>
          </cell>
          <cell r="K396">
            <v>0</v>
          </cell>
          <cell r="L396">
            <v>0</v>
          </cell>
          <cell r="M396">
            <v>0</v>
          </cell>
          <cell r="N396">
            <v>0</v>
          </cell>
          <cell r="O396">
            <v>0</v>
          </cell>
          <cell r="P396">
            <v>0</v>
          </cell>
          <cell r="Q396">
            <v>0</v>
          </cell>
        </row>
        <row r="397">
          <cell r="A397">
            <v>57356</v>
          </cell>
          <cell r="B397" t="str">
            <v>Cover Cost</v>
          </cell>
          <cell r="E397">
            <v>0</v>
          </cell>
          <cell r="F397">
            <v>0</v>
          </cell>
          <cell r="G397">
            <v>0</v>
          </cell>
          <cell r="H397">
            <v>0</v>
          </cell>
          <cell r="I397">
            <v>0</v>
          </cell>
          <cell r="J397">
            <v>0</v>
          </cell>
          <cell r="K397">
            <v>0</v>
          </cell>
          <cell r="L397">
            <v>0</v>
          </cell>
          <cell r="M397">
            <v>0</v>
          </cell>
          <cell r="N397">
            <v>0</v>
          </cell>
          <cell r="O397">
            <v>0</v>
          </cell>
          <cell r="P397">
            <v>0</v>
          </cell>
          <cell r="Q397">
            <v>0</v>
          </cell>
        </row>
        <row r="398">
          <cell r="A398">
            <v>57357</v>
          </cell>
          <cell r="B398" t="str">
            <v>Permits</v>
          </cell>
          <cell r="E398">
            <v>0</v>
          </cell>
          <cell r="F398">
            <v>0</v>
          </cell>
          <cell r="G398">
            <v>0</v>
          </cell>
          <cell r="H398">
            <v>0</v>
          </cell>
          <cell r="I398">
            <v>0</v>
          </cell>
          <cell r="J398">
            <v>0</v>
          </cell>
          <cell r="K398">
            <v>0</v>
          </cell>
          <cell r="L398">
            <v>0</v>
          </cell>
          <cell r="M398">
            <v>0</v>
          </cell>
          <cell r="N398">
            <v>15</v>
          </cell>
          <cell r="O398">
            <v>0</v>
          </cell>
          <cell r="P398">
            <v>80</v>
          </cell>
          <cell r="Q398">
            <v>95</v>
          </cell>
        </row>
        <row r="399">
          <cell r="A399">
            <v>57360</v>
          </cell>
          <cell r="B399" t="str">
            <v>Royalties</v>
          </cell>
          <cell r="E399">
            <v>0</v>
          </cell>
          <cell r="F399">
            <v>0</v>
          </cell>
          <cell r="G399">
            <v>0</v>
          </cell>
          <cell r="H399">
            <v>0</v>
          </cell>
          <cell r="I399">
            <v>0</v>
          </cell>
          <cell r="J399">
            <v>0</v>
          </cell>
          <cell r="K399">
            <v>0</v>
          </cell>
          <cell r="L399">
            <v>0</v>
          </cell>
          <cell r="M399">
            <v>0</v>
          </cell>
          <cell r="N399">
            <v>0</v>
          </cell>
          <cell r="O399">
            <v>0</v>
          </cell>
          <cell r="P399">
            <v>0</v>
          </cell>
          <cell r="Q399">
            <v>0</v>
          </cell>
        </row>
        <row r="400">
          <cell r="A400">
            <v>57370</v>
          </cell>
          <cell r="B400" t="str">
            <v>Bonds Expense</v>
          </cell>
          <cell r="E400">
            <v>79.209999999999994</v>
          </cell>
          <cell r="F400">
            <v>79.209999999999994</v>
          </cell>
          <cell r="G400">
            <v>79.209999999999994</v>
          </cell>
          <cell r="H400">
            <v>129.57</v>
          </cell>
          <cell r="I400">
            <v>342.55</v>
          </cell>
          <cell r="J400">
            <v>129.55000000000001</v>
          </cell>
          <cell r="K400">
            <v>129.55000000000001</v>
          </cell>
          <cell r="L400">
            <v>129.55000000000001</v>
          </cell>
          <cell r="M400">
            <v>129.55000000000001</v>
          </cell>
          <cell r="N400">
            <v>129.55000000000001</v>
          </cell>
          <cell r="O400">
            <v>129.55000000000001</v>
          </cell>
          <cell r="P400">
            <v>39.549999999999997</v>
          </cell>
          <cell r="Q400">
            <v>1526.5999999999997</v>
          </cell>
        </row>
        <row r="401">
          <cell r="A401">
            <v>57900</v>
          </cell>
          <cell r="B401" t="str">
            <v>Capitalized Costs</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v>57998</v>
          </cell>
          <cell r="B402" t="str">
            <v>Allocation Out - District</v>
          </cell>
          <cell r="E402">
            <v>0</v>
          </cell>
          <cell r="F402">
            <v>0</v>
          </cell>
          <cell r="G402">
            <v>0</v>
          </cell>
          <cell r="H402">
            <v>0</v>
          </cell>
          <cell r="I402">
            <v>0</v>
          </cell>
          <cell r="J402">
            <v>0</v>
          </cell>
          <cell r="K402">
            <v>0</v>
          </cell>
          <cell r="L402">
            <v>0</v>
          </cell>
          <cell r="M402">
            <v>0</v>
          </cell>
          <cell r="N402">
            <v>0</v>
          </cell>
          <cell r="O402">
            <v>0</v>
          </cell>
          <cell r="P402">
            <v>0</v>
          </cell>
          <cell r="Q402">
            <v>0</v>
          </cell>
        </row>
        <row r="403">
          <cell r="A403">
            <v>57999</v>
          </cell>
          <cell r="B403" t="str">
            <v>Allocation Out - Out District</v>
          </cell>
          <cell r="E403">
            <v>0</v>
          </cell>
          <cell r="F403">
            <v>0</v>
          </cell>
          <cell r="G403">
            <v>0</v>
          </cell>
          <cell r="H403">
            <v>0</v>
          </cell>
          <cell r="I403">
            <v>0</v>
          </cell>
          <cell r="J403">
            <v>0</v>
          </cell>
          <cell r="K403">
            <v>0</v>
          </cell>
          <cell r="L403">
            <v>0</v>
          </cell>
          <cell r="M403">
            <v>0</v>
          </cell>
          <cell r="N403">
            <v>0</v>
          </cell>
          <cell r="O403">
            <v>0</v>
          </cell>
          <cell r="P403">
            <v>0</v>
          </cell>
          <cell r="Q403">
            <v>0</v>
          </cell>
        </row>
        <row r="404">
          <cell r="A404">
            <v>70265</v>
          </cell>
          <cell r="B404" t="str">
            <v>Amortization of Long Term Contracts</v>
          </cell>
          <cell r="E404">
            <v>0</v>
          </cell>
          <cell r="F404">
            <v>0</v>
          </cell>
          <cell r="G404">
            <v>0</v>
          </cell>
          <cell r="H404">
            <v>0</v>
          </cell>
          <cell r="I404">
            <v>0</v>
          </cell>
          <cell r="J404">
            <v>0</v>
          </cell>
          <cell r="K404">
            <v>0</v>
          </cell>
          <cell r="L404">
            <v>0</v>
          </cell>
          <cell r="M404">
            <v>0</v>
          </cell>
          <cell r="N404">
            <v>0</v>
          </cell>
          <cell r="O404">
            <v>0</v>
          </cell>
          <cell r="P404">
            <v>0</v>
          </cell>
          <cell r="Q404">
            <v>0</v>
          </cell>
        </row>
        <row r="405">
          <cell r="A405">
            <v>80050</v>
          </cell>
          <cell r="B405" t="str">
            <v>Interest Expense Closure/Post Closure</v>
          </cell>
          <cell r="E405">
            <v>0</v>
          </cell>
          <cell r="F405">
            <v>0</v>
          </cell>
          <cell r="G405">
            <v>0</v>
          </cell>
          <cell r="H405">
            <v>0</v>
          </cell>
          <cell r="I405">
            <v>0</v>
          </cell>
          <cell r="J405">
            <v>0</v>
          </cell>
          <cell r="K405">
            <v>0</v>
          </cell>
          <cell r="L405">
            <v>0</v>
          </cell>
          <cell r="M405">
            <v>0</v>
          </cell>
          <cell r="N405">
            <v>0</v>
          </cell>
          <cell r="O405">
            <v>0</v>
          </cell>
          <cell r="P405">
            <v>0</v>
          </cell>
          <cell r="Q405">
            <v>0</v>
          </cell>
        </row>
        <row r="406">
          <cell r="A406" t="str">
            <v>Total Other Operating Expense</v>
          </cell>
          <cell r="E406">
            <v>14139.48</v>
          </cell>
          <cell r="F406">
            <v>10450.829999999998</v>
          </cell>
          <cell r="G406">
            <v>10425.549999999999</v>
          </cell>
          <cell r="H406">
            <v>9904.7899999999991</v>
          </cell>
          <cell r="I406">
            <v>11153.009999999998</v>
          </cell>
          <cell r="J406">
            <v>28261.679999999997</v>
          </cell>
          <cell r="K406">
            <v>12232.779999999999</v>
          </cell>
          <cell r="L406">
            <v>13621.359999999997</v>
          </cell>
          <cell r="M406">
            <v>-1519.2300000000007</v>
          </cell>
          <cell r="N406">
            <v>10972.439999999999</v>
          </cell>
          <cell r="O406">
            <v>11471.849999999999</v>
          </cell>
          <cell r="P406">
            <v>19274.88</v>
          </cell>
          <cell r="Q406">
            <v>150389.41999999998</v>
          </cell>
        </row>
        <row r="408">
          <cell r="A408" t="str">
            <v>Insurance</v>
          </cell>
        </row>
        <row r="409">
          <cell r="A409">
            <v>59148</v>
          </cell>
          <cell r="B409" t="str">
            <v>Allocation In - District</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v>59149</v>
          </cell>
          <cell r="B410" t="str">
            <v>Allocation In - Out District</v>
          </cell>
          <cell r="E410">
            <v>0</v>
          </cell>
          <cell r="F410">
            <v>0</v>
          </cell>
          <cell r="G410">
            <v>0</v>
          </cell>
          <cell r="H410">
            <v>0</v>
          </cell>
          <cell r="I410">
            <v>0</v>
          </cell>
          <cell r="J410">
            <v>0</v>
          </cell>
          <cell r="K410">
            <v>0</v>
          </cell>
          <cell r="L410">
            <v>0</v>
          </cell>
          <cell r="M410">
            <v>0</v>
          </cell>
          <cell r="N410">
            <v>0</v>
          </cell>
          <cell r="O410">
            <v>0</v>
          </cell>
          <cell r="P410">
            <v>0</v>
          </cell>
          <cell r="Q410">
            <v>0</v>
          </cell>
        </row>
        <row r="411">
          <cell r="A411">
            <v>59271</v>
          </cell>
          <cell r="B411" t="str">
            <v>Property and Liability Insurance</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v>59326</v>
          </cell>
          <cell r="B412" t="str">
            <v>Deductible - Current</v>
          </cell>
          <cell r="E412">
            <v>0</v>
          </cell>
          <cell r="F412">
            <v>0</v>
          </cell>
          <cell r="G412">
            <v>0</v>
          </cell>
          <cell r="H412">
            <v>0</v>
          </cell>
          <cell r="I412">
            <v>0</v>
          </cell>
          <cell r="J412">
            <v>0</v>
          </cell>
          <cell r="K412">
            <v>0</v>
          </cell>
          <cell r="L412">
            <v>0</v>
          </cell>
          <cell r="M412">
            <v>0</v>
          </cell>
          <cell r="N412">
            <v>0</v>
          </cell>
          <cell r="O412">
            <v>0</v>
          </cell>
          <cell r="P412">
            <v>0</v>
          </cell>
          <cell r="Q412">
            <v>0</v>
          </cell>
        </row>
        <row r="413">
          <cell r="A413">
            <v>59327</v>
          </cell>
          <cell r="B413" t="str">
            <v>Deductible - Damage</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v>59328</v>
          </cell>
          <cell r="B414" t="str">
            <v>Claim Recoveries</v>
          </cell>
          <cell r="E414">
            <v>0</v>
          </cell>
          <cell r="F414">
            <v>0</v>
          </cell>
          <cell r="G414">
            <v>-2328.46</v>
          </cell>
          <cell r="H414">
            <v>0</v>
          </cell>
          <cell r="I414">
            <v>0</v>
          </cell>
          <cell r="J414">
            <v>0</v>
          </cell>
          <cell r="K414">
            <v>0</v>
          </cell>
          <cell r="L414">
            <v>0</v>
          </cell>
          <cell r="M414">
            <v>0</v>
          </cell>
          <cell r="N414">
            <v>0</v>
          </cell>
          <cell r="O414">
            <v>0</v>
          </cell>
          <cell r="P414">
            <v>0</v>
          </cell>
          <cell r="Q414">
            <v>-2328.46</v>
          </cell>
        </row>
        <row r="415">
          <cell r="A415">
            <v>59330</v>
          </cell>
          <cell r="B415" t="str">
            <v>Deduct - Prior Year</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v>59331</v>
          </cell>
          <cell r="B416" t="str">
            <v>RM Fixed Costs</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v>59340</v>
          </cell>
          <cell r="B417" t="str">
            <v>Self Insurance Premium</v>
          </cell>
          <cell r="E417">
            <v>6884.94</v>
          </cell>
          <cell r="F417">
            <v>6884.94</v>
          </cell>
          <cell r="G417">
            <v>6884.94</v>
          </cell>
          <cell r="H417">
            <v>6884.94</v>
          </cell>
          <cell r="I417">
            <v>6884.94</v>
          </cell>
          <cell r="J417">
            <v>6884.94</v>
          </cell>
          <cell r="K417">
            <v>6884.94</v>
          </cell>
          <cell r="L417">
            <v>6884.94</v>
          </cell>
          <cell r="M417">
            <v>6884.94</v>
          </cell>
          <cell r="N417">
            <v>6884.94</v>
          </cell>
          <cell r="O417">
            <v>6884.94</v>
          </cell>
          <cell r="P417">
            <v>6884.94</v>
          </cell>
          <cell r="Q417">
            <v>82619.280000000013</v>
          </cell>
        </row>
        <row r="418">
          <cell r="A418">
            <v>59341</v>
          </cell>
          <cell r="B418" t="str">
            <v>A&amp;L - Current Year Claims</v>
          </cell>
          <cell r="E418">
            <v>0</v>
          </cell>
          <cell r="F418">
            <v>0</v>
          </cell>
          <cell r="G418">
            <v>0</v>
          </cell>
          <cell r="H418">
            <v>0</v>
          </cell>
          <cell r="I418">
            <v>0</v>
          </cell>
          <cell r="J418">
            <v>0</v>
          </cell>
          <cell r="K418">
            <v>0</v>
          </cell>
          <cell r="L418">
            <v>0</v>
          </cell>
          <cell r="M418">
            <v>0</v>
          </cell>
          <cell r="N418">
            <v>0</v>
          </cell>
          <cell r="O418">
            <v>0</v>
          </cell>
          <cell r="P418">
            <v>2600</v>
          </cell>
          <cell r="Q418">
            <v>2600</v>
          </cell>
        </row>
        <row r="419">
          <cell r="A419">
            <v>59342</v>
          </cell>
          <cell r="B419" t="str">
            <v>A&amp;L - Prior Year Claims</v>
          </cell>
          <cell r="E419">
            <v>0</v>
          </cell>
          <cell r="F419">
            <v>0</v>
          </cell>
          <cell r="G419">
            <v>0</v>
          </cell>
          <cell r="H419">
            <v>0</v>
          </cell>
          <cell r="I419">
            <v>0.3</v>
          </cell>
          <cell r="J419">
            <v>-0.15</v>
          </cell>
          <cell r="K419">
            <v>1577.07</v>
          </cell>
          <cell r="L419">
            <v>0.05</v>
          </cell>
          <cell r="M419">
            <v>0</v>
          </cell>
          <cell r="N419">
            <v>0</v>
          </cell>
          <cell r="O419">
            <v>0</v>
          </cell>
          <cell r="P419">
            <v>0</v>
          </cell>
          <cell r="Q419">
            <v>1577.27</v>
          </cell>
        </row>
        <row r="420">
          <cell r="A420">
            <v>59343</v>
          </cell>
          <cell r="B420" t="str">
            <v>WC - Current Year Claims</v>
          </cell>
          <cell r="E420">
            <v>53330.6</v>
          </cell>
          <cell r="F420">
            <v>13301</v>
          </cell>
          <cell r="G420">
            <v>13532.93</v>
          </cell>
          <cell r="H420">
            <v>-35945.980000000003</v>
          </cell>
          <cell r="I420">
            <v>151.47999999999999</v>
          </cell>
          <cell r="J420">
            <v>0</v>
          </cell>
          <cell r="K420">
            <v>-5630.29</v>
          </cell>
          <cell r="L420">
            <v>19.420000000000002</v>
          </cell>
          <cell r="M420">
            <v>28.64</v>
          </cell>
          <cell r="N420">
            <v>6955.88</v>
          </cell>
          <cell r="O420">
            <v>11900</v>
          </cell>
          <cell r="P420">
            <v>2180.23</v>
          </cell>
          <cell r="Q420">
            <v>59823.909999999996</v>
          </cell>
        </row>
        <row r="421">
          <cell r="A421">
            <v>59344</v>
          </cell>
          <cell r="B421" t="str">
            <v>WC - Prior Year Claims</v>
          </cell>
          <cell r="E421">
            <v>0</v>
          </cell>
          <cell r="F421">
            <v>0</v>
          </cell>
          <cell r="G421">
            <v>0</v>
          </cell>
          <cell r="H421">
            <v>66006.16</v>
          </cell>
          <cell r="I421">
            <v>2800</v>
          </cell>
          <cell r="J421">
            <v>-3742.81</v>
          </cell>
          <cell r="K421">
            <v>36406.36</v>
          </cell>
          <cell r="L421">
            <v>0</v>
          </cell>
          <cell r="M421">
            <v>28.28</v>
          </cell>
          <cell r="N421">
            <v>4000</v>
          </cell>
          <cell r="O421">
            <v>-547</v>
          </cell>
          <cell r="P421">
            <v>12729.61</v>
          </cell>
          <cell r="Q421">
            <v>117680.6</v>
          </cell>
        </row>
        <row r="422">
          <cell r="A422">
            <v>59350</v>
          </cell>
          <cell r="B422" t="str">
            <v>Self Isurance IBNR Estimates</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v>59400</v>
          </cell>
          <cell r="B423" t="str">
            <v>Damages paid by District</v>
          </cell>
          <cell r="E423">
            <v>-3539</v>
          </cell>
          <cell r="F423">
            <v>0</v>
          </cell>
          <cell r="G423">
            <v>0</v>
          </cell>
          <cell r="H423">
            <v>0</v>
          </cell>
          <cell r="I423">
            <v>0</v>
          </cell>
          <cell r="J423">
            <v>0</v>
          </cell>
          <cell r="K423">
            <v>0</v>
          </cell>
          <cell r="L423">
            <v>0</v>
          </cell>
          <cell r="M423">
            <v>0</v>
          </cell>
          <cell r="N423">
            <v>0</v>
          </cell>
          <cell r="O423">
            <v>0</v>
          </cell>
          <cell r="P423">
            <v>2099.67</v>
          </cell>
          <cell r="Q423">
            <v>-1439.33</v>
          </cell>
        </row>
        <row r="424">
          <cell r="A424">
            <v>59401</v>
          </cell>
          <cell r="B424" t="str">
            <v>Insurance claim repairs</v>
          </cell>
          <cell r="E424">
            <v>0</v>
          </cell>
          <cell r="F424">
            <v>0</v>
          </cell>
          <cell r="G424">
            <v>0</v>
          </cell>
          <cell r="H424">
            <v>0</v>
          </cell>
          <cell r="I424">
            <v>0</v>
          </cell>
          <cell r="J424">
            <v>0</v>
          </cell>
          <cell r="K424">
            <v>0</v>
          </cell>
          <cell r="L424">
            <v>0</v>
          </cell>
          <cell r="M424">
            <v>0</v>
          </cell>
          <cell r="N424">
            <v>0</v>
          </cell>
          <cell r="O424">
            <v>0</v>
          </cell>
          <cell r="P424">
            <v>0</v>
          </cell>
          <cell r="Q424">
            <v>0</v>
          </cell>
        </row>
        <row r="425">
          <cell r="A425">
            <v>59500</v>
          </cell>
          <cell r="B425" t="str">
            <v>Workers Comp Prem</v>
          </cell>
          <cell r="E425">
            <v>1104</v>
          </cell>
          <cell r="F425">
            <v>4000</v>
          </cell>
          <cell r="G425">
            <v>4000</v>
          </cell>
          <cell r="H425">
            <v>2000</v>
          </cell>
          <cell r="I425">
            <v>1000</v>
          </cell>
          <cell r="J425">
            <v>2000</v>
          </cell>
          <cell r="K425">
            <v>2000</v>
          </cell>
          <cell r="L425">
            <v>2000</v>
          </cell>
          <cell r="M425">
            <v>3000</v>
          </cell>
          <cell r="N425">
            <v>3000</v>
          </cell>
          <cell r="O425">
            <v>3000</v>
          </cell>
          <cell r="P425">
            <v>0</v>
          </cell>
          <cell r="Q425">
            <v>27104</v>
          </cell>
        </row>
        <row r="426">
          <cell r="A426">
            <v>59998</v>
          </cell>
          <cell r="B426" t="str">
            <v>Allocation Out - District</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v>59999</v>
          </cell>
          <cell r="B427" t="str">
            <v>Allocation Out - Out District</v>
          </cell>
          <cell r="E427">
            <v>0</v>
          </cell>
          <cell r="F427">
            <v>0</v>
          </cell>
          <cell r="G427">
            <v>0</v>
          </cell>
          <cell r="H427">
            <v>0</v>
          </cell>
          <cell r="I427">
            <v>0</v>
          </cell>
          <cell r="J427">
            <v>0</v>
          </cell>
          <cell r="K427">
            <v>0</v>
          </cell>
          <cell r="L427">
            <v>0</v>
          </cell>
          <cell r="M427">
            <v>0</v>
          </cell>
          <cell r="N427">
            <v>0</v>
          </cell>
          <cell r="O427">
            <v>0</v>
          </cell>
          <cell r="P427">
            <v>0</v>
          </cell>
          <cell r="Q427">
            <v>0</v>
          </cell>
        </row>
        <row r="428">
          <cell r="A428" t="str">
            <v>Total Insurance</v>
          </cell>
          <cell r="E428">
            <v>57780.54</v>
          </cell>
          <cell r="F428">
            <v>24185.94</v>
          </cell>
          <cell r="G428">
            <v>22089.41</v>
          </cell>
          <cell r="H428">
            <v>38945.119999999995</v>
          </cell>
          <cell r="I428">
            <v>10836.72</v>
          </cell>
          <cell r="J428">
            <v>5141.9799999999996</v>
          </cell>
          <cell r="K428">
            <v>41238.080000000002</v>
          </cell>
          <cell r="L428">
            <v>8904.41</v>
          </cell>
          <cell r="M428">
            <v>9941.86</v>
          </cell>
          <cell r="N428">
            <v>20840.82</v>
          </cell>
          <cell r="O428">
            <v>21237.94</v>
          </cell>
          <cell r="P428">
            <v>26494.449999999997</v>
          </cell>
          <cell r="Q428">
            <v>287637.27</v>
          </cell>
        </row>
        <row r="430">
          <cell r="A430" t="str">
            <v>Disposal of Assets and Operations</v>
          </cell>
        </row>
        <row r="431">
          <cell r="A431">
            <v>72000</v>
          </cell>
          <cell r="B431" t="str">
            <v>Gain/Loss on Disposal of Operations</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v>91010</v>
          </cell>
          <cell r="B432" t="str">
            <v>Gain/Loss on Sale of Asset</v>
          </cell>
          <cell r="E432">
            <v>0</v>
          </cell>
          <cell r="F432">
            <v>0</v>
          </cell>
          <cell r="G432">
            <v>0</v>
          </cell>
          <cell r="H432">
            <v>145.82</v>
          </cell>
          <cell r="I432">
            <v>0</v>
          </cell>
          <cell r="J432">
            <v>0</v>
          </cell>
          <cell r="K432">
            <v>0</v>
          </cell>
          <cell r="L432">
            <v>0</v>
          </cell>
          <cell r="M432">
            <v>0</v>
          </cell>
          <cell r="N432">
            <v>0</v>
          </cell>
          <cell r="O432">
            <v>0</v>
          </cell>
          <cell r="P432">
            <v>0</v>
          </cell>
          <cell r="Q432">
            <v>145.82</v>
          </cell>
        </row>
        <row r="433">
          <cell r="A433" t="str">
            <v>Total Disposal of Assets and Operations</v>
          </cell>
          <cell r="E433">
            <v>0</v>
          </cell>
          <cell r="F433">
            <v>0</v>
          </cell>
          <cell r="G433">
            <v>0</v>
          </cell>
          <cell r="H433">
            <v>145.82</v>
          </cell>
          <cell r="I433">
            <v>0</v>
          </cell>
          <cell r="J433">
            <v>0</v>
          </cell>
          <cell r="K433">
            <v>0</v>
          </cell>
          <cell r="L433">
            <v>0</v>
          </cell>
          <cell r="M433">
            <v>0</v>
          </cell>
          <cell r="N433">
            <v>0</v>
          </cell>
          <cell r="O433">
            <v>0</v>
          </cell>
          <cell r="P433">
            <v>0</v>
          </cell>
          <cell r="Q433">
            <v>145.82</v>
          </cell>
        </row>
        <row r="435">
          <cell r="A435" t="str">
            <v>Total Operating Costs</v>
          </cell>
          <cell r="E435">
            <v>556322.18999999994</v>
          </cell>
          <cell r="F435">
            <v>483088.13</v>
          </cell>
          <cell r="G435">
            <v>533902.79</v>
          </cell>
          <cell r="H435">
            <v>564081.47</v>
          </cell>
          <cell r="I435">
            <v>483474.26</v>
          </cell>
          <cell r="J435">
            <v>500744.69999999995</v>
          </cell>
          <cell r="K435">
            <v>514379.49999999994</v>
          </cell>
          <cell r="L435">
            <v>499533.73</v>
          </cell>
          <cell r="M435">
            <v>480587.02</v>
          </cell>
          <cell r="N435">
            <v>468427.15999999992</v>
          </cell>
          <cell r="O435">
            <v>510740</v>
          </cell>
          <cell r="P435">
            <v>507649</v>
          </cell>
          <cell r="Q435">
            <v>6102929.9500000002</v>
          </cell>
        </row>
        <row r="437">
          <cell r="A437" t="str">
            <v>Gross Profit</v>
          </cell>
          <cell r="E437">
            <v>283635.74000000011</v>
          </cell>
          <cell r="F437">
            <v>397011.87</v>
          </cell>
          <cell r="G437">
            <v>293409.25999999989</v>
          </cell>
          <cell r="H437">
            <v>295183.43000000005</v>
          </cell>
          <cell r="I437">
            <v>372092.71999999974</v>
          </cell>
          <cell r="J437">
            <v>350748.59000000008</v>
          </cell>
          <cell r="K437">
            <v>347516.12000000005</v>
          </cell>
          <cell r="L437">
            <v>388020.01</v>
          </cell>
          <cell r="M437">
            <v>377828.52</v>
          </cell>
          <cell r="N437">
            <v>382225.52999999991</v>
          </cell>
          <cell r="O437">
            <v>311431.2100000002</v>
          </cell>
          <cell r="P437">
            <v>306754.91999999981</v>
          </cell>
          <cell r="Q437">
            <v>4105857.9199999953</v>
          </cell>
        </row>
        <row r="439">
          <cell r="A439" t="str">
            <v>SG&amp;A</v>
          </cell>
        </row>
        <row r="440">
          <cell r="A440" t="str">
            <v>Sales</v>
          </cell>
        </row>
        <row r="441">
          <cell r="A441">
            <v>60010</v>
          </cell>
          <cell r="B441" t="str">
            <v>Salaries</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v>60020</v>
          </cell>
          <cell r="B442" t="str">
            <v>Wages Regular</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v>60025</v>
          </cell>
          <cell r="B443" t="str">
            <v>Wages O.T.</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v>60030</v>
          </cell>
          <cell r="B444" t="str">
            <v>Bonuses and Commissions</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v>60035</v>
          </cell>
          <cell r="B445" t="str">
            <v>Safety Bonuses</v>
          </cell>
          <cell r="E445">
            <v>0</v>
          </cell>
          <cell r="F445">
            <v>0</v>
          </cell>
          <cell r="G445">
            <v>0</v>
          </cell>
          <cell r="H445">
            <v>0</v>
          </cell>
          <cell r="I445">
            <v>0</v>
          </cell>
          <cell r="J445">
            <v>0</v>
          </cell>
          <cell r="K445">
            <v>0</v>
          </cell>
          <cell r="L445">
            <v>0</v>
          </cell>
          <cell r="M445">
            <v>0</v>
          </cell>
          <cell r="N445">
            <v>0</v>
          </cell>
          <cell r="O445">
            <v>0</v>
          </cell>
          <cell r="P445">
            <v>0</v>
          </cell>
          <cell r="Q445">
            <v>0</v>
          </cell>
        </row>
        <row r="446">
          <cell r="A446">
            <v>60037</v>
          </cell>
          <cell r="B446" t="str">
            <v>Termination Pay</v>
          </cell>
          <cell r="E446">
            <v>0</v>
          </cell>
          <cell r="F446">
            <v>0</v>
          </cell>
          <cell r="G446">
            <v>0</v>
          </cell>
          <cell r="H446">
            <v>0</v>
          </cell>
          <cell r="I446">
            <v>0</v>
          </cell>
          <cell r="J446">
            <v>0</v>
          </cell>
          <cell r="K446">
            <v>0</v>
          </cell>
          <cell r="L446">
            <v>0</v>
          </cell>
          <cell r="M446">
            <v>0</v>
          </cell>
          <cell r="N446">
            <v>0</v>
          </cell>
          <cell r="O446">
            <v>0</v>
          </cell>
          <cell r="P446">
            <v>0</v>
          </cell>
          <cell r="Q446">
            <v>0</v>
          </cell>
        </row>
        <row r="447">
          <cell r="A447">
            <v>60045</v>
          </cell>
          <cell r="B447" t="str">
            <v>Contract Labor</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v>60050</v>
          </cell>
          <cell r="B448" t="str">
            <v>Payroll Taxes</v>
          </cell>
          <cell r="E448">
            <v>0</v>
          </cell>
          <cell r="F448">
            <v>0</v>
          </cell>
          <cell r="G448">
            <v>0</v>
          </cell>
          <cell r="H448">
            <v>0</v>
          </cell>
          <cell r="I448">
            <v>0</v>
          </cell>
          <cell r="J448">
            <v>0</v>
          </cell>
          <cell r="K448">
            <v>0</v>
          </cell>
          <cell r="L448">
            <v>0</v>
          </cell>
          <cell r="M448">
            <v>0</v>
          </cell>
          <cell r="N448">
            <v>0</v>
          </cell>
          <cell r="O448">
            <v>0</v>
          </cell>
          <cell r="P448">
            <v>0</v>
          </cell>
          <cell r="Q448">
            <v>0</v>
          </cell>
        </row>
        <row r="449">
          <cell r="A449">
            <v>60060</v>
          </cell>
          <cell r="B449" t="str">
            <v>Group Insurance</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v>60065</v>
          </cell>
          <cell r="B450" t="str">
            <v>Vacation Pay</v>
          </cell>
          <cell r="E450">
            <v>0</v>
          </cell>
          <cell r="F450">
            <v>0</v>
          </cell>
          <cell r="G450">
            <v>0</v>
          </cell>
          <cell r="H450">
            <v>0</v>
          </cell>
          <cell r="I450">
            <v>0</v>
          </cell>
          <cell r="J450">
            <v>0</v>
          </cell>
          <cell r="K450">
            <v>0</v>
          </cell>
          <cell r="L450">
            <v>0</v>
          </cell>
          <cell r="M450">
            <v>0</v>
          </cell>
          <cell r="N450">
            <v>0</v>
          </cell>
          <cell r="O450">
            <v>0</v>
          </cell>
          <cell r="P450">
            <v>0</v>
          </cell>
          <cell r="Q450">
            <v>0</v>
          </cell>
        </row>
        <row r="451">
          <cell r="A451">
            <v>60070</v>
          </cell>
          <cell r="B451" t="str">
            <v>Sick Pay</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v>60086</v>
          </cell>
          <cell r="B452" t="str">
            <v>Safety and Training</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v>60095</v>
          </cell>
          <cell r="B453" t="str">
            <v>Empl &amp; Commun Activ</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v>60105</v>
          </cell>
          <cell r="B454" t="str">
            <v>Employee Relocation</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v>60115</v>
          </cell>
          <cell r="B455" t="str">
            <v>School Tuition</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v>60116</v>
          </cell>
          <cell r="B456" t="str">
            <v>Pension and Profit Sharing</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A457">
            <v>60117</v>
          </cell>
          <cell r="B457" t="str">
            <v>Union Pension</v>
          </cell>
          <cell r="E457">
            <v>0</v>
          </cell>
          <cell r="F457">
            <v>0</v>
          </cell>
          <cell r="G457">
            <v>0</v>
          </cell>
          <cell r="H457">
            <v>0</v>
          </cell>
          <cell r="I457">
            <v>0</v>
          </cell>
          <cell r="J457">
            <v>0</v>
          </cell>
          <cell r="K457">
            <v>0</v>
          </cell>
          <cell r="L457">
            <v>0</v>
          </cell>
          <cell r="M457">
            <v>0</v>
          </cell>
          <cell r="N457">
            <v>0</v>
          </cell>
          <cell r="O457">
            <v>0</v>
          </cell>
          <cell r="P457">
            <v>0</v>
          </cell>
          <cell r="Q457">
            <v>0</v>
          </cell>
        </row>
        <row r="458">
          <cell r="A458">
            <v>60148</v>
          </cell>
          <cell r="B458" t="str">
            <v>Allocated Exp In - District</v>
          </cell>
          <cell r="E458">
            <v>0</v>
          </cell>
          <cell r="F458">
            <v>0</v>
          </cell>
          <cell r="G458">
            <v>0</v>
          </cell>
          <cell r="H458">
            <v>0</v>
          </cell>
          <cell r="I458">
            <v>0</v>
          </cell>
          <cell r="J458">
            <v>0</v>
          </cell>
          <cell r="K458">
            <v>0</v>
          </cell>
          <cell r="L458">
            <v>0</v>
          </cell>
          <cell r="M458">
            <v>0</v>
          </cell>
          <cell r="N458">
            <v>0</v>
          </cell>
          <cell r="O458">
            <v>0</v>
          </cell>
          <cell r="P458">
            <v>0</v>
          </cell>
          <cell r="Q458">
            <v>0</v>
          </cell>
        </row>
        <row r="459">
          <cell r="A459">
            <v>60149</v>
          </cell>
          <cell r="B459" t="str">
            <v>Allocated Exp In Out - District</v>
          </cell>
          <cell r="E459">
            <v>0</v>
          </cell>
          <cell r="F459">
            <v>0</v>
          </cell>
          <cell r="G459">
            <v>0</v>
          </cell>
          <cell r="H459">
            <v>0</v>
          </cell>
          <cell r="I459">
            <v>0</v>
          </cell>
          <cell r="J459">
            <v>0</v>
          </cell>
          <cell r="K459">
            <v>0</v>
          </cell>
          <cell r="L459">
            <v>0</v>
          </cell>
          <cell r="M459">
            <v>0</v>
          </cell>
          <cell r="N459">
            <v>0</v>
          </cell>
          <cell r="O459">
            <v>0</v>
          </cell>
          <cell r="P459">
            <v>0</v>
          </cell>
          <cell r="Q459">
            <v>0</v>
          </cell>
        </row>
        <row r="460">
          <cell r="A460">
            <v>60165</v>
          </cell>
          <cell r="B460" t="str">
            <v>Communications</v>
          </cell>
          <cell r="E460">
            <v>0</v>
          </cell>
          <cell r="F460">
            <v>0</v>
          </cell>
          <cell r="G460">
            <v>0</v>
          </cell>
          <cell r="H460">
            <v>0</v>
          </cell>
          <cell r="I460">
            <v>0</v>
          </cell>
          <cell r="J460">
            <v>0</v>
          </cell>
          <cell r="K460">
            <v>0</v>
          </cell>
          <cell r="L460">
            <v>0</v>
          </cell>
          <cell r="M460">
            <v>0</v>
          </cell>
          <cell r="N460">
            <v>0</v>
          </cell>
          <cell r="O460">
            <v>0</v>
          </cell>
          <cell r="P460">
            <v>0</v>
          </cell>
          <cell r="Q460">
            <v>0</v>
          </cell>
        </row>
        <row r="461">
          <cell r="A461">
            <v>60170</v>
          </cell>
          <cell r="B461" t="str">
            <v>Real Estate Rentals</v>
          </cell>
          <cell r="E461">
            <v>0</v>
          </cell>
          <cell r="F461">
            <v>0</v>
          </cell>
          <cell r="G461">
            <v>0</v>
          </cell>
          <cell r="H461">
            <v>0</v>
          </cell>
          <cell r="I461">
            <v>0</v>
          </cell>
          <cell r="J461">
            <v>0</v>
          </cell>
          <cell r="K461">
            <v>0</v>
          </cell>
          <cell r="L461">
            <v>0</v>
          </cell>
          <cell r="M461">
            <v>0</v>
          </cell>
          <cell r="N461">
            <v>0</v>
          </cell>
          <cell r="O461">
            <v>0</v>
          </cell>
          <cell r="P461">
            <v>0</v>
          </cell>
          <cell r="Q461">
            <v>0</v>
          </cell>
        </row>
        <row r="462">
          <cell r="A462">
            <v>60175</v>
          </cell>
          <cell r="B462" t="str">
            <v>Equip/Vehicle Rental</v>
          </cell>
          <cell r="E462">
            <v>0</v>
          </cell>
          <cell r="F462">
            <v>0</v>
          </cell>
          <cell r="G462">
            <v>0</v>
          </cell>
          <cell r="H462">
            <v>0</v>
          </cell>
          <cell r="I462">
            <v>0</v>
          </cell>
          <cell r="J462">
            <v>0</v>
          </cell>
          <cell r="K462">
            <v>0</v>
          </cell>
          <cell r="L462">
            <v>0</v>
          </cell>
          <cell r="M462">
            <v>0</v>
          </cell>
          <cell r="N462">
            <v>0</v>
          </cell>
          <cell r="O462">
            <v>0</v>
          </cell>
          <cell r="P462">
            <v>0</v>
          </cell>
          <cell r="Q462">
            <v>0</v>
          </cell>
        </row>
        <row r="463">
          <cell r="A463">
            <v>60185</v>
          </cell>
          <cell r="B463" t="str">
            <v>Postage</v>
          </cell>
          <cell r="E463">
            <v>0</v>
          </cell>
          <cell r="F463">
            <v>0</v>
          </cell>
          <cell r="G463">
            <v>0</v>
          </cell>
          <cell r="H463">
            <v>0</v>
          </cell>
          <cell r="I463">
            <v>0</v>
          </cell>
          <cell r="J463">
            <v>0</v>
          </cell>
          <cell r="K463">
            <v>0</v>
          </cell>
          <cell r="L463">
            <v>0</v>
          </cell>
          <cell r="M463">
            <v>0</v>
          </cell>
          <cell r="N463">
            <v>0</v>
          </cell>
          <cell r="O463">
            <v>0</v>
          </cell>
          <cell r="P463">
            <v>0</v>
          </cell>
          <cell r="Q463">
            <v>0</v>
          </cell>
        </row>
        <row r="464">
          <cell r="A464">
            <v>60195</v>
          </cell>
          <cell r="B464" t="str">
            <v>Dues and Subscriptions</v>
          </cell>
          <cell r="E464">
            <v>0</v>
          </cell>
          <cell r="F464">
            <v>0</v>
          </cell>
          <cell r="G464">
            <v>0</v>
          </cell>
          <cell r="H464">
            <v>0</v>
          </cell>
          <cell r="I464">
            <v>0</v>
          </cell>
          <cell r="J464">
            <v>0</v>
          </cell>
          <cell r="K464">
            <v>0</v>
          </cell>
          <cell r="L464">
            <v>0</v>
          </cell>
          <cell r="M464">
            <v>0</v>
          </cell>
          <cell r="N464">
            <v>0</v>
          </cell>
          <cell r="O464">
            <v>0</v>
          </cell>
          <cell r="P464">
            <v>0</v>
          </cell>
          <cell r="Q464">
            <v>0</v>
          </cell>
        </row>
        <row r="465">
          <cell r="A465">
            <v>60196</v>
          </cell>
          <cell r="B465" t="str">
            <v>Club Dues</v>
          </cell>
          <cell r="E465">
            <v>0</v>
          </cell>
          <cell r="F465">
            <v>0</v>
          </cell>
          <cell r="G465">
            <v>0</v>
          </cell>
          <cell r="H465">
            <v>0</v>
          </cell>
          <cell r="I465">
            <v>0</v>
          </cell>
          <cell r="J465">
            <v>0</v>
          </cell>
          <cell r="K465">
            <v>0</v>
          </cell>
          <cell r="L465">
            <v>0</v>
          </cell>
          <cell r="M465">
            <v>0</v>
          </cell>
          <cell r="N465">
            <v>0</v>
          </cell>
          <cell r="O465">
            <v>0</v>
          </cell>
          <cell r="P465">
            <v>0</v>
          </cell>
          <cell r="Q465">
            <v>0</v>
          </cell>
        </row>
        <row r="466">
          <cell r="A466">
            <v>60200</v>
          </cell>
          <cell r="B466" t="str">
            <v>Travel</v>
          </cell>
          <cell r="E466">
            <v>0</v>
          </cell>
          <cell r="F466">
            <v>0</v>
          </cell>
          <cell r="G466">
            <v>0</v>
          </cell>
          <cell r="H466">
            <v>0</v>
          </cell>
          <cell r="I466">
            <v>0</v>
          </cell>
          <cell r="J466">
            <v>0</v>
          </cell>
          <cell r="K466">
            <v>0</v>
          </cell>
          <cell r="L466">
            <v>0</v>
          </cell>
          <cell r="M466">
            <v>0</v>
          </cell>
          <cell r="N466">
            <v>0</v>
          </cell>
          <cell r="O466">
            <v>0</v>
          </cell>
          <cell r="P466">
            <v>0</v>
          </cell>
          <cell r="Q466">
            <v>0</v>
          </cell>
        </row>
        <row r="467">
          <cell r="A467">
            <v>60201</v>
          </cell>
          <cell r="B467" t="str">
            <v>Entertainment</v>
          </cell>
          <cell r="E467">
            <v>0</v>
          </cell>
          <cell r="F467">
            <v>0</v>
          </cell>
          <cell r="G467">
            <v>0</v>
          </cell>
          <cell r="H467">
            <v>0</v>
          </cell>
          <cell r="I467">
            <v>0</v>
          </cell>
          <cell r="J467">
            <v>0</v>
          </cell>
          <cell r="K467">
            <v>0</v>
          </cell>
          <cell r="L467">
            <v>0</v>
          </cell>
          <cell r="M467">
            <v>0</v>
          </cell>
          <cell r="N467">
            <v>0</v>
          </cell>
          <cell r="O467">
            <v>0</v>
          </cell>
          <cell r="P467">
            <v>0</v>
          </cell>
          <cell r="Q467">
            <v>0</v>
          </cell>
        </row>
        <row r="468">
          <cell r="A468">
            <v>60205</v>
          </cell>
          <cell r="B468" t="str">
            <v>Travel - Auto</v>
          </cell>
          <cell r="E468">
            <v>0</v>
          </cell>
          <cell r="F468">
            <v>0</v>
          </cell>
          <cell r="G468">
            <v>0</v>
          </cell>
          <cell r="H468">
            <v>0</v>
          </cell>
          <cell r="I468">
            <v>0</v>
          </cell>
          <cell r="J468">
            <v>0</v>
          </cell>
          <cell r="K468">
            <v>0</v>
          </cell>
          <cell r="L468">
            <v>0</v>
          </cell>
          <cell r="M468">
            <v>0</v>
          </cell>
          <cell r="N468">
            <v>0</v>
          </cell>
          <cell r="O468">
            <v>0</v>
          </cell>
          <cell r="P468">
            <v>0</v>
          </cell>
          <cell r="Q468">
            <v>0</v>
          </cell>
        </row>
        <row r="469">
          <cell r="A469">
            <v>60210</v>
          </cell>
          <cell r="B469" t="str">
            <v>Office Supplies and Equip</v>
          </cell>
          <cell r="E469">
            <v>0</v>
          </cell>
          <cell r="F469">
            <v>0</v>
          </cell>
          <cell r="G469">
            <v>0</v>
          </cell>
          <cell r="H469">
            <v>0</v>
          </cell>
          <cell r="I469">
            <v>0</v>
          </cell>
          <cell r="J469">
            <v>0</v>
          </cell>
          <cell r="K469">
            <v>0</v>
          </cell>
          <cell r="L469">
            <v>0</v>
          </cell>
          <cell r="M469">
            <v>0</v>
          </cell>
          <cell r="N469">
            <v>0</v>
          </cell>
          <cell r="O469">
            <v>0</v>
          </cell>
          <cell r="P469">
            <v>0</v>
          </cell>
          <cell r="Q469">
            <v>0</v>
          </cell>
        </row>
        <row r="470">
          <cell r="A470">
            <v>60225</v>
          </cell>
          <cell r="B470" t="str">
            <v>Advertising and Promotions</v>
          </cell>
          <cell r="E470">
            <v>0</v>
          </cell>
          <cell r="F470">
            <v>0</v>
          </cell>
          <cell r="G470">
            <v>0</v>
          </cell>
          <cell r="H470">
            <v>0</v>
          </cell>
          <cell r="I470">
            <v>0</v>
          </cell>
          <cell r="J470">
            <v>0</v>
          </cell>
          <cell r="K470">
            <v>0</v>
          </cell>
          <cell r="L470">
            <v>0</v>
          </cell>
          <cell r="M470">
            <v>0</v>
          </cell>
          <cell r="N470">
            <v>0</v>
          </cell>
          <cell r="O470">
            <v>0</v>
          </cell>
          <cell r="P470">
            <v>3237.6</v>
          </cell>
          <cell r="Q470">
            <v>3237.6</v>
          </cell>
        </row>
        <row r="471">
          <cell r="A471">
            <v>60234</v>
          </cell>
          <cell r="B471" t="str">
            <v>O/S Sales Exp</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v>60255</v>
          </cell>
          <cell r="B472" t="str">
            <v>Other Prof Fees</v>
          </cell>
          <cell r="E472">
            <v>0</v>
          </cell>
          <cell r="F472">
            <v>0</v>
          </cell>
          <cell r="G472">
            <v>0</v>
          </cell>
          <cell r="H472">
            <v>0</v>
          </cell>
          <cell r="I472">
            <v>0</v>
          </cell>
          <cell r="J472">
            <v>0</v>
          </cell>
          <cell r="K472">
            <v>0</v>
          </cell>
          <cell r="L472">
            <v>0</v>
          </cell>
          <cell r="M472">
            <v>0</v>
          </cell>
          <cell r="N472">
            <v>0</v>
          </cell>
          <cell r="O472">
            <v>0</v>
          </cell>
          <cell r="P472">
            <v>0</v>
          </cell>
          <cell r="Q472">
            <v>0</v>
          </cell>
        </row>
        <row r="473">
          <cell r="A473">
            <v>60326</v>
          </cell>
          <cell r="B473" t="str">
            <v>Deduct - Current Yr</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A474">
            <v>60327</v>
          </cell>
          <cell r="B474" t="str">
            <v>Deduct - Damage</v>
          </cell>
          <cell r="E474">
            <v>0</v>
          </cell>
          <cell r="F474">
            <v>0</v>
          </cell>
          <cell r="G474">
            <v>0</v>
          </cell>
          <cell r="H474">
            <v>0</v>
          </cell>
          <cell r="I474">
            <v>0</v>
          </cell>
          <cell r="J474">
            <v>0</v>
          </cell>
          <cell r="K474">
            <v>0</v>
          </cell>
          <cell r="L474">
            <v>0</v>
          </cell>
          <cell r="M474">
            <v>0</v>
          </cell>
          <cell r="N474">
            <v>0</v>
          </cell>
          <cell r="O474">
            <v>0</v>
          </cell>
          <cell r="P474">
            <v>0</v>
          </cell>
          <cell r="Q474">
            <v>0</v>
          </cell>
        </row>
        <row r="475">
          <cell r="A475">
            <v>60328</v>
          </cell>
          <cell r="B475" t="str">
            <v>Claim Recoveries</v>
          </cell>
          <cell r="E475">
            <v>0</v>
          </cell>
          <cell r="F475">
            <v>0</v>
          </cell>
          <cell r="G475">
            <v>0</v>
          </cell>
          <cell r="H475">
            <v>0</v>
          </cell>
          <cell r="I475">
            <v>0</v>
          </cell>
          <cell r="J475">
            <v>0</v>
          </cell>
          <cell r="K475">
            <v>0</v>
          </cell>
          <cell r="L475">
            <v>0</v>
          </cell>
          <cell r="M475">
            <v>0</v>
          </cell>
          <cell r="N475">
            <v>0</v>
          </cell>
          <cell r="O475">
            <v>0</v>
          </cell>
          <cell r="P475">
            <v>0</v>
          </cell>
          <cell r="Q475">
            <v>0</v>
          </cell>
        </row>
        <row r="476">
          <cell r="A476">
            <v>60330</v>
          </cell>
          <cell r="B476" t="str">
            <v>Deduct Prior Year</v>
          </cell>
          <cell r="E476">
            <v>0</v>
          </cell>
          <cell r="F476">
            <v>0</v>
          </cell>
          <cell r="G476">
            <v>0</v>
          </cell>
          <cell r="H476">
            <v>0</v>
          </cell>
          <cell r="I476">
            <v>0</v>
          </cell>
          <cell r="J476">
            <v>0</v>
          </cell>
          <cell r="K476">
            <v>0</v>
          </cell>
          <cell r="L476">
            <v>0</v>
          </cell>
          <cell r="M476">
            <v>0</v>
          </cell>
          <cell r="N476">
            <v>0</v>
          </cell>
          <cell r="O476">
            <v>0</v>
          </cell>
          <cell r="P476">
            <v>0</v>
          </cell>
          <cell r="Q476">
            <v>0</v>
          </cell>
        </row>
        <row r="477">
          <cell r="A477">
            <v>60335</v>
          </cell>
          <cell r="B477" t="str">
            <v>Miscellaneous</v>
          </cell>
          <cell r="E477">
            <v>0</v>
          </cell>
          <cell r="F477">
            <v>0</v>
          </cell>
          <cell r="G477">
            <v>0</v>
          </cell>
          <cell r="H477">
            <v>0</v>
          </cell>
          <cell r="I477">
            <v>0</v>
          </cell>
          <cell r="J477">
            <v>0</v>
          </cell>
          <cell r="K477">
            <v>0</v>
          </cell>
          <cell r="L477">
            <v>0</v>
          </cell>
          <cell r="M477">
            <v>0</v>
          </cell>
          <cell r="N477">
            <v>0</v>
          </cell>
          <cell r="O477">
            <v>0</v>
          </cell>
          <cell r="P477">
            <v>0</v>
          </cell>
          <cell r="Q477">
            <v>0</v>
          </cell>
        </row>
        <row r="478">
          <cell r="A478">
            <v>60998</v>
          </cell>
          <cell r="B478" t="str">
            <v>Allocation Out - District</v>
          </cell>
          <cell r="E478">
            <v>0</v>
          </cell>
          <cell r="F478">
            <v>0</v>
          </cell>
          <cell r="G478">
            <v>0</v>
          </cell>
          <cell r="H478">
            <v>0</v>
          </cell>
          <cell r="I478">
            <v>0</v>
          </cell>
          <cell r="J478">
            <v>0</v>
          </cell>
          <cell r="K478">
            <v>0</v>
          </cell>
          <cell r="L478">
            <v>0</v>
          </cell>
          <cell r="M478">
            <v>0</v>
          </cell>
          <cell r="N478">
            <v>0</v>
          </cell>
          <cell r="O478">
            <v>0</v>
          </cell>
          <cell r="P478">
            <v>0</v>
          </cell>
          <cell r="Q478">
            <v>0</v>
          </cell>
        </row>
        <row r="479">
          <cell r="A479">
            <v>60999</v>
          </cell>
          <cell r="B479" t="str">
            <v>Allocation Out - Out District</v>
          </cell>
          <cell r="E479">
            <v>0</v>
          </cell>
          <cell r="F479">
            <v>0</v>
          </cell>
          <cell r="G479">
            <v>0</v>
          </cell>
          <cell r="H479">
            <v>0</v>
          </cell>
          <cell r="I479">
            <v>0</v>
          </cell>
          <cell r="J479">
            <v>0</v>
          </cell>
          <cell r="K479">
            <v>0</v>
          </cell>
          <cell r="L479">
            <v>0</v>
          </cell>
          <cell r="M479">
            <v>0</v>
          </cell>
          <cell r="N479">
            <v>0</v>
          </cell>
          <cell r="O479">
            <v>0</v>
          </cell>
          <cell r="P479">
            <v>0</v>
          </cell>
          <cell r="Q479">
            <v>0</v>
          </cell>
        </row>
        <row r="480">
          <cell r="A480" t="str">
            <v>Total Sales</v>
          </cell>
          <cell r="E480">
            <v>0</v>
          </cell>
          <cell r="F480">
            <v>0</v>
          </cell>
          <cell r="G480">
            <v>0</v>
          </cell>
          <cell r="H480">
            <v>0</v>
          </cell>
          <cell r="I480">
            <v>0</v>
          </cell>
          <cell r="J480">
            <v>0</v>
          </cell>
          <cell r="K480">
            <v>0</v>
          </cell>
          <cell r="L480">
            <v>0</v>
          </cell>
          <cell r="M480">
            <v>0</v>
          </cell>
          <cell r="N480">
            <v>0</v>
          </cell>
          <cell r="O480">
            <v>0</v>
          </cell>
          <cell r="P480">
            <v>3237.6</v>
          </cell>
          <cell r="Q480">
            <v>3237.6</v>
          </cell>
        </row>
        <row r="482">
          <cell r="A482" t="str">
            <v>G&amp;A</v>
          </cell>
        </row>
        <row r="483">
          <cell r="A483">
            <v>70010</v>
          </cell>
          <cell r="B483" t="str">
            <v>Salaries</v>
          </cell>
          <cell r="E483">
            <v>28808.37</v>
          </cell>
          <cell r="F483">
            <v>29237.93</v>
          </cell>
          <cell r="G483">
            <v>34055.660000000003</v>
          </cell>
          <cell r="H483">
            <v>32303.54</v>
          </cell>
          <cell r="I483">
            <v>32394.99</v>
          </cell>
          <cell r="J483">
            <v>34374</v>
          </cell>
          <cell r="K483">
            <v>35547.46</v>
          </cell>
          <cell r="L483">
            <v>34794.910000000003</v>
          </cell>
          <cell r="M483">
            <v>35448.120000000003</v>
          </cell>
          <cell r="N483">
            <v>34195.99</v>
          </cell>
          <cell r="O483">
            <v>35269.089999999997</v>
          </cell>
          <cell r="P483">
            <v>37099.64</v>
          </cell>
          <cell r="Q483">
            <v>403529.69999999995</v>
          </cell>
        </row>
        <row r="484">
          <cell r="A484">
            <v>70015</v>
          </cell>
          <cell r="B484" t="str">
            <v>Deferred Comp Earnings</v>
          </cell>
          <cell r="E484">
            <v>0</v>
          </cell>
          <cell r="F484">
            <v>0</v>
          </cell>
          <cell r="G484">
            <v>0</v>
          </cell>
          <cell r="H484">
            <v>0</v>
          </cell>
          <cell r="I484">
            <v>0</v>
          </cell>
          <cell r="J484">
            <v>0</v>
          </cell>
          <cell r="K484">
            <v>0</v>
          </cell>
          <cell r="L484">
            <v>0</v>
          </cell>
          <cell r="M484">
            <v>0</v>
          </cell>
          <cell r="N484">
            <v>0</v>
          </cell>
          <cell r="O484">
            <v>0</v>
          </cell>
          <cell r="P484">
            <v>0</v>
          </cell>
          <cell r="Q484">
            <v>0</v>
          </cell>
        </row>
        <row r="485">
          <cell r="A485">
            <v>70020</v>
          </cell>
          <cell r="B485" t="str">
            <v>Wages Regular</v>
          </cell>
          <cell r="E485">
            <v>28572.240000000002</v>
          </cell>
          <cell r="F485">
            <v>30096.06</v>
          </cell>
          <cell r="G485">
            <v>32883.68</v>
          </cell>
          <cell r="H485">
            <v>33553.279999999999</v>
          </cell>
          <cell r="I485">
            <v>27323.32</v>
          </cell>
          <cell r="J485">
            <v>31281.360000000001</v>
          </cell>
          <cell r="K485">
            <v>28636.82</v>
          </cell>
          <cell r="L485">
            <v>32591.07</v>
          </cell>
          <cell r="M485">
            <v>25152.99</v>
          </cell>
          <cell r="N485">
            <v>26476.49</v>
          </cell>
          <cell r="O485">
            <v>29556.5</v>
          </cell>
          <cell r="P485">
            <v>26409.97</v>
          </cell>
          <cell r="Q485">
            <v>352533.78</v>
          </cell>
        </row>
        <row r="486">
          <cell r="A486">
            <v>70025</v>
          </cell>
          <cell r="B486" t="str">
            <v>Wages O.T.</v>
          </cell>
          <cell r="E486">
            <v>1534.05</v>
          </cell>
          <cell r="F486">
            <v>1546.14</v>
          </cell>
          <cell r="G486">
            <v>1142.1400000000001</v>
          </cell>
          <cell r="H486">
            <v>1991.39</v>
          </cell>
          <cell r="I486">
            <v>1423.14</v>
          </cell>
          <cell r="J486">
            <v>1581.5</v>
          </cell>
          <cell r="K486">
            <v>577.54</v>
          </cell>
          <cell r="L486">
            <v>3583.2</v>
          </cell>
          <cell r="M486">
            <v>1079.97</v>
          </cell>
          <cell r="N486">
            <v>1516.27</v>
          </cell>
          <cell r="O486">
            <v>2000.96</v>
          </cell>
          <cell r="P486">
            <v>1477.46</v>
          </cell>
          <cell r="Q486">
            <v>19453.760000000002</v>
          </cell>
        </row>
        <row r="487">
          <cell r="A487">
            <v>70030</v>
          </cell>
          <cell r="B487" t="str">
            <v>Corp Allocated Bonus</v>
          </cell>
          <cell r="E487">
            <v>0</v>
          </cell>
          <cell r="F487">
            <v>0</v>
          </cell>
          <cell r="G487">
            <v>0</v>
          </cell>
          <cell r="H487">
            <v>0</v>
          </cell>
          <cell r="I487">
            <v>0</v>
          </cell>
          <cell r="J487">
            <v>0</v>
          </cell>
          <cell r="K487">
            <v>0</v>
          </cell>
          <cell r="L487">
            <v>0</v>
          </cell>
          <cell r="M487">
            <v>0</v>
          </cell>
          <cell r="N487">
            <v>0</v>
          </cell>
          <cell r="O487">
            <v>0</v>
          </cell>
          <cell r="P487">
            <v>0</v>
          </cell>
          <cell r="Q487">
            <v>0</v>
          </cell>
        </row>
        <row r="488">
          <cell r="A488">
            <v>70035</v>
          </cell>
          <cell r="B488" t="str">
            <v>Safety Bonuses</v>
          </cell>
          <cell r="E488">
            <v>0</v>
          </cell>
          <cell r="F488">
            <v>0</v>
          </cell>
          <cell r="G488">
            <v>0</v>
          </cell>
          <cell r="H488">
            <v>0</v>
          </cell>
          <cell r="I488">
            <v>0</v>
          </cell>
          <cell r="J488">
            <v>0</v>
          </cell>
          <cell r="K488">
            <v>0</v>
          </cell>
          <cell r="L488">
            <v>0</v>
          </cell>
          <cell r="M488">
            <v>0</v>
          </cell>
          <cell r="N488">
            <v>0</v>
          </cell>
          <cell r="O488">
            <v>0</v>
          </cell>
          <cell r="P488">
            <v>0</v>
          </cell>
          <cell r="Q488">
            <v>0</v>
          </cell>
        </row>
        <row r="489">
          <cell r="A489">
            <v>70036</v>
          </cell>
          <cell r="B489" t="str">
            <v>Other Bonus/Commission - Non-Safety</v>
          </cell>
          <cell r="E489">
            <v>1075</v>
          </cell>
          <cell r="F489">
            <v>1675</v>
          </cell>
          <cell r="G489">
            <v>7455.5</v>
          </cell>
          <cell r="H489">
            <v>3066.38</v>
          </cell>
          <cell r="I489">
            <v>1438.95</v>
          </cell>
          <cell r="J489">
            <v>3016.36</v>
          </cell>
          <cell r="K489">
            <v>2625</v>
          </cell>
          <cell r="L489">
            <v>2678.43</v>
          </cell>
          <cell r="M489">
            <v>2913.79</v>
          </cell>
          <cell r="N489">
            <v>1746.4</v>
          </cell>
          <cell r="O489">
            <v>2652.32</v>
          </cell>
          <cell r="P489">
            <v>5362.05</v>
          </cell>
          <cell r="Q489">
            <v>35705.180000000008</v>
          </cell>
        </row>
        <row r="490">
          <cell r="A490">
            <v>70037</v>
          </cell>
          <cell r="B490" t="str">
            <v>Termination Pay</v>
          </cell>
          <cell r="E490">
            <v>0</v>
          </cell>
          <cell r="F490">
            <v>0</v>
          </cell>
          <cell r="G490">
            <v>0</v>
          </cell>
          <cell r="H490">
            <v>0</v>
          </cell>
          <cell r="I490">
            <v>0</v>
          </cell>
          <cell r="J490">
            <v>0</v>
          </cell>
          <cell r="K490">
            <v>0</v>
          </cell>
          <cell r="L490">
            <v>0</v>
          </cell>
          <cell r="M490">
            <v>0</v>
          </cell>
          <cell r="N490">
            <v>0</v>
          </cell>
          <cell r="O490">
            <v>0</v>
          </cell>
          <cell r="P490">
            <v>0</v>
          </cell>
          <cell r="Q490">
            <v>0</v>
          </cell>
        </row>
        <row r="491">
          <cell r="A491">
            <v>70045</v>
          </cell>
          <cell r="B491" t="str">
            <v>Contract Labor</v>
          </cell>
          <cell r="E491">
            <v>0</v>
          </cell>
          <cell r="F491">
            <v>0</v>
          </cell>
          <cell r="G491">
            <v>0</v>
          </cell>
          <cell r="H491">
            <v>0</v>
          </cell>
          <cell r="I491">
            <v>0</v>
          </cell>
          <cell r="J491">
            <v>0</v>
          </cell>
          <cell r="K491">
            <v>0</v>
          </cell>
          <cell r="L491">
            <v>0</v>
          </cell>
          <cell r="M491">
            <v>0</v>
          </cell>
          <cell r="N491">
            <v>0</v>
          </cell>
          <cell r="O491">
            <v>0</v>
          </cell>
          <cell r="P491">
            <v>0</v>
          </cell>
          <cell r="Q491">
            <v>0</v>
          </cell>
        </row>
        <row r="492">
          <cell r="A492">
            <v>70050</v>
          </cell>
          <cell r="B492" t="str">
            <v>Payroll Taxes</v>
          </cell>
          <cell r="E492">
            <v>7335.33</v>
          </cell>
          <cell r="F492">
            <v>5253.85</v>
          </cell>
          <cell r="G492">
            <v>6887.21</v>
          </cell>
          <cell r="H492">
            <v>5839.13</v>
          </cell>
          <cell r="I492">
            <v>4643.53</v>
          </cell>
          <cell r="J492">
            <v>5669.76</v>
          </cell>
          <cell r="K492">
            <v>4555.33</v>
          </cell>
          <cell r="L492">
            <v>5742.05</v>
          </cell>
          <cell r="M492">
            <v>4517.6899999999996</v>
          </cell>
          <cell r="N492">
            <v>4408.2</v>
          </cell>
          <cell r="O492">
            <v>4942.4399999999996</v>
          </cell>
          <cell r="P492">
            <v>5199.09</v>
          </cell>
          <cell r="Q492">
            <v>64993.61</v>
          </cell>
        </row>
        <row r="493">
          <cell r="A493">
            <v>70060</v>
          </cell>
          <cell r="B493" t="str">
            <v>Group Insurance</v>
          </cell>
          <cell r="E493">
            <v>11410.52</v>
          </cell>
          <cell r="F493">
            <v>11524.58</v>
          </cell>
          <cell r="G493">
            <v>10554.24</v>
          </cell>
          <cell r="H493">
            <v>13084.2</v>
          </cell>
          <cell r="I493">
            <v>12115.75</v>
          </cell>
          <cell r="J493">
            <v>12494.37</v>
          </cell>
          <cell r="K493">
            <v>12559.75</v>
          </cell>
          <cell r="L493">
            <v>12415.93</v>
          </cell>
          <cell r="M493">
            <v>11362.28</v>
          </cell>
          <cell r="N493">
            <v>13749.11</v>
          </cell>
          <cell r="O493">
            <v>12593.52</v>
          </cell>
          <cell r="P493">
            <v>12600.59</v>
          </cell>
          <cell r="Q493">
            <v>146464.84</v>
          </cell>
        </row>
        <row r="494">
          <cell r="A494">
            <v>70065</v>
          </cell>
          <cell r="B494" t="str">
            <v>Vacation Pay</v>
          </cell>
          <cell r="E494">
            <v>1582.88</v>
          </cell>
          <cell r="F494">
            <v>4413.99</v>
          </cell>
          <cell r="G494">
            <v>48.78</v>
          </cell>
          <cell r="H494">
            <v>2185.79</v>
          </cell>
          <cell r="I494">
            <v>4000.59</v>
          </cell>
          <cell r="J494">
            <v>-891.88</v>
          </cell>
          <cell r="K494">
            <v>4756.8500000000004</v>
          </cell>
          <cell r="L494">
            <v>2920.08</v>
          </cell>
          <cell r="M494">
            <v>4784.29</v>
          </cell>
          <cell r="N494">
            <v>3124.36</v>
          </cell>
          <cell r="O494">
            <v>2610.1999999999998</v>
          </cell>
          <cell r="P494">
            <v>4173.68</v>
          </cell>
          <cell r="Q494">
            <v>33709.61</v>
          </cell>
        </row>
        <row r="495">
          <cell r="A495">
            <v>70070</v>
          </cell>
          <cell r="B495" t="str">
            <v>Sick Pay</v>
          </cell>
          <cell r="E495">
            <v>396.68</v>
          </cell>
          <cell r="F495">
            <v>680.36</v>
          </cell>
          <cell r="G495">
            <v>1133.57</v>
          </cell>
          <cell r="H495">
            <v>674.93</v>
          </cell>
          <cell r="I495">
            <v>892.47</v>
          </cell>
          <cell r="J495">
            <v>554.58000000000004</v>
          </cell>
          <cell r="K495">
            <v>198.93</v>
          </cell>
          <cell r="L495">
            <v>122.21</v>
          </cell>
          <cell r="M495">
            <v>727.21</v>
          </cell>
          <cell r="N495">
            <v>366.82</v>
          </cell>
          <cell r="O495">
            <v>768.29</v>
          </cell>
          <cell r="P495">
            <v>121.28</v>
          </cell>
          <cell r="Q495">
            <v>6637.329999999999</v>
          </cell>
        </row>
        <row r="496">
          <cell r="A496">
            <v>70086</v>
          </cell>
          <cell r="B496" t="str">
            <v>Safety and Training</v>
          </cell>
          <cell r="E496">
            <v>14.8</v>
          </cell>
          <cell r="F496">
            <v>0</v>
          </cell>
          <cell r="G496">
            <v>0</v>
          </cell>
          <cell r="H496">
            <v>0</v>
          </cell>
          <cell r="I496">
            <v>0</v>
          </cell>
          <cell r="J496">
            <v>35.6</v>
          </cell>
          <cell r="K496">
            <v>0</v>
          </cell>
          <cell r="L496">
            <v>70</v>
          </cell>
          <cell r="M496">
            <v>0</v>
          </cell>
          <cell r="N496">
            <v>0</v>
          </cell>
          <cell r="O496">
            <v>0</v>
          </cell>
          <cell r="P496">
            <v>0</v>
          </cell>
          <cell r="Q496">
            <v>120.4</v>
          </cell>
        </row>
        <row r="497">
          <cell r="A497">
            <v>70090</v>
          </cell>
          <cell r="B497" t="str">
            <v>WCN Training</v>
          </cell>
          <cell r="E497">
            <v>0</v>
          </cell>
          <cell r="F497">
            <v>0</v>
          </cell>
          <cell r="G497">
            <v>0</v>
          </cell>
          <cell r="H497">
            <v>0</v>
          </cell>
          <cell r="I497">
            <v>0</v>
          </cell>
          <cell r="J497">
            <v>0</v>
          </cell>
          <cell r="K497">
            <v>0</v>
          </cell>
          <cell r="L497">
            <v>0</v>
          </cell>
          <cell r="M497">
            <v>0</v>
          </cell>
          <cell r="N497">
            <v>708.81</v>
          </cell>
          <cell r="O497">
            <v>-708.81</v>
          </cell>
          <cell r="P497">
            <v>0</v>
          </cell>
          <cell r="Q497">
            <v>0</v>
          </cell>
        </row>
        <row r="498">
          <cell r="A498">
            <v>70095</v>
          </cell>
          <cell r="B498" t="str">
            <v>Empl &amp; Commun Activ</v>
          </cell>
          <cell r="E498">
            <v>16986.41</v>
          </cell>
          <cell r="F498">
            <v>158.86000000000001</v>
          </cell>
          <cell r="G498">
            <v>1019.92</v>
          </cell>
          <cell r="H498">
            <v>210.51</v>
          </cell>
          <cell r="I498">
            <v>1580.13</v>
          </cell>
          <cell r="J498">
            <v>4162.7</v>
          </cell>
          <cell r="K498">
            <v>660.39</v>
          </cell>
          <cell r="L498">
            <v>2656.19</v>
          </cell>
          <cell r="M498">
            <v>517.80999999999995</v>
          </cell>
          <cell r="N498">
            <v>54.01</v>
          </cell>
          <cell r="O498">
            <v>1519.35</v>
          </cell>
          <cell r="P498">
            <v>3351.61</v>
          </cell>
          <cell r="Q498">
            <v>32877.889999999992</v>
          </cell>
        </row>
        <row r="499">
          <cell r="A499">
            <v>70105</v>
          </cell>
          <cell r="B499" t="str">
            <v>Employee Relocation</v>
          </cell>
          <cell r="E499">
            <v>381.64</v>
          </cell>
          <cell r="F499">
            <v>381.64</v>
          </cell>
          <cell r="G499">
            <v>381.64</v>
          </cell>
          <cell r="H499">
            <v>381.64</v>
          </cell>
          <cell r="I499">
            <v>381.64</v>
          </cell>
          <cell r="J499">
            <v>381.64</v>
          </cell>
          <cell r="K499">
            <v>381.64</v>
          </cell>
          <cell r="L499">
            <v>381.64</v>
          </cell>
          <cell r="M499">
            <v>381.64</v>
          </cell>
          <cell r="N499">
            <v>381.64</v>
          </cell>
          <cell r="O499">
            <v>381.64</v>
          </cell>
          <cell r="P499">
            <v>381.64</v>
          </cell>
          <cell r="Q499">
            <v>4579.6799999999994</v>
          </cell>
        </row>
        <row r="500">
          <cell r="A500">
            <v>70107</v>
          </cell>
          <cell r="B500" t="str">
            <v>Housing Subsidy</v>
          </cell>
          <cell r="E500">
            <v>0</v>
          </cell>
          <cell r="F500">
            <v>0</v>
          </cell>
          <cell r="G500">
            <v>0</v>
          </cell>
          <cell r="H500">
            <v>0</v>
          </cell>
          <cell r="I500">
            <v>0</v>
          </cell>
          <cell r="J500">
            <v>0</v>
          </cell>
          <cell r="K500">
            <v>0</v>
          </cell>
          <cell r="L500">
            <v>0</v>
          </cell>
          <cell r="M500">
            <v>0</v>
          </cell>
          <cell r="N500">
            <v>0</v>
          </cell>
          <cell r="O500">
            <v>0</v>
          </cell>
          <cell r="P500">
            <v>0</v>
          </cell>
          <cell r="Q500">
            <v>0</v>
          </cell>
        </row>
        <row r="501">
          <cell r="A501">
            <v>70108</v>
          </cell>
          <cell r="B501" t="str">
            <v>School Tuition</v>
          </cell>
          <cell r="E501">
            <v>0</v>
          </cell>
          <cell r="F501">
            <v>0</v>
          </cell>
          <cell r="G501">
            <v>0</v>
          </cell>
          <cell r="H501">
            <v>0</v>
          </cell>
          <cell r="I501">
            <v>0</v>
          </cell>
          <cell r="J501">
            <v>0</v>
          </cell>
          <cell r="K501">
            <v>0</v>
          </cell>
          <cell r="L501">
            <v>0</v>
          </cell>
          <cell r="M501">
            <v>0</v>
          </cell>
          <cell r="N501">
            <v>0</v>
          </cell>
          <cell r="O501">
            <v>0</v>
          </cell>
          <cell r="P501">
            <v>0</v>
          </cell>
          <cell r="Q501">
            <v>0</v>
          </cell>
        </row>
        <row r="502">
          <cell r="A502">
            <v>70110</v>
          </cell>
          <cell r="B502" t="str">
            <v>Contributions</v>
          </cell>
          <cell r="E502">
            <v>312.5</v>
          </cell>
          <cell r="F502">
            <v>5000</v>
          </cell>
          <cell r="G502">
            <v>0</v>
          </cell>
          <cell r="H502">
            <v>0</v>
          </cell>
          <cell r="I502">
            <v>0</v>
          </cell>
          <cell r="J502">
            <v>0</v>
          </cell>
          <cell r="K502">
            <v>1308.46</v>
          </cell>
          <cell r="L502">
            <v>0</v>
          </cell>
          <cell r="M502">
            <v>250</v>
          </cell>
          <cell r="N502">
            <v>0</v>
          </cell>
          <cell r="O502">
            <v>0</v>
          </cell>
          <cell r="P502">
            <v>0</v>
          </cell>
          <cell r="Q502">
            <v>6870.96</v>
          </cell>
        </row>
        <row r="503">
          <cell r="A503">
            <v>70111</v>
          </cell>
          <cell r="B503" t="str">
            <v>Non Cash Charitable</v>
          </cell>
          <cell r="E503">
            <v>0</v>
          </cell>
          <cell r="F503">
            <v>0</v>
          </cell>
          <cell r="G503">
            <v>0</v>
          </cell>
          <cell r="H503">
            <v>0</v>
          </cell>
          <cell r="I503">
            <v>0</v>
          </cell>
          <cell r="J503">
            <v>0</v>
          </cell>
          <cell r="K503">
            <v>0</v>
          </cell>
          <cell r="L503">
            <v>0</v>
          </cell>
          <cell r="M503">
            <v>0</v>
          </cell>
          <cell r="N503">
            <v>0</v>
          </cell>
          <cell r="O503">
            <v>0</v>
          </cell>
          <cell r="P503">
            <v>0</v>
          </cell>
          <cell r="Q503">
            <v>0</v>
          </cell>
        </row>
        <row r="504">
          <cell r="A504">
            <v>70112</v>
          </cell>
          <cell r="B504" t="str">
            <v>Political Contributions</v>
          </cell>
          <cell r="E504">
            <v>0</v>
          </cell>
          <cell r="F504">
            <v>0</v>
          </cell>
          <cell r="G504">
            <v>0</v>
          </cell>
          <cell r="H504">
            <v>0</v>
          </cell>
          <cell r="I504">
            <v>0</v>
          </cell>
          <cell r="J504">
            <v>0</v>
          </cell>
          <cell r="K504">
            <v>0</v>
          </cell>
          <cell r="L504">
            <v>0</v>
          </cell>
          <cell r="M504">
            <v>0</v>
          </cell>
          <cell r="N504">
            <v>0</v>
          </cell>
          <cell r="O504">
            <v>0</v>
          </cell>
          <cell r="P504">
            <v>0</v>
          </cell>
          <cell r="Q504">
            <v>0</v>
          </cell>
        </row>
        <row r="505">
          <cell r="A505">
            <v>70116</v>
          </cell>
          <cell r="B505" t="str">
            <v>Pension and Profit Sharing</v>
          </cell>
          <cell r="E505">
            <v>775.31</v>
          </cell>
          <cell r="F505">
            <v>784.92</v>
          </cell>
          <cell r="G505">
            <v>1191.3900000000001</v>
          </cell>
          <cell r="H505">
            <v>882.19</v>
          </cell>
          <cell r="I505">
            <v>848.69</v>
          </cell>
          <cell r="J505">
            <v>942.95</v>
          </cell>
          <cell r="K505">
            <v>949.67</v>
          </cell>
          <cell r="L505">
            <v>1042.08</v>
          </cell>
          <cell r="M505">
            <v>979.97</v>
          </cell>
          <cell r="N505">
            <v>1418.44</v>
          </cell>
          <cell r="O505">
            <v>969.88</v>
          </cell>
          <cell r="P505">
            <v>1066.9100000000001</v>
          </cell>
          <cell r="Q505">
            <v>11852.4</v>
          </cell>
        </row>
        <row r="506">
          <cell r="A506">
            <v>70117</v>
          </cell>
          <cell r="B506" t="str">
            <v>Union Pension</v>
          </cell>
          <cell r="E506">
            <v>0</v>
          </cell>
          <cell r="F506">
            <v>0</v>
          </cell>
          <cell r="G506">
            <v>0</v>
          </cell>
          <cell r="H506">
            <v>0</v>
          </cell>
          <cell r="I506">
            <v>0</v>
          </cell>
          <cell r="J506">
            <v>0</v>
          </cell>
          <cell r="K506">
            <v>0</v>
          </cell>
          <cell r="L506">
            <v>0</v>
          </cell>
          <cell r="M506">
            <v>0</v>
          </cell>
          <cell r="N506">
            <v>0</v>
          </cell>
          <cell r="O506">
            <v>0</v>
          </cell>
          <cell r="P506">
            <v>0</v>
          </cell>
          <cell r="Q506">
            <v>0</v>
          </cell>
        </row>
        <row r="507">
          <cell r="A507">
            <v>70142</v>
          </cell>
          <cell r="B507" t="str">
            <v>Fuel Expense</v>
          </cell>
          <cell r="E507">
            <v>0</v>
          </cell>
          <cell r="F507">
            <v>0</v>
          </cell>
          <cell r="G507">
            <v>0</v>
          </cell>
          <cell r="H507">
            <v>0</v>
          </cell>
          <cell r="I507">
            <v>0</v>
          </cell>
          <cell r="J507">
            <v>0</v>
          </cell>
          <cell r="K507">
            <v>0</v>
          </cell>
          <cell r="L507">
            <v>0</v>
          </cell>
          <cell r="M507">
            <v>0</v>
          </cell>
          <cell r="N507">
            <v>0</v>
          </cell>
          <cell r="O507">
            <v>0</v>
          </cell>
          <cell r="P507">
            <v>0</v>
          </cell>
          <cell r="Q507">
            <v>0</v>
          </cell>
        </row>
        <row r="508">
          <cell r="A508">
            <v>70145</v>
          </cell>
          <cell r="B508" t="str">
            <v>Outside Repairs</v>
          </cell>
          <cell r="E508">
            <v>0</v>
          </cell>
          <cell r="F508">
            <v>0</v>
          </cell>
          <cell r="G508">
            <v>0</v>
          </cell>
          <cell r="H508">
            <v>0</v>
          </cell>
          <cell r="I508">
            <v>0</v>
          </cell>
          <cell r="J508">
            <v>0</v>
          </cell>
          <cell r="K508">
            <v>0</v>
          </cell>
          <cell r="L508">
            <v>0</v>
          </cell>
          <cell r="M508">
            <v>0</v>
          </cell>
          <cell r="N508">
            <v>0</v>
          </cell>
          <cell r="O508">
            <v>0</v>
          </cell>
          <cell r="P508">
            <v>0</v>
          </cell>
          <cell r="Q508">
            <v>0</v>
          </cell>
        </row>
        <row r="509">
          <cell r="A509">
            <v>70147</v>
          </cell>
          <cell r="B509" t="str">
            <v>Bldg &amp; Property Maint</v>
          </cell>
          <cell r="E509">
            <v>0</v>
          </cell>
          <cell r="F509">
            <v>0</v>
          </cell>
          <cell r="G509">
            <v>0</v>
          </cell>
          <cell r="H509">
            <v>0</v>
          </cell>
          <cell r="I509">
            <v>0</v>
          </cell>
          <cell r="J509">
            <v>0</v>
          </cell>
          <cell r="K509">
            <v>0</v>
          </cell>
          <cell r="L509">
            <v>0</v>
          </cell>
          <cell r="M509">
            <v>0</v>
          </cell>
          <cell r="N509">
            <v>0</v>
          </cell>
          <cell r="O509">
            <v>0</v>
          </cell>
          <cell r="P509">
            <v>0</v>
          </cell>
          <cell r="Q509">
            <v>0</v>
          </cell>
        </row>
        <row r="510">
          <cell r="A510">
            <v>70148</v>
          </cell>
          <cell r="B510" t="str">
            <v>Allocated Exp In - District</v>
          </cell>
          <cell r="E510">
            <v>2932.61</v>
          </cell>
          <cell r="F510">
            <v>3215.3</v>
          </cell>
          <cell r="G510">
            <v>3962.99</v>
          </cell>
          <cell r="H510">
            <v>2924.73</v>
          </cell>
          <cell r="I510">
            <v>1275.23</v>
          </cell>
          <cell r="J510">
            <v>4265.58</v>
          </cell>
          <cell r="K510">
            <v>8940.42</v>
          </cell>
          <cell r="L510">
            <v>7247.4</v>
          </cell>
          <cell r="M510">
            <v>-383</v>
          </cell>
          <cell r="N510">
            <v>2709.33</v>
          </cell>
          <cell r="O510">
            <v>3459.2</v>
          </cell>
          <cell r="P510">
            <v>2793.15</v>
          </cell>
          <cell r="Q510">
            <v>43342.94</v>
          </cell>
        </row>
        <row r="511">
          <cell r="A511">
            <v>70150</v>
          </cell>
          <cell r="B511" t="str">
            <v>Utilities</v>
          </cell>
          <cell r="E511">
            <v>380.73</v>
          </cell>
          <cell r="F511">
            <v>364.13</v>
          </cell>
          <cell r="G511">
            <v>364.19</v>
          </cell>
          <cell r="H511">
            <v>352.07</v>
          </cell>
          <cell r="I511">
            <v>323.74</v>
          </cell>
          <cell r="J511">
            <v>309.05</v>
          </cell>
          <cell r="K511">
            <v>1116.01</v>
          </cell>
          <cell r="L511">
            <v>325.92</v>
          </cell>
          <cell r="M511">
            <v>289.63</v>
          </cell>
          <cell r="N511">
            <v>300.67</v>
          </cell>
          <cell r="O511">
            <v>324.64999999999998</v>
          </cell>
          <cell r="P511">
            <v>559.65</v>
          </cell>
          <cell r="Q511">
            <v>5010.4399999999996</v>
          </cell>
        </row>
        <row r="512">
          <cell r="A512">
            <v>70165</v>
          </cell>
          <cell r="B512" t="str">
            <v>Communications</v>
          </cell>
          <cell r="E512">
            <v>471.39</v>
          </cell>
          <cell r="F512">
            <v>299.95</v>
          </cell>
          <cell r="G512">
            <v>548.38</v>
          </cell>
          <cell r="H512">
            <v>403.25</v>
          </cell>
          <cell r="I512">
            <v>472.01</v>
          </cell>
          <cell r="J512">
            <v>532</v>
          </cell>
          <cell r="K512">
            <v>463.52</v>
          </cell>
          <cell r="L512">
            <v>1173.68</v>
          </cell>
          <cell r="M512">
            <v>539.39</v>
          </cell>
          <cell r="N512">
            <v>124.82</v>
          </cell>
          <cell r="O512">
            <v>370.1</v>
          </cell>
          <cell r="P512">
            <v>2409.2399999999998</v>
          </cell>
          <cell r="Q512">
            <v>7807.73</v>
          </cell>
        </row>
        <row r="513">
          <cell r="A513">
            <v>70166</v>
          </cell>
          <cell r="B513" t="str">
            <v>Office Telephone</v>
          </cell>
          <cell r="E513">
            <v>0</v>
          </cell>
          <cell r="F513">
            <v>0</v>
          </cell>
          <cell r="G513">
            <v>0</v>
          </cell>
          <cell r="H513">
            <v>0</v>
          </cell>
          <cell r="I513">
            <v>0</v>
          </cell>
          <cell r="J513">
            <v>0</v>
          </cell>
          <cell r="K513">
            <v>0</v>
          </cell>
          <cell r="L513">
            <v>0</v>
          </cell>
          <cell r="M513">
            <v>0</v>
          </cell>
          <cell r="N513">
            <v>0</v>
          </cell>
          <cell r="O513">
            <v>0</v>
          </cell>
          <cell r="P513">
            <v>0</v>
          </cell>
          <cell r="Q513">
            <v>0</v>
          </cell>
        </row>
        <row r="514">
          <cell r="A514">
            <v>70167</v>
          </cell>
          <cell r="B514" t="str">
            <v>Cellular Telephone</v>
          </cell>
          <cell r="E514">
            <v>18.989999999999998</v>
          </cell>
          <cell r="F514">
            <v>62.24</v>
          </cell>
          <cell r="G514">
            <v>118.47</v>
          </cell>
          <cell r="H514">
            <v>68.52</v>
          </cell>
          <cell r="I514">
            <v>56.02</v>
          </cell>
          <cell r="J514">
            <v>68.52</v>
          </cell>
          <cell r="K514">
            <v>118.98</v>
          </cell>
          <cell r="L514">
            <v>62.5</v>
          </cell>
          <cell r="M514">
            <v>25</v>
          </cell>
          <cell r="N514">
            <v>-73.709999999999994</v>
          </cell>
          <cell r="O514">
            <v>223.71</v>
          </cell>
          <cell r="P514">
            <v>50</v>
          </cell>
          <cell r="Q514">
            <v>799.24</v>
          </cell>
        </row>
        <row r="515">
          <cell r="A515">
            <v>70170</v>
          </cell>
          <cell r="B515" t="str">
            <v>Real Estate Rentals</v>
          </cell>
          <cell r="E515">
            <v>0</v>
          </cell>
          <cell r="F515">
            <v>0</v>
          </cell>
          <cell r="G515">
            <v>0</v>
          </cell>
          <cell r="H515">
            <v>0</v>
          </cell>
          <cell r="I515">
            <v>0</v>
          </cell>
          <cell r="J515">
            <v>0</v>
          </cell>
          <cell r="K515">
            <v>0</v>
          </cell>
          <cell r="L515">
            <v>0</v>
          </cell>
          <cell r="M515">
            <v>0</v>
          </cell>
          <cell r="N515">
            <v>0</v>
          </cell>
          <cell r="O515">
            <v>0</v>
          </cell>
          <cell r="P515">
            <v>3168.8</v>
          </cell>
          <cell r="Q515">
            <v>3168.8</v>
          </cell>
        </row>
        <row r="516">
          <cell r="A516">
            <v>70175</v>
          </cell>
          <cell r="B516" t="str">
            <v>Equip/Vehicle Rental</v>
          </cell>
          <cell r="E516">
            <v>0</v>
          </cell>
          <cell r="F516">
            <v>0</v>
          </cell>
          <cell r="G516">
            <v>0</v>
          </cell>
          <cell r="H516">
            <v>0</v>
          </cell>
          <cell r="I516">
            <v>0</v>
          </cell>
          <cell r="J516">
            <v>0</v>
          </cell>
          <cell r="K516">
            <v>0</v>
          </cell>
          <cell r="L516">
            <v>0</v>
          </cell>
          <cell r="M516">
            <v>0</v>
          </cell>
          <cell r="N516">
            <v>0</v>
          </cell>
          <cell r="O516">
            <v>0</v>
          </cell>
          <cell r="P516">
            <v>0</v>
          </cell>
          <cell r="Q516">
            <v>0</v>
          </cell>
        </row>
        <row r="517">
          <cell r="A517">
            <v>70185</v>
          </cell>
          <cell r="B517" t="str">
            <v>Postage</v>
          </cell>
          <cell r="E517">
            <v>554.46</v>
          </cell>
          <cell r="F517">
            <v>488.09</v>
          </cell>
          <cell r="G517">
            <v>167.53</v>
          </cell>
          <cell r="H517">
            <v>594.19000000000005</v>
          </cell>
          <cell r="I517">
            <v>578.76</v>
          </cell>
          <cell r="J517">
            <v>533.45000000000005</v>
          </cell>
          <cell r="K517">
            <v>916.47</v>
          </cell>
          <cell r="L517">
            <v>529.91</v>
          </cell>
          <cell r="M517">
            <v>533.41</v>
          </cell>
          <cell r="N517">
            <v>625</v>
          </cell>
          <cell r="O517">
            <v>547.6</v>
          </cell>
          <cell r="P517">
            <v>547.17999999999995</v>
          </cell>
          <cell r="Q517">
            <v>6616.05</v>
          </cell>
        </row>
        <row r="518">
          <cell r="A518">
            <v>70190</v>
          </cell>
          <cell r="B518" t="str">
            <v>Registration Fees</v>
          </cell>
          <cell r="E518">
            <v>0</v>
          </cell>
          <cell r="F518">
            <v>0</v>
          </cell>
          <cell r="G518">
            <v>0</v>
          </cell>
          <cell r="H518">
            <v>0</v>
          </cell>
          <cell r="I518">
            <v>0</v>
          </cell>
          <cell r="J518">
            <v>0</v>
          </cell>
          <cell r="K518">
            <v>0</v>
          </cell>
          <cell r="L518">
            <v>0</v>
          </cell>
          <cell r="M518">
            <v>0</v>
          </cell>
          <cell r="N518">
            <v>0</v>
          </cell>
          <cell r="O518">
            <v>0</v>
          </cell>
          <cell r="P518">
            <v>0</v>
          </cell>
          <cell r="Q518">
            <v>0</v>
          </cell>
        </row>
        <row r="519">
          <cell r="A519">
            <v>70195</v>
          </cell>
          <cell r="B519" t="str">
            <v>Dues and Subscriptions</v>
          </cell>
          <cell r="E519">
            <v>913</v>
          </cell>
          <cell r="F519">
            <v>1939.67</v>
          </cell>
          <cell r="G519">
            <v>663</v>
          </cell>
          <cell r="H519">
            <v>2175.4699999999998</v>
          </cell>
          <cell r="I519">
            <v>775.41</v>
          </cell>
          <cell r="J519">
            <v>1375.47</v>
          </cell>
          <cell r="K519">
            <v>833</v>
          </cell>
          <cell r="L519">
            <v>2029.58</v>
          </cell>
          <cell r="M519">
            <v>672.93</v>
          </cell>
          <cell r="N519">
            <v>1244.56</v>
          </cell>
          <cell r="O519">
            <v>2034.76</v>
          </cell>
          <cell r="P519">
            <v>974.76</v>
          </cell>
          <cell r="Q519">
            <v>15631.61</v>
          </cell>
        </row>
        <row r="520">
          <cell r="A520">
            <v>70196</v>
          </cell>
          <cell r="B520" t="str">
            <v>Club Dues</v>
          </cell>
          <cell r="E520">
            <v>0</v>
          </cell>
          <cell r="F520">
            <v>0</v>
          </cell>
          <cell r="G520">
            <v>0</v>
          </cell>
          <cell r="H520">
            <v>0</v>
          </cell>
          <cell r="I520">
            <v>0</v>
          </cell>
          <cell r="J520">
            <v>0</v>
          </cell>
          <cell r="K520">
            <v>0</v>
          </cell>
          <cell r="L520">
            <v>0</v>
          </cell>
          <cell r="M520">
            <v>0</v>
          </cell>
          <cell r="N520">
            <v>0</v>
          </cell>
          <cell r="O520">
            <v>0</v>
          </cell>
          <cell r="P520">
            <v>0</v>
          </cell>
          <cell r="Q520">
            <v>0</v>
          </cell>
        </row>
        <row r="521">
          <cell r="A521">
            <v>70200</v>
          </cell>
          <cell r="B521" t="str">
            <v>Travel</v>
          </cell>
          <cell r="E521">
            <v>284.18</v>
          </cell>
          <cell r="F521">
            <v>570.14</v>
          </cell>
          <cell r="G521">
            <v>-220.29</v>
          </cell>
          <cell r="H521">
            <v>1900</v>
          </cell>
          <cell r="I521">
            <v>-1665.7</v>
          </cell>
          <cell r="J521">
            <v>263.64999999999998</v>
          </cell>
          <cell r="K521">
            <v>203.4</v>
          </cell>
          <cell r="L521">
            <v>-15.5</v>
          </cell>
          <cell r="M521">
            <v>340.62</v>
          </cell>
          <cell r="N521">
            <v>348.94</v>
          </cell>
          <cell r="O521">
            <v>14.75</v>
          </cell>
          <cell r="P521">
            <v>68.2</v>
          </cell>
          <cell r="Q521">
            <v>2092.3899999999994</v>
          </cell>
        </row>
        <row r="522">
          <cell r="A522">
            <v>70201</v>
          </cell>
          <cell r="B522" t="str">
            <v>Entertainment</v>
          </cell>
          <cell r="E522">
            <v>0</v>
          </cell>
          <cell r="F522">
            <v>7.85</v>
          </cell>
          <cell r="G522">
            <v>137.01</v>
          </cell>
          <cell r="H522">
            <v>-29.88</v>
          </cell>
          <cell r="I522">
            <v>73.069999999999993</v>
          </cell>
          <cell r="J522">
            <v>428.59</v>
          </cell>
          <cell r="K522">
            <v>-290.98</v>
          </cell>
          <cell r="L522">
            <v>540.96</v>
          </cell>
          <cell r="M522">
            <v>-468.86</v>
          </cell>
          <cell r="N522">
            <v>13.96</v>
          </cell>
          <cell r="O522">
            <v>0</v>
          </cell>
          <cell r="P522">
            <v>0</v>
          </cell>
          <cell r="Q522">
            <v>411.71999999999997</v>
          </cell>
        </row>
        <row r="523">
          <cell r="A523">
            <v>70202</v>
          </cell>
          <cell r="B523" t="str">
            <v>Excursions Meetings</v>
          </cell>
          <cell r="E523">
            <v>0</v>
          </cell>
          <cell r="F523">
            <v>115.17</v>
          </cell>
          <cell r="G523">
            <v>0</v>
          </cell>
          <cell r="H523">
            <v>0</v>
          </cell>
          <cell r="I523">
            <v>0</v>
          </cell>
          <cell r="J523">
            <v>416.25</v>
          </cell>
          <cell r="K523">
            <v>0</v>
          </cell>
          <cell r="L523">
            <v>0</v>
          </cell>
          <cell r="M523">
            <v>0</v>
          </cell>
          <cell r="N523">
            <v>46.73</v>
          </cell>
          <cell r="O523">
            <v>-46.73</v>
          </cell>
          <cell r="P523">
            <v>0</v>
          </cell>
          <cell r="Q523">
            <v>531.41999999999996</v>
          </cell>
        </row>
        <row r="524">
          <cell r="A524">
            <v>70203</v>
          </cell>
          <cell r="B524" t="str">
            <v>Lodging</v>
          </cell>
          <cell r="E524">
            <v>-462.54</v>
          </cell>
          <cell r="F524">
            <v>0</v>
          </cell>
          <cell r="G524">
            <v>0</v>
          </cell>
          <cell r="H524">
            <v>326.7</v>
          </cell>
          <cell r="I524">
            <v>193</v>
          </cell>
          <cell r="J524">
            <v>436.86</v>
          </cell>
          <cell r="K524">
            <v>-170.97</v>
          </cell>
          <cell r="L524">
            <v>841.43</v>
          </cell>
          <cell r="M524">
            <v>127.5</v>
          </cell>
          <cell r="N524">
            <v>159.44</v>
          </cell>
          <cell r="O524">
            <v>-28.18</v>
          </cell>
          <cell r="P524">
            <v>171.48</v>
          </cell>
          <cell r="Q524">
            <v>1594.72</v>
          </cell>
        </row>
        <row r="525">
          <cell r="A525">
            <v>70204</v>
          </cell>
          <cell r="B525" t="str">
            <v>Gifts to Customers</v>
          </cell>
          <cell r="E525">
            <v>0</v>
          </cell>
          <cell r="F525">
            <v>0</v>
          </cell>
          <cell r="G525">
            <v>0</v>
          </cell>
          <cell r="H525">
            <v>0</v>
          </cell>
          <cell r="I525">
            <v>0</v>
          </cell>
          <cell r="J525">
            <v>0</v>
          </cell>
          <cell r="K525">
            <v>0</v>
          </cell>
          <cell r="L525">
            <v>0</v>
          </cell>
          <cell r="M525">
            <v>0</v>
          </cell>
          <cell r="N525">
            <v>0</v>
          </cell>
          <cell r="O525">
            <v>0</v>
          </cell>
          <cell r="P525">
            <v>0</v>
          </cell>
          <cell r="Q525">
            <v>0</v>
          </cell>
        </row>
        <row r="526">
          <cell r="A526">
            <v>70205</v>
          </cell>
          <cell r="B526" t="str">
            <v>Travel - Auto</v>
          </cell>
          <cell r="E526">
            <v>45.73</v>
          </cell>
          <cell r="F526">
            <v>-10.71</v>
          </cell>
          <cell r="G526">
            <v>526.05999999999995</v>
          </cell>
          <cell r="H526">
            <v>861.17</v>
          </cell>
          <cell r="I526">
            <v>156.44999999999999</v>
          </cell>
          <cell r="J526">
            <v>24.24</v>
          </cell>
          <cell r="K526">
            <v>2459.6</v>
          </cell>
          <cell r="L526">
            <v>-623.04</v>
          </cell>
          <cell r="M526">
            <v>1397.2</v>
          </cell>
          <cell r="N526">
            <v>-382.55</v>
          </cell>
          <cell r="O526">
            <v>-70.31</v>
          </cell>
          <cell r="P526">
            <v>-1079.19</v>
          </cell>
          <cell r="Q526">
            <v>3304.6499999999992</v>
          </cell>
        </row>
        <row r="527">
          <cell r="A527">
            <v>70206</v>
          </cell>
          <cell r="B527" t="str">
            <v>Meals</v>
          </cell>
          <cell r="E527">
            <v>-77.31</v>
          </cell>
          <cell r="F527">
            <v>17.46</v>
          </cell>
          <cell r="G527">
            <v>200.29</v>
          </cell>
          <cell r="H527">
            <v>-74.84</v>
          </cell>
          <cell r="I527">
            <v>191.59</v>
          </cell>
          <cell r="J527">
            <v>1.26</v>
          </cell>
          <cell r="K527">
            <v>-7.59</v>
          </cell>
          <cell r="L527">
            <v>350.62</v>
          </cell>
          <cell r="M527">
            <v>-21.04</v>
          </cell>
          <cell r="N527">
            <v>31.96</v>
          </cell>
          <cell r="O527">
            <v>562.61</v>
          </cell>
          <cell r="P527">
            <v>262.97000000000003</v>
          </cell>
          <cell r="Q527">
            <v>1437.9800000000002</v>
          </cell>
        </row>
        <row r="528">
          <cell r="A528">
            <v>70207</v>
          </cell>
          <cell r="B528" t="str">
            <v>Meals with Customers</v>
          </cell>
          <cell r="E528">
            <v>0</v>
          </cell>
          <cell r="F528">
            <v>0</v>
          </cell>
          <cell r="G528">
            <v>0</v>
          </cell>
          <cell r="H528">
            <v>0</v>
          </cell>
          <cell r="I528">
            <v>0</v>
          </cell>
          <cell r="J528">
            <v>0</v>
          </cell>
          <cell r="K528">
            <v>0</v>
          </cell>
          <cell r="L528">
            <v>0</v>
          </cell>
          <cell r="M528">
            <v>0</v>
          </cell>
          <cell r="N528">
            <v>0</v>
          </cell>
          <cell r="O528">
            <v>0</v>
          </cell>
          <cell r="P528">
            <v>0</v>
          </cell>
          <cell r="Q528">
            <v>0</v>
          </cell>
        </row>
        <row r="529">
          <cell r="A529">
            <v>70209</v>
          </cell>
          <cell r="B529" t="str">
            <v>Photo Supplies</v>
          </cell>
          <cell r="E529">
            <v>0</v>
          </cell>
          <cell r="F529">
            <v>0</v>
          </cell>
          <cell r="G529">
            <v>0</v>
          </cell>
          <cell r="H529">
            <v>0</v>
          </cell>
          <cell r="I529">
            <v>0</v>
          </cell>
          <cell r="J529">
            <v>0</v>
          </cell>
          <cell r="K529">
            <v>0</v>
          </cell>
          <cell r="L529">
            <v>0</v>
          </cell>
          <cell r="M529">
            <v>0</v>
          </cell>
          <cell r="N529">
            <v>0</v>
          </cell>
          <cell r="O529">
            <v>0</v>
          </cell>
          <cell r="P529">
            <v>0</v>
          </cell>
          <cell r="Q529">
            <v>0</v>
          </cell>
        </row>
        <row r="530">
          <cell r="A530">
            <v>70210</v>
          </cell>
          <cell r="B530" t="str">
            <v>Office Supplies and Equip</v>
          </cell>
          <cell r="E530">
            <v>5866.86</v>
          </cell>
          <cell r="F530">
            <v>2088.08</v>
          </cell>
          <cell r="G530">
            <v>1297.8399999999999</v>
          </cell>
          <cell r="H530">
            <v>1260.67</v>
          </cell>
          <cell r="I530">
            <v>1042.3699999999999</v>
          </cell>
          <cell r="J530">
            <v>1576.14</v>
          </cell>
          <cell r="K530">
            <v>1736.71</v>
          </cell>
          <cell r="L530">
            <v>1305.27</v>
          </cell>
          <cell r="M530">
            <v>1356.75</v>
          </cell>
          <cell r="N530">
            <v>4188.3100000000004</v>
          </cell>
          <cell r="O530">
            <v>352.32</v>
          </cell>
          <cell r="P530">
            <v>2617.98</v>
          </cell>
          <cell r="Q530">
            <v>24689.3</v>
          </cell>
        </row>
        <row r="531">
          <cell r="A531">
            <v>70213</v>
          </cell>
          <cell r="B531" t="str">
            <v>Pcard Rebate</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row>
        <row r="532">
          <cell r="A532">
            <v>70214</v>
          </cell>
          <cell r="B532" t="str">
            <v>Credit Card Fees</v>
          </cell>
          <cell r="E532">
            <v>2484.66</v>
          </cell>
          <cell r="F532">
            <v>2690.82</v>
          </cell>
          <cell r="G532">
            <v>2823.76</v>
          </cell>
          <cell r="H532">
            <v>2495.84</v>
          </cell>
          <cell r="I532">
            <v>2467.4499999999998</v>
          </cell>
          <cell r="J532">
            <v>2868.03</v>
          </cell>
          <cell r="K532">
            <v>2914.02</v>
          </cell>
          <cell r="L532">
            <v>3099.61</v>
          </cell>
          <cell r="M532">
            <v>3243.81</v>
          </cell>
          <cell r="N532">
            <v>129.69</v>
          </cell>
          <cell r="O532">
            <v>6329.67</v>
          </cell>
          <cell r="P532">
            <v>3002.76</v>
          </cell>
          <cell r="Q532">
            <v>34550.120000000003</v>
          </cell>
        </row>
        <row r="533">
          <cell r="A533">
            <v>70215</v>
          </cell>
          <cell r="B533" t="str">
            <v>Bank Charges</v>
          </cell>
          <cell r="E533">
            <v>146.88</v>
          </cell>
          <cell r="F533">
            <v>148.75</v>
          </cell>
          <cell r="G533">
            <v>150.41999999999999</v>
          </cell>
          <cell r="H533">
            <v>150.63</v>
          </cell>
          <cell r="I533">
            <v>131.56</v>
          </cell>
          <cell r="J533">
            <v>137.5</v>
          </cell>
          <cell r="K533">
            <v>0</v>
          </cell>
          <cell r="L533">
            <v>129.06</v>
          </cell>
          <cell r="M533">
            <v>133.75</v>
          </cell>
          <cell r="N533">
            <v>0</v>
          </cell>
          <cell r="O533">
            <v>264.07</v>
          </cell>
          <cell r="P533">
            <v>18.73</v>
          </cell>
          <cell r="Q533">
            <v>1411.35</v>
          </cell>
        </row>
        <row r="534">
          <cell r="A534">
            <v>70216</v>
          </cell>
          <cell r="B534" t="str">
            <v>Outside Storages</v>
          </cell>
          <cell r="E534">
            <v>0</v>
          </cell>
          <cell r="F534">
            <v>0</v>
          </cell>
          <cell r="G534">
            <v>0</v>
          </cell>
          <cell r="H534">
            <v>0</v>
          </cell>
          <cell r="I534">
            <v>0</v>
          </cell>
          <cell r="J534">
            <v>0</v>
          </cell>
          <cell r="K534">
            <v>0</v>
          </cell>
          <cell r="L534">
            <v>0</v>
          </cell>
          <cell r="M534">
            <v>0</v>
          </cell>
          <cell r="N534">
            <v>0</v>
          </cell>
          <cell r="O534">
            <v>0</v>
          </cell>
          <cell r="P534">
            <v>0</v>
          </cell>
          <cell r="Q534">
            <v>0</v>
          </cell>
        </row>
        <row r="535">
          <cell r="A535">
            <v>70217</v>
          </cell>
          <cell r="B535" t="str">
            <v>Invoice Printing Costs</v>
          </cell>
          <cell r="E535">
            <v>0</v>
          </cell>
          <cell r="F535">
            <v>0</v>
          </cell>
          <cell r="G535">
            <v>0</v>
          </cell>
          <cell r="H535">
            <v>0</v>
          </cell>
          <cell r="I535">
            <v>0</v>
          </cell>
          <cell r="J535">
            <v>0</v>
          </cell>
          <cell r="K535">
            <v>0</v>
          </cell>
          <cell r="L535">
            <v>0</v>
          </cell>
          <cell r="M535">
            <v>0</v>
          </cell>
          <cell r="N535">
            <v>0</v>
          </cell>
          <cell r="O535">
            <v>0</v>
          </cell>
          <cell r="P535">
            <v>0</v>
          </cell>
          <cell r="Q535">
            <v>0</v>
          </cell>
        </row>
        <row r="536">
          <cell r="A536">
            <v>70225</v>
          </cell>
          <cell r="B536" t="str">
            <v>Advertising and Promotions</v>
          </cell>
          <cell r="E536">
            <v>0</v>
          </cell>
          <cell r="F536">
            <v>473.41</v>
          </cell>
          <cell r="G536">
            <v>0</v>
          </cell>
          <cell r="H536">
            <v>10.55</v>
          </cell>
          <cell r="I536">
            <v>0</v>
          </cell>
          <cell r="J536">
            <v>0</v>
          </cell>
          <cell r="K536">
            <v>0</v>
          </cell>
          <cell r="L536">
            <v>0</v>
          </cell>
          <cell r="M536">
            <v>0</v>
          </cell>
          <cell r="N536">
            <v>0</v>
          </cell>
          <cell r="O536">
            <v>311.8</v>
          </cell>
          <cell r="P536">
            <v>0</v>
          </cell>
          <cell r="Q536">
            <v>795.76</v>
          </cell>
        </row>
        <row r="537">
          <cell r="A537">
            <v>70230</v>
          </cell>
          <cell r="B537" t="str">
            <v>External Recruiter Fees</v>
          </cell>
          <cell r="E537">
            <v>0</v>
          </cell>
          <cell r="F537">
            <v>0</v>
          </cell>
          <cell r="G537">
            <v>0</v>
          </cell>
          <cell r="H537">
            <v>0</v>
          </cell>
          <cell r="I537">
            <v>0</v>
          </cell>
          <cell r="J537">
            <v>0</v>
          </cell>
          <cell r="K537">
            <v>0</v>
          </cell>
          <cell r="L537">
            <v>0</v>
          </cell>
          <cell r="M537">
            <v>0</v>
          </cell>
          <cell r="N537">
            <v>0</v>
          </cell>
          <cell r="O537">
            <v>0</v>
          </cell>
          <cell r="P537">
            <v>0</v>
          </cell>
          <cell r="Q537">
            <v>0</v>
          </cell>
        </row>
        <row r="538">
          <cell r="A538">
            <v>70231</v>
          </cell>
          <cell r="B538" t="str">
            <v>Recruitment Advertising &amp; Expenses</v>
          </cell>
          <cell r="E538">
            <v>0</v>
          </cell>
          <cell r="F538">
            <v>0</v>
          </cell>
          <cell r="G538">
            <v>0</v>
          </cell>
          <cell r="H538">
            <v>0</v>
          </cell>
          <cell r="I538">
            <v>0</v>
          </cell>
          <cell r="J538">
            <v>0</v>
          </cell>
          <cell r="K538">
            <v>0</v>
          </cell>
          <cell r="L538">
            <v>0</v>
          </cell>
          <cell r="M538">
            <v>108.21</v>
          </cell>
          <cell r="N538">
            <v>0</v>
          </cell>
          <cell r="O538">
            <v>0</v>
          </cell>
          <cell r="P538">
            <v>0</v>
          </cell>
          <cell r="Q538">
            <v>108.21</v>
          </cell>
        </row>
        <row r="539">
          <cell r="A539">
            <v>70232</v>
          </cell>
          <cell r="B539" t="str">
            <v>Recruitment Travel Expenses</v>
          </cell>
          <cell r="E539">
            <v>0</v>
          </cell>
          <cell r="F539">
            <v>0</v>
          </cell>
          <cell r="G539">
            <v>0</v>
          </cell>
          <cell r="H539">
            <v>0</v>
          </cell>
          <cell r="I539">
            <v>0</v>
          </cell>
          <cell r="J539">
            <v>0</v>
          </cell>
          <cell r="K539">
            <v>0</v>
          </cell>
          <cell r="L539">
            <v>0</v>
          </cell>
          <cell r="M539">
            <v>0</v>
          </cell>
          <cell r="N539">
            <v>0</v>
          </cell>
          <cell r="O539">
            <v>0</v>
          </cell>
          <cell r="P539">
            <v>0</v>
          </cell>
          <cell r="Q539">
            <v>0</v>
          </cell>
        </row>
        <row r="540">
          <cell r="A540">
            <v>70235</v>
          </cell>
          <cell r="B540" t="str">
            <v>Legal</v>
          </cell>
          <cell r="E540">
            <v>2439.5700000000002</v>
          </cell>
          <cell r="F540">
            <v>2131.5700000000002</v>
          </cell>
          <cell r="G540">
            <v>3481.88</v>
          </cell>
          <cell r="H540">
            <v>-1738.5</v>
          </cell>
          <cell r="I540">
            <v>447.82</v>
          </cell>
          <cell r="J540">
            <v>9856.85</v>
          </cell>
          <cell r="K540">
            <v>1380.87</v>
          </cell>
          <cell r="L540">
            <v>9752.81</v>
          </cell>
          <cell r="M540">
            <v>14711.58</v>
          </cell>
          <cell r="N540">
            <v>-607.33000000000004</v>
          </cell>
          <cell r="O540">
            <v>1378.45</v>
          </cell>
          <cell r="P540">
            <v>10240.9</v>
          </cell>
          <cell r="Q540">
            <v>53476.47</v>
          </cell>
        </row>
        <row r="541">
          <cell r="A541">
            <v>70240</v>
          </cell>
          <cell r="B541" t="str">
            <v>Accounting Professional Fees</v>
          </cell>
          <cell r="E541">
            <v>0</v>
          </cell>
          <cell r="F541">
            <v>0</v>
          </cell>
          <cell r="G541">
            <v>0</v>
          </cell>
          <cell r="H541">
            <v>0</v>
          </cell>
          <cell r="I541">
            <v>0</v>
          </cell>
          <cell r="J541">
            <v>0</v>
          </cell>
          <cell r="K541">
            <v>0</v>
          </cell>
          <cell r="L541">
            <v>0</v>
          </cell>
          <cell r="M541">
            <v>0</v>
          </cell>
          <cell r="N541">
            <v>0</v>
          </cell>
          <cell r="O541">
            <v>0</v>
          </cell>
          <cell r="P541">
            <v>0</v>
          </cell>
          <cell r="Q541">
            <v>0</v>
          </cell>
        </row>
        <row r="542">
          <cell r="A542">
            <v>70245</v>
          </cell>
          <cell r="B542" t="str">
            <v>Payroll Processing Fees</v>
          </cell>
          <cell r="E542">
            <v>99.03</v>
          </cell>
          <cell r="F542">
            <v>97.9</v>
          </cell>
          <cell r="G542">
            <v>97.9</v>
          </cell>
          <cell r="H542">
            <v>97.9</v>
          </cell>
          <cell r="I542">
            <v>97.9</v>
          </cell>
          <cell r="J542">
            <v>97.9</v>
          </cell>
          <cell r="K542">
            <v>97.9</v>
          </cell>
          <cell r="L542">
            <v>80.55</v>
          </cell>
          <cell r="M542">
            <v>80.55</v>
          </cell>
          <cell r="N542">
            <v>80.55</v>
          </cell>
          <cell r="O542">
            <v>80.680000000000007</v>
          </cell>
          <cell r="P542">
            <v>80.680000000000007</v>
          </cell>
          <cell r="Q542">
            <v>1089.4399999999998</v>
          </cell>
        </row>
        <row r="543">
          <cell r="A543">
            <v>70250</v>
          </cell>
          <cell r="B543" t="str">
            <v>Acquisition Cost Write Off</v>
          </cell>
          <cell r="E543">
            <v>0</v>
          </cell>
          <cell r="F543">
            <v>0</v>
          </cell>
          <cell r="G543">
            <v>0</v>
          </cell>
          <cell r="H543">
            <v>0</v>
          </cell>
          <cell r="I543">
            <v>0</v>
          </cell>
          <cell r="J543">
            <v>0</v>
          </cell>
          <cell r="K543">
            <v>0</v>
          </cell>
          <cell r="L543">
            <v>0</v>
          </cell>
          <cell r="M543">
            <v>0</v>
          </cell>
          <cell r="N543">
            <v>0</v>
          </cell>
          <cell r="O543">
            <v>0</v>
          </cell>
          <cell r="P543">
            <v>0</v>
          </cell>
          <cell r="Q543">
            <v>0</v>
          </cell>
        </row>
        <row r="544">
          <cell r="A544">
            <v>70254</v>
          </cell>
          <cell r="B544" t="str">
            <v>Corporate Capitalized Expenses</v>
          </cell>
          <cell r="E544">
            <v>0</v>
          </cell>
          <cell r="F544">
            <v>0</v>
          </cell>
          <cell r="G544">
            <v>0</v>
          </cell>
          <cell r="H544">
            <v>0</v>
          </cell>
          <cell r="I544">
            <v>0</v>
          </cell>
          <cell r="J544">
            <v>0</v>
          </cell>
          <cell r="K544">
            <v>0</v>
          </cell>
          <cell r="L544">
            <v>0</v>
          </cell>
          <cell r="M544">
            <v>0</v>
          </cell>
          <cell r="N544">
            <v>0</v>
          </cell>
          <cell r="O544">
            <v>0</v>
          </cell>
          <cell r="P544">
            <v>0</v>
          </cell>
          <cell r="Q544">
            <v>0</v>
          </cell>
        </row>
        <row r="545">
          <cell r="A545">
            <v>70255</v>
          </cell>
          <cell r="B545" t="str">
            <v>Other Prof Fees</v>
          </cell>
          <cell r="E545">
            <v>0</v>
          </cell>
          <cell r="F545">
            <v>219.75</v>
          </cell>
          <cell r="G545">
            <v>56.21</v>
          </cell>
          <cell r="H545">
            <v>0</v>
          </cell>
          <cell r="I545">
            <v>0</v>
          </cell>
          <cell r="J545">
            <v>56.21</v>
          </cell>
          <cell r="K545">
            <v>0</v>
          </cell>
          <cell r="L545">
            <v>0</v>
          </cell>
          <cell r="M545">
            <v>56.21</v>
          </cell>
          <cell r="N545">
            <v>0</v>
          </cell>
          <cell r="O545">
            <v>-84.14</v>
          </cell>
          <cell r="P545">
            <v>482.7</v>
          </cell>
          <cell r="Q545">
            <v>786.93999999999994</v>
          </cell>
        </row>
        <row r="546">
          <cell r="A546">
            <v>70271</v>
          </cell>
          <cell r="B546" t="str">
            <v>Property and Liability Insurance</v>
          </cell>
          <cell r="E546">
            <v>0</v>
          </cell>
          <cell r="F546">
            <v>0</v>
          </cell>
          <cell r="G546">
            <v>0</v>
          </cell>
          <cell r="H546">
            <v>0</v>
          </cell>
          <cell r="I546">
            <v>0</v>
          </cell>
          <cell r="J546">
            <v>0</v>
          </cell>
          <cell r="K546">
            <v>0</v>
          </cell>
          <cell r="L546">
            <v>0</v>
          </cell>
          <cell r="M546">
            <v>0</v>
          </cell>
          <cell r="N546">
            <v>0</v>
          </cell>
          <cell r="O546">
            <v>0</v>
          </cell>
          <cell r="P546">
            <v>0</v>
          </cell>
          <cell r="Q546">
            <v>0</v>
          </cell>
        </row>
        <row r="547">
          <cell r="A547">
            <v>70272</v>
          </cell>
          <cell r="B547" t="str">
            <v>Keyman Life Insurance</v>
          </cell>
          <cell r="E547">
            <v>0</v>
          </cell>
          <cell r="F547">
            <v>0</v>
          </cell>
          <cell r="G547">
            <v>0</v>
          </cell>
          <cell r="H547">
            <v>0</v>
          </cell>
          <cell r="I547">
            <v>0</v>
          </cell>
          <cell r="J547">
            <v>0</v>
          </cell>
          <cell r="K547">
            <v>0</v>
          </cell>
          <cell r="L547">
            <v>0</v>
          </cell>
          <cell r="M547">
            <v>0</v>
          </cell>
          <cell r="N547">
            <v>0</v>
          </cell>
          <cell r="O547">
            <v>0</v>
          </cell>
          <cell r="P547">
            <v>0</v>
          </cell>
          <cell r="Q547">
            <v>0</v>
          </cell>
        </row>
        <row r="548">
          <cell r="A548">
            <v>70273</v>
          </cell>
          <cell r="B548" t="str">
            <v>Directors and Officers Insurance</v>
          </cell>
          <cell r="E548">
            <v>0</v>
          </cell>
          <cell r="F548">
            <v>0</v>
          </cell>
          <cell r="G548">
            <v>0</v>
          </cell>
          <cell r="H548">
            <v>0</v>
          </cell>
          <cell r="I548">
            <v>0</v>
          </cell>
          <cell r="J548">
            <v>0</v>
          </cell>
          <cell r="K548">
            <v>0</v>
          </cell>
          <cell r="L548">
            <v>0</v>
          </cell>
          <cell r="M548">
            <v>0</v>
          </cell>
          <cell r="N548">
            <v>0</v>
          </cell>
          <cell r="O548">
            <v>0</v>
          </cell>
          <cell r="P548">
            <v>0</v>
          </cell>
          <cell r="Q548">
            <v>0</v>
          </cell>
        </row>
        <row r="549">
          <cell r="A549">
            <v>70275</v>
          </cell>
          <cell r="B549" t="str">
            <v>Property Taxes</v>
          </cell>
          <cell r="E549">
            <v>1875</v>
          </cell>
          <cell r="F549">
            <v>1875</v>
          </cell>
          <cell r="G549">
            <v>2015.82</v>
          </cell>
          <cell r="H549">
            <v>2554.7800000000002</v>
          </cell>
          <cell r="I549">
            <v>2554.7800000000002</v>
          </cell>
          <cell r="J549">
            <v>2554.7800000000002</v>
          </cell>
          <cell r="K549">
            <v>3187.6</v>
          </cell>
          <cell r="L549">
            <v>2396.5700000000002</v>
          </cell>
          <cell r="M549">
            <v>2396.5700000000002</v>
          </cell>
          <cell r="N549">
            <v>2449.23</v>
          </cell>
          <cell r="O549">
            <v>2343.73</v>
          </cell>
          <cell r="P549">
            <v>2554.7199999999998</v>
          </cell>
          <cell r="Q549">
            <v>28758.58</v>
          </cell>
        </row>
        <row r="550">
          <cell r="A550">
            <v>70280</v>
          </cell>
          <cell r="B550" t="str">
            <v>Other Taxes</v>
          </cell>
          <cell r="E550">
            <v>0</v>
          </cell>
          <cell r="F550">
            <v>0</v>
          </cell>
          <cell r="G550">
            <v>0</v>
          </cell>
          <cell r="H550">
            <v>0</v>
          </cell>
          <cell r="I550">
            <v>0</v>
          </cell>
          <cell r="J550">
            <v>0</v>
          </cell>
          <cell r="K550">
            <v>0</v>
          </cell>
          <cell r="L550">
            <v>0</v>
          </cell>
          <cell r="M550">
            <v>0</v>
          </cell>
          <cell r="N550">
            <v>0</v>
          </cell>
          <cell r="O550">
            <v>0</v>
          </cell>
          <cell r="P550">
            <v>0</v>
          </cell>
          <cell r="Q550">
            <v>0</v>
          </cell>
        </row>
        <row r="551">
          <cell r="A551">
            <v>70300</v>
          </cell>
          <cell r="B551" t="str">
            <v>Data Processing</v>
          </cell>
          <cell r="E551">
            <v>24958.15</v>
          </cell>
          <cell r="F551">
            <v>2262.73</v>
          </cell>
          <cell r="G551">
            <v>16300.02</v>
          </cell>
          <cell r="H551">
            <v>2127.0700000000002</v>
          </cell>
          <cell r="I551">
            <v>33912.97</v>
          </cell>
          <cell r="J551">
            <v>1054.05</v>
          </cell>
          <cell r="K551">
            <v>22342.57</v>
          </cell>
          <cell r="L551">
            <v>2410.96</v>
          </cell>
          <cell r="M551">
            <v>22431</v>
          </cell>
          <cell r="N551">
            <v>1947.24</v>
          </cell>
          <cell r="O551">
            <v>21688.02</v>
          </cell>
          <cell r="P551">
            <v>-2059.87</v>
          </cell>
          <cell r="Q551">
            <v>149374.91</v>
          </cell>
        </row>
        <row r="552">
          <cell r="A552">
            <v>70301</v>
          </cell>
          <cell r="B552" t="str">
            <v>Computer Software</v>
          </cell>
          <cell r="E552">
            <v>0</v>
          </cell>
          <cell r="F552">
            <v>0</v>
          </cell>
          <cell r="G552">
            <v>0</v>
          </cell>
          <cell r="H552">
            <v>0</v>
          </cell>
          <cell r="I552">
            <v>0</v>
          </cell>
          <cell r="J552">
            <v>0</v>
          </cell>
          <cell r="K552">
            <v>0</v>
          </cell>
          <cell r="L552">
            <v>0</v>
          </cell>
          <cell r="M552">
            <v>0</v>
          </cell>
          <cell r="N552">
            <v>0</v>
          </cell>
          <cell r="O552">
            <v>0</v>
          </cell>
          <cell r="P552">
            <v>0</v>
          </cell>
          <cell r="Q552">
            <v>0</v>
          </cell>
        </row>
        <row r="553">
          <cell r="A553">
            <v>70302</v>
          </cell>
          <cell r="B553" t="str">
            <v>Computer Supplies</v>
          </cell>
          <cell r="E553">
            <v>0</v>
          </cell>
          <cell r="F553">
            <v>145.26</v>
          </cell>
          <cell r="G553">
            <v>231.28</v>
          </cell>
          <cell r="H553">
            <v>0</v>
          </cell>
          <cell r="I553">
            <v>0</v>
          </cell>
          <cell r="J553">
            <v>0</v>
          </cell>
          <cell r="K553">
            <v>0</v>
          </cell>
          <cell r="L553">
            <v>0</v>
          </cell>
          <cell r="M553">
            <v>0</v>
          </cell>
          <cell r="N553">
            <v>1365.11</v>
          </cell>
          <cell r="O553">
            <v>-1365.11</v>
          </cell>
          <cell r="P553">
            <v>187.29</v>
          </cell>
          <cell r="Q553">
            <v>563.82999999999993</v>
          </cell>
        </row>
        <row r="554">
          <cell r="A554">
            <v>70310</v>
          </cell>
          <cell r="B554" t="str">
            <v>Bad Debt Provision</v>
          </cell>
          <cell r="E554">
            <v>59587.53</v>
          </cell>
          <cell r="F554">
            <v>-42181.27</v>
          </cell>
          <cell r="G554">
            <v>26327.15</v>
          </cell>
          <cell r="H554">
            <v>-23518.21</v>
          </cell>
          <cell r="I554">
            <v>45403.42</v>
          </cell>
          <cell r="J554">
            <v>-30919.22</v>
          </cell>
          <cell r="K554">
            <v>58231.48</v>
          </cell>
          <cell r="L554">
            <v>-42566.26</v>
          </cell>
          <cell r="M554">
            <v>51551.54</v>
          </cell>
          <cell r="N554">
            <v>-30438.81</v>
          </cell>
          <cell r="O554">
            <v>61503.66</v>
          </cell>
          <cell r="P554">
            <v>-32663.45</v>
          </cell>
          <cell r="Q554">
            <v>100317.56000000001</v>
          </cell>
        </row>
        <row r="555">
          <cell r="A555">
            <v>70315</v>
          </cell>
          <cell r="B555" t="str">
            <v>Bad Debt Recoveries</v>
          </cell>
          <cell r="E555">
            <v>0</v>
          </cell>
          <cell r="F555">
            <v>0</v>
          </cell>
          <cell r="G555">
            <v>0</v>
          </cell>
          <cell r="H555">
            <v>0</v>
          </cell>
          <cell r="I555">
            <v>0</v>
          </cell>
          <cell r="J555">
            <v>0</v>
          </cell>
          <cell r="K555">
            <v>0</v>
          </cell>
          <cell r="L555">
            <v>0</v>
          </cell>
          <cell r="M555">
            <v>0</v>
          </cell>
          <cell r="N555">
            <v>0</v>
          </cell>
          <cell r="O555">
            <v>0</v>
          </cell>
          <cell r="P555">
            <v>0</v>
          </cell>
          <cell r="Q555">
            <v>0</v>
          </cell>
        </row>
        <row r="556">
          <cell r="A556">
            <v>70320</v>
          </cell>
          <cell r="B556" t="str">
            <v>Credit and Collection</v>
          </cell>
          <cell r="E556">
            <v>6202.09</v>
          </cell>
          <cell r="F556">
            <v>-976.61</v>
          </cell>
          <cell r="G556">
            <v>5260.16</v>
          </cell>
          <cell r="H556">
            <v>-803.96</v>
          </cell>
          <cell r="I556">
            <v>1871.95</v>
          </cell>
          <cell r="J556">
            <v>1067.25</v>
          </cell>
          <cell r="K556">
            <v>1589.22</v>
          </cell>
          <cell r="L556">
            <v>936.71</v>
          </cell>
          <cell r="M556">
            <v>1051.27</v>
          </cell>
          <cell r="N556">
            <v>482.15</v>
          </cell>
          <cell r="O556">
            <v>1946.37</v>
          </cell>
          <cell r="P556">
            <v>5166.42</v>
          </cell>
          <cell r="Q556">
            <v>23793.020000000004</v>
          </cell>
        </row>
        <row r="557">
          <cell r="A557">
            <v>70324</v>
          </cell>
          <cell r="B557" t="str">
            <v>Penalties and Violations</v>
          </cell>
          <cell r="E557">
            <v>0</v>
          </cell>
          <cell r="F557">
            <v>0</v>
          </cell>
          <cell r="G557">
            <v>0</v>
          </cell>
          <cell r="H557">
            <v>0</v>
          </cell>
          <cell r="I557">
            <v>0</v>
          </cell>
          <cell r="J557">
            <v>0</v>
          </cell>
          <cell r="K557">
            <v>0</v>
          </cell>
          <cell r="L557">
            <v>0</v>
          </cell>
          <cell r="M557">
            <v>0</v>
          </cell>
          <cell r="N557">
            <v>0</v>
          </cell>
          <cell r="O557">
            <v>0</v>
          </cell>
          <cell r="P557">
            <v>0</v>
          </cell>
          <cell r="Q557">
            <v>0</v>
          </cell>
        </row>
        <row r="558">
          <cell r="A558">
            <v>70325</v>
          </cell>
          <cell r="B558" t="str">
            <v>Legal Settlement Payments</v>
          </cell>
          <cell r="E558">
            <v>0</v>
          </cell>
          <cell r="F558">
            <v>0</v>
          </cell>
          <cell r="G558">
            <v>0</v>
          </cell>
          <cell r="H558">
            <v>0</v>
          </cell>
          <cell r="I558">
            <v>0</v>
          </cell>
          <cell r="J558">
            <v>0</v>
          </cell>
          <cell r="K558">
            <v>0</v>
          </cell>
          <cell r="L558">
            <v>0</v>
          </cell>
          <cell r="M558">
            <v>0</v>
          </cell>
          <cell r="N558">
            <v>0</v>
          </cell>
          <cell r="O558">
            <v>0</v>
          </cell>
          <cell r="P558">
            <v>0</v>
          </cell>
          <cell r="Q558">
            <v>0</v>
          </cell>
        </row>
        <row r="559">
          <cell r="A559">
            <v>70326</v>
          </cell>
          <cell r="B559" t="str">
            <v>Deductible Current Year</v>
          </cell>
          <cell r="E559">
            <v>0</v>
          </cell>
          <cell r="F559">
            <v>0</v>
          </cell>
          <cell r="G559">
            <v>0</v>
          </cell>
          <cell r="H559">
            <v>0</v>
          </cell>
          <cell r="I559">
            <v>0</v>
          </cell>
          <cell r="J559">
            <v>0</v>
          </cell>
          <cell r="K559">
            <v>0</v>
          </cell>
          <cell r="L559">
            <v>0</v>
          </cell>
          <cell r="M559">
            <v>0</v>
          </cell>
          <cell r="N559">
            <v>0</v>
          </cell>
          <cell r="O559">
            <v>0</v>
          </cell>
          <cell r="P559">
            <v>0</v>
          </cell>
          <cell r="Q559">
            <v>0</v>
          </cell>
        </row>
        <row r="560">
          <cell r="A560">
            <v>70327</v>
          </cell>
          <cell r="B560" t="str">
            <v>Deductible Dammage</v>
          </cell>
          <cell r="E560">
            <v>0</v>
          </cell>
          <cell r="F560">
            <v>0</v>
          </cell>
          <cell r="G560">
            <v>0</v>
          </cell>
          <cell r="H560">
            <v>0</v>
          </cell>
          <cell r="I560">
            <v>0</v>
          </cell>
          <cell r="J560">
            <v>0</v>
          </cell>
          <cell r="K560">
            <v>0</v>
          </cell>
          <cell r="L560">
            <v>0</v>
          </cell>
          <cell r="M560">
            <v>0</v>
          </cell>
          <cell r="N560">
            <v>0</v>
          </cell>
          <cell r="O560">
            <v>0</v>
          </cell>
          <cell r="P560">
            <v>0</v>
          </cell>
          <cell r="Q560">
            <v>0</v>
          </cell>
        </row>
        <row r="561">
          <cell r="A561">
            <v>70328</v>
          </cell>
          <cell r="B561" t="str">
            <v>Claim Recoveries</v>
          </cell>
          <cell r="E561">
            <v>0</v>
          </cell>
          <cell r="F561">
            <v>0</v>
          </cell>
          <cell r="G561">
            <v>0</v>
          </cell>
          <cell r="H561">
            <v>0</v>
          </cell>
          <cell r="I561">
            <v>0</v>
          </cell>
          <cell r="J561">
            <v>0</v>
          </cell>
          <cell r="K561">
            <v>0</v>
          </cell>
          <cell r="L561">
            <v>0</v>
          </cell>
          <cell r="M561">
            <v>0</v>
          </cell>
          <cell r="N561">
            <v>0</v>
          </cell>
          <cell r="O561">
            <v>0</v>
          </cell>
          <cell r="P561">
            <v>0</v>
          </cell>
          <cell r="Q561">
            <v>0</v>
          </cell>
        </row>
        <row r="562">
          <cell r="A562">
            <v>70330</v>
          </cell>
          <cell r="B562" t="str">
            <v>Deductible Prior Year</v>
          </cell>
          <cell r="E562">
            <v>0</v>
          </cell>
          <cell r="F562">
            <v>0</v>
          </cell>
          <cell r="G562">
            <v>0</v>
          </cell>
          <cell r="H562">
            <v>0</v>
          </cell>
          <cell r="I562">
            <v>0</v>
          </cell>
          <cell r="J562">
            <v>0</v>
          </cell>
          <cell r="K562">
            <v>0</v>
          </cell>
          <cell r="L562">
            <v>0</v>
          </cell>
          <cell r="M562">
            <v>0</v>
          </cell>
          <cell r="N562">
            <v>0</v>
          </cell>
          <cell r="O562">
            <v>0</v>
          </cell>
          <cell r="P562">
            <v>0</v>
          </cell>
          <cell r="Q562">
            <v>0</v>
          </cell>
        </row>
        <row r="563">
          <cell r="A563">
            <v>70335</v>
          </cell>
          <cell r="B563" t="str">
            <v>Miscellaneous</v>
          </cell>
          <cell r="E563">
            <v>0</v>
          </cell>
          <cell r="F563">
            <v>0</v>
          </cell>
          <cell r="G563">
            <v>0</v>
          </cell>
          <cell r="H563">
            <v>0</v>
          </cell>
          <cell r="I563">
            <v>0</v>
          </cell>
          <cell r="J563">
            <v>0</v>
          </cell>
          <cell r="K563">
            <v>0</v>
          </cell>
          <cell r="L563">
            <v>0</v>
          </cell>
          <cell r="M563">
            <v>0</v>
          </cell>
          <cell r="N563">
            <v>0</v>
          </cell>
          <cell r="O563">
            <v>0</v>
          </cell>
          <cell r="P563">
            <v>0</v>
          </cell>
          <cell r="Q563">
            <v>0</v>
          </cell>
        </row>
        <row r="564">
          <cell r="A564">
            <v>70336</v>
          </cell>
          <cell r="B564" t="str">
            <v>Coffe Bar</v>
          </cell>
          <cell r="E564">
            <v>0</v>
          </cell>
          <cell r="F564">
            <v>0</v>
          </cell>
          <cell r="G564">
            <v>0</v>
          </cell>
          <cell r="H564">
            <v>0</v>
          </cell>
          <cell r="I564">
            <v>0</v>
          </cell>
          <cell r="J564">
            <v>0</v>
          </cell>
          <cell r="K564">
            <v>0</v>
          </cell>
          <cell r="L564">
            <v>0</v>
          </cell>
          <cell r="M564">
            <v>0</v>
          </cell>
          <cell r="N564">
            <v>0</v>
          </cell>
          <cell r="O564">
            <v>0</v>
          </cell>
          <cell r="P564">
            <v>0</v>
          </cell>
          <cell r="Q564">
            <v>0</v>
          </cell>
        </row>
        <row r="565">
          <cell r="A565">
            <v>70345</v>
          </cell>
          <cell r="B565" t="str">
            <v>Security Services</v>
          </cell>
          <cell r="E565">
            <v>0</v>
          </cell>
          <cell r="F565">
            <v>0</v>
          </cell>
          <cell r="G565">
            <v>0</v>
          </cell>
          <cell r="H565">
            <v>0</v>
          </cell>
          <cell r="I565">
            <v>0</v>
          </cell>
          <cell r="J565">
            <v>0</v>
          </cell>
          <cell r="K565">
            <v>0</v>
          </cell>
          <cell r="L565">
            <v>0</v>
          </cell>
          <cell r="M565">
            <v>0</v>
          </cell>
          <cell r="N565">
            <v>0</v>
          </cell>
          <cell r="O565">
            <v>0</v>
          </cell>
          <cell r="P565">
            <v>0</v>
          </cell>
          <cell r="Q565">
            <v>0</v>
          </cell>
        </row>
        <row r="566">
          <cell r="A566">
            <v>70357</v>
          </cell>
          <cell r="B566" t="str">
            <v>Permits</v>
          </cell>
          <cell r="E566">
            <v>0</v>
          </cell>
          <cell r="F566">
            <v>0</v>
          </cell>
          <cell r="G566">
            <v>0</v>
          </cell>
          <cell r="H566">
            <v>0</v>
          </cell>
          <cell r="I566">
            <v>0</v>
          </cell>
          <cell r="J566">
            <v>0</v>
          </cell>
          <cell r="K566">
            <v>0</v>
          </cell>
          <cell r="L566">
            <v>0</v>
          </cell>
          <cell r="M566">
            <v>0</v>
          </cell>
          <cell r="N566">
            <v>0</v>
          </cell>
          <cell r="O566">
            <v>0</v>
          </cell>
          <cell r="P566">
            <v>0</v>
          </cell>
          <cell r="Q566">
            <v>0</v>
          </cell>
        </row>
        <row r="567">
          <cell r="A567">
            <v>70370</v>
          </cell>
          <cell r="B567" t="str">
            <v>Bonds Expense</v>
          </cell>
          <cell r="E567">
            <v>0</v>
          </cell>
          <cell r="F567">
            <v>0</v>
          </cell>
          <cell r="G567">
            <v>0</v>
          </cell>
          <cell r="H567">
            <v>0</v>
          </cell>
          <cell r="I567">
            <v>0</v>
          </cell>
          <cell r="J567">
            <v>0</v>
          </cell>
          <cell r="K567">
            <v>0</v>
          </cell>
          <cell r="L567">
            <v>0</v>
          </cell>
          <cell r="M567">
            <v>0</v>
          </cell>
          <cell r="N567">
            <v>0</v>
          </cell>
          <cell r="O567">
            <v>0</v>
          </cell>
          <cell r="P567">
            <v>0</v>
          </cell>
          <cell r="Q567">
            <v>0</v>
          </cell>
        </row>
        <row r="568">
          <cell r="A568">
            <v>70371</v>
          </cell>
          <cell r="B568" t="str">
            <v>Board of Directors Fees</v>
          </cell>
          <cell r="E568">
            <v>0</v>
          </cell>
          <cell r="F568">
            <v>0</v>
          </cell>
          <cell r="G568">
            <v>0</v>
          </cell>
          <cell r="H568">
            <v>0</v>
          </cell>
          <cell r="I568">
            <v>0</v>
          </cell>
          <cell r="J568">
            <v>0</v>
          </cell>
          <cell r="K568">
            <v>0</v>
          </cell>
          <cell r="L568">
            <v>0</v>
          </cell>
          <cell r="M568">
            <v>0</v>
          </cell>
          <cell r="N568">
            <v>0</v>
          </cell>
          <cell r="O568">
            <v>0</v>
          </cell>
          <cell r="P568">
            <v>0</v>
          </cell>
          <cell r="Q568">
            <v>0</v>
          </cell>
        </row>
        <row r="569">
          <cell r="A569">
            <v>70372</v>
          </cell>
          <cell r="B569" t="str">
            <v>Board of Directors Expense Report</v>
          </cell>
          <cell r="E569">
            <v>0</v>
          </cell>
          <cell r="F569">
            <v>0</v>
          </cell>
          <cell r="G569">
            <v>0</v>
          </cell>
          <cell r="H569">
            <v>0</v>
          </cell>
          <cell r="I569">
            <v>0</v>
          </cell>
          <cell r="J569">
            <v>0</v>
          </cell>
          <cell r="K569">
            <v>0</v>
          </cell>
          <cell r="L569">
            <v>0</v>
          </cell>
          <cell r="M569">
            <v>0</v>
          </cell>
          <cell r="N569">
            <v>0</v>
          </cell>
          <cell r="O569">
            <v>0</v>
          </cell>
          <cell r="P569">
            <v>0</v>
          </cell>
          <cell r="Q569">
            <v>0</v>
          </cell>
        </row>
        <row r="570">
          <cell r="A570">
            <v>70475</v>
          </cell>
          <cell r="B570" t="str">
            <v>Trade Shows</v>
          </cell>
          <cell r="E570">
            <v>0</v>
          </cell>
          <cell r="F570">
            <v>0</v>
          </cell>
          <cell r="G570">
            <v>0</v>
          </cell>
          <cell r="H570">
            <v>0</v>
          </cell>
          <cell r="I570">
            <v>0</v>
          </cell>
          <cell r="J570">
            <v>0</v>
          </cell>
          <cell r="K570">
            <v>0</v>
          </cell>
          <cell r="L570">
            <v>0</v>
          </cell>
          <cell r="M570">
            <v>0</v>
          </cell>
          <cell r="N570">
            <v>0</v>
          </cell>
          <cell r="O570">
            <v>0</v>
          </cell>
          <cell r="P570">
            <v>0</v>
          </cell>
          <cell r="Q570">
            <v>0</v>
          </cell>
        </row>
        <row r="571">
          <cell r="A571">
            <v>70900</v>
          </cell>
          <cell r="B571" t="str">
            <v>Entitiy Formation Costs</v>
          </cell>
          <cell r="E571">
            <v>0</v>
          </cell>
          <cell r="F571">
            <v>0</v>
          </cell>
          <cell r="G571">
            <v>0</v>
          </cell>
          <cell r="H571">
            <v>0</v>
          </cell>
          <cell r="I571">
            <v>0</v>
          </cell>
          <cell r="J571">
            <v>0</v>
          </cell>
          <cell r="K571">
            <v>0</v>
          </cell>
          <cell r="L571">
            <v>0</v>
          </cell>
          <cell r="M571">
            <v>0</v>
          </cell>
          <cell r="N571">
            <v>0</v>
          </cell>
          <cell r="O571">
            <v>0</v>
          </cell>
          <cell r="P571">
            <v>0</v>
          </cell>
          <cell r="Q571">
            <v>0</v>
          </cell>
        </row>
        <row r="572">
          <cell r="A572">
            <v>70998</v>
          </cell>
          <cell r="B572" t="str">
            <v>Allocation Out - District</v>
          </cell>
          <cell r="E572">
            <v>0</v>
          </cell>
          <cell r="F572">
            <v>0</v>
          </cell>
          <cell r="G572">
            <v>0</v>
          </cell>
          <cell r="H572">
            <v>0</v>
          </cell>
          <cell r="I572">
            <v>0</v>
          </cell>
          <cell r="J572">
            <v>0</v>
          </cell>
          <cell r="K572">
            <v>0</v>
          </cell>
          <cell r="L572">
            <v>0</v>
          </cell>
          <cell r="M572">
            <v>0</v>
          </cell>
          <cell r="N572">
            <v>0</v>
          </cell>
          <cell r="O572">
            <v>0</v>
          </cell>
          <cell r="P572">
            <v>0</v>
          </cell>
          <cell r="Q572">
            <v>0</v>
          </cell>
        </row>
        <row r="573">
          <cell r="A573">
            <v>70999</v>
          </cell>
          <cell r="B573" t="str">
            <v>Allocation Out - Out District</v>
          </cell>
          <cell r="E573">
            <v>0</v>
          </cell>
          <cell r="F573">
            <v>0</v>
          </cell>
          <cell r="G573">
            <v>0</v>
          </cell>
          <cell r="H573">
            <v>0</v>
          </cell>
          <cell r="I573">
            <v>0</v>
          </cell>
          <cell r="J573">
            <v>0</v>
          </cell>
          <cell r="K573">
            <v>0</v>
          </cell>
          <cell r="L573">
            <v>0</v>
          </cell>
          <cell r="M573">
            <v>0</v>
          </cell>
          <cell r="N573">
            <v>0</v>
          </cell>
          <cell r="O573">
            <v>0</v>
          </cell>
          <cell r="P573">
            <v>0</v>
          </cell>
          <cell r="Q573">
            <v>0</v>
          </cell>
        </row>
        <row r="574">
          <cell r="A574">
            <v>71000</v>
          </cell>
          <cell r="B574" t="str">
            <v>Stock Comp Expense</v>
          </cell>
          <cell r="E574">
            <v>0</v>
          </cell>
          <cell r="F574">
            <v>0</v>
          </cell>
          <cell r="G574">
            <v>0</v>
          </cell>
          <cell r="H574">
            <v>0</v>
          </cell>
          <cell r="I574">
            <v>0</v>
          </cell>
          <cell r="J574">
            <v>0</v>
          </cell>
          <cell r="K574">
            <v>0</v>
          </cell>
          <cell r="L574">
            <v>0</v>
          </cell>
          <cell r="M574">
            <v>0</v>
          </cell>
          <cell r="N574">
            <v>0</v>
          </cell>
          <cell r="O574">
            <v>0</v>
          </cell>
          <cell r="P574">
            <v>0</v>
          </cell>
          <cell r="Q574">
            <v>0</v>
          </cell>
        </row>
        <row r="575">
          <cell r="A575" t="str">
            <v>Total G&amp;A</v>
          </cell>
          <cell r="E575">
            <v>207906.74000000002</v>
          </cell>
          <cell r="F575">
            <v>66798.010000000024</v>
          </cell>
          <cell r="G575">
            <v>161263.80000000002</v>
          </cell>
          <cell r="H575">
            <v>86311.12999999999</v>
          </cell>
          <cell r="I575">
            <v>177403</v>
          </cell>
          <cell r="J575">
            <v>90607.349999999991</v>
          </cell>
          <cell r="K575">
            <v>198820.07000000004</v>
          </cell>
          <cell r="L575">
            <v>89006.530000000013</v>
          </cell>
          <cell r="M575">
            <v>188289.78000000003</v>
          </cell>
          <cell r="N575">
            <v>72891.83</v>
          </cell>
          <cell r="O575">
            <v>194697.06000000006</v>
          </cell>
          <cell r="P575">
            <v>96799.019999999931</v>
          </cell>
          <cell r="Q575">
            <v>1630794.3199999996</v>
          </cell>
        </row>
        <row r="577">
          <cell r="A577" t="str">
            <v>Overhead</v>
          </cell>
        </row>
        <row r="578">
          <cell r="A578">
            <v>70149</v>
          </cell>
          <cell r="B578" t="str">
            <v>Corporate Overhead Allocation In</v>
          </cell>
          <cell r="E578">
            <v>55340.22</v>
          </cell>
          <cell r="F578">
            <v>54315.21</v>
          </cell>
          <cell r="G578">
            <v>54439.91</v>
          </cell>
          <cell r="H578">
            <v>55653.47</v>
          </cell>
          <cell r="I578">
            <v>54826.44</v>
          </cell>
          <cell r="J578">
            <v>55802.53</v>
          </cell>
          <cell r="K578">
            <v>55353.69</v>
          </cell>
          <cell r="L578">
            <v>57179.64</v>
          </cell>
          <cell r="M578">
            <v>55296.08</v>
          </cell>
          <cell r="N578">
            <v>55281.99</v>
          </cell>
          <cell r="O578">
            <v>54995.29</v>
          </cell>
          <cell r="P578">
            <v>55389.94</v>
          </cell>
          <cell r="Q578">
            <v>663874.41000000015</v>
          </cell>
        </row>
        <row r="579">
          <cell r="A579">
            <v>70159</v>
          </cell>
          <cell r="B579" t="str">
            <v>Region Overhead Allocation In</v>
          </cell>
          <cell r="E579">
            <v>0</v>
          </cell>
          <cell r="F579">
            <v>0</v>
          </cell>
          <cell r="G579">
            <v>0</v>
          </cell>
          <cell r="H579">
            <v>0</v>
          </cell>
          <cell r="I579">
            <v>0</v>
          </cell>
          <cell r="J579">
            <v>0</v>
          </cell>
          <cell r="K579">
            <v>0</v>
          </cell>
          <cell r="L579">
            <v>0</v>
          </cell>
          <cell r="M579">
            <v>0</v>
          </cell>
          <cell r="N579">
            <v>0</v>
          </cell>
          <cell r="O579">
            <v>0</v>
          </cell>
          <cell r="P579">
            <v>0</v>
          </cell>
          <cell r="Q579">
            <v>0</v>
          </cell>
        </row>
        <row r="580">
          <cell r="A580" t="str">
            <v>Total Overhead</v>
          </cell>
          <cell r="E580">
            <v>55340.22</v>
          </cell>
          <cell r="F580">
            <v>54315.21</v>
          </cell>
          <cell r="G580">
            <v>54439.91</v>
          </cell>
          <cell r="H580">
            <v>55653.47</v>
          </cell>
          <cell r="I580">
            <v>54826.44</v>
          </cell>
          <cell r="J580">
            <v>55802.53</v>
          </cell>
          <cell r="K580">
            <v>55353.69</v>
          </cell>
          <cell r="L580">
            <v>57179.64</v>
          </cell>
          <cell r="M580">
            <v>55296.08</v>
          </cell>
          <cell r="N580">
            <v>55281.99</v>
          </cell>
          <cell r="O580">
            <v>54995.29</v>
          </cell>
          <cell r="P580">
            <v>55389.94</v>
          </cell>
          <cell r="Q580">
            <v>663874.41000000015</v>
          </cell>
        </row>
        <row r="582">
          <cell r="A582" t="str">
            <v>Total SG&amp;A</v>
          </cell>
          <cell r="E582">
            <v>263246.96000000002</v>
          </cell>
          <cell r="F582">
            <v>121113.22000000003</v>
          </cell>
          <cell r="G582">
            <v>215703.71000000002</v>
          </cell>
          <cell r="H582">
            <v>141964.59999999998</v>
          </cell>
          <cell r="I582">
            <v>232229.44</v>
          </cell>
          <cell r="J582">
            <v>146409.88</v>
          </cell>
          <cell r="K582">
            <v>254173.76000000004</v>
          </cell>
          <cell r="L582">
            <v>146186.17000000001</v>
          </cell>
          <cell r="M582">
            <v>243585.86000000004</v>
          </cell>
          <cell r="N582">
            <v>128173.82</v>
          </cell>
          <cell r="O582">
            <v>249692.35000000006</v>
          </cell>
          <cell r="P582">
            <v>155426.55999999994</v>
          </cell>
          <cell r="Q582">
            <v>2297906.3299999996</v>
          </cell>
        </row>
        <row r="584">
          <cell r="A584" t="str">
            <v>EBITDA</v>
          </cell>
          <cell r="E584">
            <v>20388.780000000086</v>
          </cell>
          <cell r="F584">
            <v>275898.64999999997</v>
          </cell>
          <cell r="G584">
            <v>77705.549999999872</v>
          </cell>
          <cell r="H584">
            <v>153218.83000000007</v>
          </cell>
          <cell r="I584">
            <v>139863.27999999974</v>
          </cell>
          <cell r="J584">
            <v>204338.71000000008</v>
          </cell>
          <cell r="K584">
            <v>93342.360000000015</v>
          </cell>
          <cell r="L584">
            <v>241833.84</v>
          </cell>
          <cell r="M584">
            <v>134242.65999999997</v>
          </cell>
          <cell r="N584">
            <v>254051.7099999999</v>
          </cell>
          <cell r="O584">
            <v>61738.860000000132</v>
          </cell>
          <cell r="P584">
            <v>151328.35999999987</v>
          </cell>
          <cell r="Q584">
            <v>1807951.5899999957</v>
          </cell>
        </row>
        <row r="586">
          <cell r="A586" t="str">
            <v>DD&amp;A</v>
          </cell>
        </row>
        <row r="587">
          <cell r="A587" t="str">
            <v>Depreciation</v>
          </cell>
        </row>
        <row r="588">
          <cell r="A588">
            <v>51260</v>
          </cell>
          <cell r="B588" t="str">
            <v>Depreciation</v>
          </cell>
          <cell r="E588">
            <v>49490.6</v>
          </cell>
          <cell r="F588">
            <v>49625.87</v>
          </cell>
          <cell r="G588">
            <v>49625.95</v>
          </cell>
          <cell r="H588">
            <v>49620.11</v>
          </cell>
          <cell r="I588">
            <v>49620.2</v>
          </cell>
          <cell r="J588">
            <v>48737.05</v>
          </cell>
          <cell r="K588">
            <v>48736.639999999999</v>
          </cell>
          <cell r="L588">
            <v>47681.86</v>
          </cell>
          <cell r="M588">
            <v>47682.18</v>
          </cell>
          <cell r="N588">
            <v>47681.87</v>
          </cell>
          <cell r="O588">
            <v>47328.05</v>
          </cell>
          <cell r="P588">
            <v>47849.53</v>
          </cell>
          <cell r="Q588">
            <v>583679.91</v>
          </cell>
        </row>
        <row r="589">
          <cell r="A589">
            <v>54260</v>
          </cell>
          <cell r="B589" t="str">
            <v>Depreciation</v>
          </cell>
          <cell r="E589">
            <v>11933.53</v>
          </cell>
          <cell r="F589">
            <v>11933.51</v>
          </cell>
          <cell r="G589">
            <v>11933.4</v>
          </cell>
          <cell r="H589">
            <v>11933.26</v>
          </cell>
          <cell r="I589">
            <v>11933.49</v>
          </cell>
          <cell r="J589">
            <v>11933.83</v>
          </cell>
          <cell r="K589">
            <v>11932.86</v>
          </cell>
          <cell r="L589">
            <v>11933.32</v>
          </cell>
          <cell r="M589">
            <v>11933.62</v>
          </cell>
          <cell r="N589">
            <v>11933.41</v>
          </cell>
          <cell r="O589">
            <v>11933.19</v>
          </cell>
          <cell r="P589">
            <v>11933.37</v>
          </cell>
          <cell r="Q589">
            <v>143200.79</v>
          </cell>
        </row>
        <row r="590">
          <cell r="A590">
            <v>56260</v>
          </cell>
          <cell r="B590" t="str">
            <v>Depreciation</v>
          </cell>
          <cell r="E590">
            <v>0</v>
          </cell>
          <cell r="F590">
            <v>0</v>
          </cell>
          <cell r="G590">
            <v>0</v>
          </cell>
          <cell r="H590">
            <v>0</v>
          </cell>
          <cell r="I590">
            <v>0</v>
          </cell>
          <cell r="J590">
            <v>0</v>
          </cell>
          <cell r="K590">
            <v>0</v>
          </cell>
          <cell r="L590">
            <v>0</v>
          </cell>
          <cell r="M590">
            <v>0</v>
          </cell>
          <cell r="N590">
            <v>0</v>
          </cell>
          <cell r="O590">
            <v>0</v>
          </cell>
          <cell r="P590">
            <v>0</v>
          </cell>
          <cell r="Q590">
            <v>0</v>
          </cell>
        </row>
        <row r="591">
          <cell r="A591">
            <v>57260</v>
          </cell>
          <cell r="B591" t="str">
            <v>Depreciation</v>
          </cell>
          <cell r="E591">
            <v>2414.64</v>
          </cell>
          <cell r="F591">
            <v>2414.6799999999998</v>
          </cell>
          <cell r="G591">
            <v>2414.64</v>
          </cell>
          <cell r="H591">
            <v>2441.84</v>
          </cell>
          <cell r="I591">
            <v>2441.87</v>
          </cell>
          <cell r="J591">
            <v>2441.86</v>
          </cell>
          <cell r="K591">
            <v>2441.83</v>
          </cell>
          <cell r="L591">
            <v>2503.59</v>
          </cell>
          <cell r="M591">
            <v>2503.59</v>
          </cell>
          <cell r="N591">
            <v>3307.76</v>
          </cell>
          <cell r="O591">
            <v>3318.13</v>
          </cell>
          <cell r="P591">
            <v>3312.93</v>
          </cell>
          <cell r="Q591">
            <v>31957.360000000004</v>
          </cell>
        </row>
        <row r="592">
          <cell r="A592">
            <v>60260</v>
          </cell>
          <cell r="B592" t="str">
            <v>Depreciation</v>
          </cell>
          <cell r="E592">
            <v>0</v>
          </cell>
          <cell r="F592">
            <v>0</v>
          </cell>
          <cell r="G592">
            <v>0</v>
          </cell>
          <cell r="H592">
            <v>0</v>
          </cell>
          <cell r="I592">
            <v>0</v>
          </cell>
          <cell r="J592">
            <v>0</v>
          </cell>
          <cell r="K592">
            <v>0</v>
          </cell>
          <cell r="L592">
            <v>0</v>
          </cell>
          <cell r="M592">
            <v>0</v>
          </cell>
          <cell r="N592">
            <v>0</v>
          </cell>
          <cell r="O592">
            <v>0</v>
          </cell>
          <cell r="P592">
            <v>0</v>
          </cell>
          <cell r="Q592">
            <v>0</v>
          </cell>
        </row>
        <row r="593">
          <cell r="A593">
            <v>70257</v>
          </cell>
          <cell r="B593" t="str">
            <v>Depreciation</v>
          </cell>
          <cell r="E593">
            <v>0</v>
          </cell>
          <cell r="F593">
            <v>0</v>
          </cell>
          <cell r="G593">
            <v>0</v>
          </cell>
          <cell r="H593">
            <v>0</v>
          </cell>
          <cell r="I593">
            <v>0</v>
          </cell>
          <cell r="J593">
            <v>0</v>
          </cell>
          <cell r="K593">
            <v>0</v>
          </cell>
          <cell r="L593">
            <v>0</v>
          </cell>
          <cell r="M593">
            <v>0</v>
          </cell>
          <cell r="N593">
            <v>0</v>
          </cell>
          <cell r="O593">
            <v>0</v>
          </cell>
          <cell r="P593">
            <v>0</v>
          </cell>
          <cell r="Q593">
            <v>0</v>
          </cell>
        </row>
        <row r="594">
          <cell r="A594">
            <v>70260</v>
          </cell>
          <cell r="B594" t="str">
            <v>Depreciation</v>
          </cell>
          <cell r="E594">
            <v>1532.42</v>
          </cell>
          <cell r="F594">
            <v>1532.4</v>
          </cell>
          <cell r="G594">
            <v>1532.42</v>
          </cell>
          <cell r="H594">
            <v>1459.5</v>
          </cell>
          <cell r="I594">
            <v>1459.49</v>
          </cell>
          <cell r="J594">
            <v>1422.66</v>
          </cell>
          <cell r="K594">
            <v>1422.61</v>
          </cell>
          <cell r="L594">
            <v>1422.6</v>
          </cell>
          <cell r="M594">
            <v>1422.64</v>
          </cell>
          <cell r="N594">
            <v>1422.61</v>
          </cell>
          <cell r="O594">
            <v>1422.62</v>
          </cell>
          <cell r="P594">
            <v>1595.38</v>
          </cell>
          <cell r="Q594">
            <v>17647.350000000002</v>
          </cell>
        </row>
        <row r="595">
          <cell r="A595" t="str">
            <v>Total Depreciation</v>
          </cell>
          <cell r="E595">
            <v>65371.189999999995</v>
          </cell>
          <cell r="F595">
            <v>65506.460000000006</v>
          </cell>
          <cell r="G595">
            <v>65506.409999999996</v>
          </cell>
          <cell r="H595">
            <v>65454.710000000006</v>
          </cell>
          <cell r="I595">
            <v>65455.049999999996</v>
          </cell>
          <cell r="J595">
            <v>64535.400000000009</v>
          </cell>
          <cell r="K595">
            <v>64533.94</v>
          </cell>
          <cell r="L595">
            <v>63541.37</v>
          </cell>
          <cell r="M595">
            <v>63542.03</v>
          </cell>
          <cell r="N595">
            <v>64345.65</v>
          </cell>
          <cell r="O595">
            <v>64001.990000000005</v>
          </cell>
          <cell r="P595">
            <v>64691.21</v>
          </cell>
          <cell r="Q595">
            <v>776485.41</v>
          </cell>
        </row>
        <row r="597">
          <cell r="A597" t="str">
            <v>Depletion</v>
          </cell>
        </row>
        <row r="598">
          <cell r="A598">
            <v>46000</v>
          </cell>
          <cell r="B598" t="str">
            <v>Depletion</v>
          </cell>
          <cell r="E598">
            <v>0</v>
          </cell>
          <cell r="F598">
            <v>0</v>
          </cell>
          <cell r="G598">
            <v>0</v>
          </cell>
          <cell r="H598">
            <v>0</v>
          </cell>
          <cell r="I598">
            <v>0</v>
          </cell>
          <cell r="J598">
            <v>0</v>
          </cell>
          <cell r="K598">
            <v>0</v>
          </cell>
          <cell r="L598">
            <v>0</v>
          </cell>
          <cell r="M598">
            <v>0</v>
          </cell>
          <cell r="N598">
            <v>0</v>
          </cell>
          <cell r="O598">
            <v>0</v>
          </cell>
          <cell r="P598">
            <v>0</v>
          </cell>
          <cell r="Q598">
            <v>0</v>
          </cell>
        </row>
        <row r="599">
          <cell r="A599">
            <v>46010</v>
          </cell>
          <cell r="B599" t="str">
            <v>Closure Amortization</v>
          </cell>
          <cell r="E599">
            <v>0</v>
          </cell>
          <cell r="F599">
            <v>0</v>
          </cell>
          <cell r="G599">
            <v>0</v>
          </cell>
          <cell r="H599">
            <v>0</v>
          </cell>
          <cell r="I599">
            <v>0</v>
          </cell>
          <cell r="J599">
            <v>0</v>
          </cell>
          <cell r="K599">
            <v>0</v>
          </cell>
          <cell r="L599">
            <v>0</v>
          </cell>
          <cell r="M599">
            <v>0</v>
          </cell>
          <cell r="N599">
            <v>0</v>
          </cell>
          <cell r="O599">
            <v>0</v>
          </cell>
          <cell r="P599">
            <v>0</v>
          </cell>
          <cell r="Q599">
            <v>0</v>
          </cell>
        </row>
        <row r="600">
          <cell r="A600">
            <v>57261</v>
          </cell>
          <cell r="B600" t="str">
            <v>Airspace Amortization</v>
          </cell>
          <cell r="E600">
            <v>0</v>
          </cell>
          <cell r="F600">
            <v>0</v>
          </cell>
          <cell r="G600">
            <v>0</v>
          </cell>
          <cell r="H600">
            <v>0</v>
          </cell>
          <cell r="I600">
            <v>0</v>
          </cell>
          <cell r="J600">
            <v>0</v>
          </cell>
          <cell r="K600">
            <v>0</v>
          </cell>
          <cell r="L600">
            <v>0</v>
          </cell>
          <cell r="M600">
            <v>0</v>
          </cell>
          <cell r="N600">
            <v>0</v>
          </cell>
          <cell r="O600">
            <v>0</v>
          </cell>
          <cell r="P600">
            <v>0</v>
          </cell>
          <cell r="Q600">
            <v>0</v>
          </cell>
        </row>
        <row r="601">
          <cell r="A601" t="str">
            <v>Total Depletion</v>
          </cell>
          <cell r="E601">
            <v>0</v>
          </cell>
          <cell r="F601">
            <v>0</v>
          </cell>
          <cell r="G601">
            <v>0</v>
          </cell>
          <cell r="H601">
            <v>0</v>
          </cell>
          <cell r="I601">
            <v>0</v>
          </cell>
          <cell r="J601">
            <v>0</v>
          </cell>
          <cell r="K601">
            <v>0</v>
          </cell>
          <cell r="L601">
            <v>0</v>
          </cell>
          <cell r="M601">
            <v>0</v>
          </cell>
          <cell r="N601">
            <v>0</v>
          </cell>
          <cell r="O601">
            <v>0</v>
          </cell>
          <cell r="P601">
            <v>0</v>
          </cell>
          <cell r="Q601">
            <v>0</v>
          </cell>
        </row>
        <row r="603">
          <cell r="A603" t="str">
            <v>Amortization</v>
          </cell>
        </row>
        <row r="604">
          <cell r="A604">
            <v>70264</v>
          </cell>
          <cell r="B604" t="str">
            <v>Amortization</v>
          </cell>
          <cell r="E604">
            <v>0</v>
          </cell>
          <cell r="F604">
            <v>0</v>
          </cell>
          <cell r="G604">
            <v>0</v>
          </cell>
          <cell r="H604">
            <v>0</v>
          </cell>
          <cell r="I604">
            <v>0</v>
          </cell>
          <cell r="J604">
            <v>0</v>
          </cell>
          <cell r="K604">
            <v>0</v>
          </cell>
          <cell r="L604">
            <v>0</v>
          </cell>
          <cell r="M604">
            <v>0</v>
          </cell>
          <cell r="N604">
            <v>0</v>
          </cell>
          <cell r="O604">
            <v>0</v>
          </cell>
          <cell r="P604">
            <v>0</v>
          </cell>
          <cell r="Q604">
            <v>0</v>
          </cell>
        </row>
        <row r="605">
          <cell r="A605">
            <v>70266</v>
          </cell>
          <cell r="B605" t="str">
            <v>Cov. Not to Compete</v>
          </cell>
          <cell r="E605">
            <v>0</v>
          </cell>
          <cell r="F605">
            <v>0</v>
          </cell>
          <cell r="G605">
            <v>0</v>
          </cell>
          <cell r="H605">
            <v>0</v>
          </cell>
          <cell r="I605">
            <v>0</v>
          </cell>
          <cell r="J605">
            <v>0</v>
          </cell>
          <cell r="K605">
            <v>0</v>
          </cell>
          <cell r="L605">
            <v>0</v>
          </cell>
          <cell r="M605">
            <v>0</v>
          </cell>
          <cell r="N605">
            <v>0</v>
          </cell>
          <cell r="O605">
            <v>0</v>
          </cell>
          <cell r="P605">
            <v>0</v>
          </cell>
          <cell r="Q605">
            <v>0</v>
          </cell>
        </row>
        <row r="606">
          <cell r="A606">
            <v>70267</v>
          </cell>
          <cell r="B606" t="str">
            <v>Amortization of Goodwill - Taxable</v>
          </cell>
          <cell r="E606">
            <v>0</v>
          </cell>
          <cell r="F606">
            <v>0</v>
          </cell>
          <cell r="G606">
            <v>0</v>
          </cell>
          <cell r="H606">
            <v>0</v>
          </cell>
          <cell r="I606">
            <v>0</v>
          </cell>
          <cell r="J606">
            <v>0</v>
          </cell>
          <cell r="K606">
            <v>0</v>
          </cell>
          <cell r="L606">
            <v>0</v>
          </cell>
          <cell r="M606">
            <v>0</v>
          </cell>
          <cell r="N606">
            <v>0</v>
          </cell>
          <cell r="O606">
            <v>0</v>
          </cell>
          <cell r="P606">
            <v>0</v>
          </cell>
          <cell r="Q606">
            <v>0</v>
          </cell>
        </row>
        <row r="607">
          <cell r="A607">
            <v>70268</v>
          </cell>
          <cell r="B607" t="str">
            <v>Amortization of Goodwill - Non-Taxable</v>
          </cell>
          <cell r="E607">
            <v>0</v>
          </cell>
          <cell r="F607">
            <v>0</v>
          </cell>
          <cell r="G607">
            <v>0</v>
          </cell>
          <cell r="H607">
            <v>0</v>
          </cell>
          <cell r="I607">
            <v>0</v>
          </cell>
          <cell r="J607">
            <v>0</v>
          </cell>
          <cell r="K607">
            <v>0</v>
          </cell>
          <cell r="L607">
            <v>0</v>
          </cell>
          <cell r="M607">
            <v>0</v>
          </cell>
          <cell r="N607">
            <v>0</v>
          </cell>
          <cell r="O607">
            <v>0</v>
          </cell>
          <cell r="P607">
            <v>0</v>
          </cell>
          <cell r="Q607">
            <v>0</v>
          </cell>
        </row>
        <row r="608">
          <cell r="A608">
            <v>70269</v>
          </cell>
          <cell r="B608" t="str">
            <v>Long Term Contract Amort</v>
          </cell>
          <cell r="E608">
            <v>0</v>
          </cell>
          <cell r="F608">
            <v>0</v>
          </cell>
          <cell r="G608">
            <v>0</v>
          </cell>
          <cell r="H608">
            <v>0</v>
          </cell>
          <cell r="I608">
            <v>0</v>
          </cell>
          <cell r="J608">
            <v>0</v>
          </cell>
          <cell r="K608">
            <v>0</v>
          </cell>
          <cell r="L608">
            <v>0</v>
          </cell>
          <cell r="M608">
            <v>0</v>
          </cell>
          <cell r="N608">
            <v>0</v>
          </cell>
          <cell r="O608">
            <v>0</v>
          </cell>
          <cell r="P608">
            <v>0</v>
          </cell>
          <cell r="Q608">
            <v>0</v>
          </cell>
        </row>
        <row r="609">
          <cell r="A609" t="str">
            <v>Total Amortization</v>
          </cell>
          <cell r="E609">
            <v>0</v>
          </cell>
          <cell r="F609">
            <v>0</v>
          </cell>
          <cell r="G609">
            <v>0</v>
          </cell>
          <cell r="H609">
            <v>0</v>
          </cell>
          <cell r="I609">
            <v>0</v>
          </cell>
          <cell r="J609">
            <v>0</v>
          </cell>
          <cell r="K609">
            <v>0</v>
          </cell>
          <cell r="L609">
            <v>0</v>
          </cell>
          <cell r="M609">
            <v>0</v>
          </cell>
          <cell r="N609">
            <v>0</v>
          </cell>
          <cell r="O609">
            <v>0</v>
          </cell>
          <cell r="P609">
            <v>0</v>
          </cell>
          <cell r="Q609">
            <v>0</v>
          </cell>
        </row>
        <row r="611">
          <cell r="A611" t="str">
            <v>Total DDA</v>
          </cell>
          <cell r="E611">
            <v>65371.189999999995</v>
          </cell>
          <cell r="F611">
            <v>65506.460000000006</v>
          </cell>
          <cell r="G611">
            <v>65506.409999999996</v>
          </cell>
          <cell r="H611">
            <v>65454.710000000006</v>
          </cell>
          <cell r="I611">
            <v>65455.049999999996</v>
          </cell>
          <cell r="J611">
            <v>64535.400000000009</v>
          </cell>
          <cell r="K611">
            <v>64533.94</v>
          </cell>
          <cell r="L611">
            <v>63541.37</v>
          </cell>
          <cell r="M611">
            <v>63542.03</v>
          </cell>
          <cell r="N611">
            <v>64345.65</v>
          </cell>
          <cell r="O611">
            <v>64001.990000000005</v>
          </cell>
          <cell r="P611">
            <v>64691.21</v>
          </cell>
          <cell r="Q611">
            <v>776485.41</v>
          </cell>
        </row>
        <row r="613">
          <cell r="A613" t="str">
            <v>EBIT</v>
          </cell>
          <cell r="E613">
            <v>-44982.409999999909</v>
          </cell>
          <cell r="F613">
            <v>210392.18999999994</v>
          </cell>
          <cell r="G613">
            <v>12199.139999999876</v>
          </cell>
          <cell r="H613">
            <v>87764.120000000068</v>
          </cell>
          <cell r="I613">
            <v>74408.229999999749</v>
          </cell>
          <cell r="J613">
            <v>139803.31000000006</v>
          </cell>
          <cell r="K613">
            <v>28808.420000000013</v>
          </cell>
          <cell r="L613">
            <v>178292.47</v>
          </cell>
          <cell r="M613">
            <v>70700.629999999976</v>
          </cell>
          <cell r="N613">
            <v>189706.05999999991</v>
          </cell>
          <cell r="O613">
            <v>-2263.1299999998737</v>
          </cell>
          <cell r="P613">
            <v>86637.149999999878</v>
          </cell>
          <cell r="Q613">
            <v>1031466.1799999956</v>
          </cell>
        </row>
        <row r="615">
          <cell r="A615" t="str">
            <v>Interest Expense</v>
          </cell>
        </row>
        <row r="616">
          <cell r="A616">
            <v>80000</v>
          </cell>
          <cell r="B616" t="str">
            <v>Interest Expense</v>
          </cell>
          <cell r="E616">
            <v>0</v>
          </cell>
          <cell r="F616">
            <v>0</v>
          </cell>
          <cell r="G616">
            <v>0</v>
          </cell>
          <cell r="H616">
            <v>0</v>
          </cell>
          <cell r="I616">
            <v>0</v>
          </cell>
          <cell r="J616">
            <v>0</v>
          </cell>
          <cell r="K616">
            <v>0</v>
          </cell>
          <cell r="L616">
            <v>0</v>
          </cell>
          <cell r="M616">
            <v>0</v>
          </cell>
          <cell r="N616">
            <v>0</v>
          </cell>
          <cell r="O616">
            <v>0</v>
          </cell>
          <cell r="P616">
            <v>0</v>
          </cell>
          <cell r="Q616">
            <v>0</v>
          </cell>
        </row>
        <row r="617">
          <cell r="A617">
            <v>80001</v>
          </cell>
          <cell r="B617" t="str">
            <v>Debt Accretion</v>
          </cell>
          <cell r="E617">
            <v>0</v>
          </cell>
          <cell r="F617">
            <v>0</v>
          </cell>
          <cell r="G617">
            <v>0</v>
          </cell>
          <cell r="H617">
            <v>0</v>
          </cell>
          <cell r="I617">
            <v>0</v>
          </cell>
          <cell r="J617">
            <v>0</v>
          </cell>
          <cell r="K617">
            <v>0</v>
          </cell>
          <cell r="L617">
            <v>0</v>
          </cell>
          <cell r="M617">
            <v>0</v>
          </cell>
          <cell r="N617">
            <v>0</v>
          </cell>
          <cell r="O617">
            <v>0</v>
          </cell>
          <cell r="P617">
            <v>0</v>
          </cell>
          <cell r="Q617">
            <v>0</v>
          </cell>
        </row>
        <row r="618">
          <cell r="A618">
            <v>80009</v>
          </cell>
          <cell r="B618" t="str">
            <v>Capitalized Interest</v>
          </cell>
          <cell r="E618">
            <v>0</v>
          </cell>
          <cell r="F618">
            <v>0</v>
          </cell>
          <cell r="G618">
            <v>0</v>
          </cell>
          <cell r="H618">
            <v>0</v>
          </cell>
          <cell r="I618">
            <v>0</v>
          </cell>
          <cell r="J618">
            <v>0</v>
          </cell>
          <cell r="K618">
            <v>0</v>
          </cell>
          <cell r="L618">
            <v>0</v>
          </cell>
          <cell r="M618">
            <v>0</v>
          </cell>
          <cell r="N618">
            <v>0</v>
          </cell>
          <cell r="O618">
            <v>0</v>
          </cell>
          <cell r="P618">
            <v>0</v>
          </cell>
          <cell r="Q618">
            <v>0</v>
          </cell>
        </row>
        <row r="619">
          <cell r="A619">
            <v>80099</v>
          </cell>
          <cell r="B619" t="str">
            <v>Interest Allocation</v>
          </cell>
          <cell r="E619">
            <v>0</v>
          </cell>
          <cell r="F619">
            <v>0</v>
          </cell>
          <cell r="G619">
            <v>0</v>
          </cell>
          <cell r="H619">
            <v>0</v>
          </cell>
          <cell r="I619">
            <v>0</v>
          </cell>
          <cell r="J619">
            <v>0</v>
          </cell>
          <cell r="K619">
            <v>0</v>
          </cell>
          <cell r="L619">
            <v>0</v>
          </cell>
          <cell r="M619">
            <v>0</v>
          </cell>
          <cell r="N619">
            <v>0</v>
          </cell>
          <cell r="O619">
            <v>0</v>
          </cell>
          <cell r="P619">
            <v>0</v>
          </cell>
          <cell r="Q619">
            <v>0</v>
          </cell>
        </row>
        <row r="620">
          <cell r="A620" t="str">
            <v>Total Interest Expense</v>
          </cell>
          <cell r="E620">
            <v>0</v>
          </cell>
          <cell r="F620">
            <v>0</v>
          </cell>
          <cell r="G620">
            <v>0</v>
          </cell>
          <cell r="H620">
            <v>0</v>
          </cell>
          <cell r="I620">
            <v>0</v>
          </cell>
          <cell r="J620">
            <v>0</v>
          </cell>
          <cell r="K620">
            <v>0</v>
          </cell>
          <cell r="L620">
            <v>0</v>
          </cell>
          <cell r="M620">
            <v>0</v>
          </cell>
          <cell r="N620">
            <v>0</v>
          </cell>
          <cell r="O620">
            <v>0</v>
          </cell>
          <cell r="P620">
            <v>0</v>
          </cell>
          <cell r="Q620">
            <v>0</v>
          </cell>
        </row>
        <row r="622">
          <cell r="A622" t="str">
            <v>Interest Income</v>
          </cell>
        </row>
        <row r="623">
          <cell r="A623">
            <v>80010</v>
          </cell>
          <cell r="B623" t="str">
            <v>Interest Income</v>
          </cell>
          <cell r="E623">
            <v>0</v>
          </cell>
          <cell r="F623">
            <v>0</v>
          </cell>
          <cell r="G623">
            <v>0</v>
          </cell>
          <cell r="H623">
            <v>0</v>
          </cell>
          <cell r="I623">
            <v>0</v>
          </cell>
          <cell r="J623">
            <v>0</v>
          </cell>
          <cell r="K623">
            <v>0</v>
          </cell>
          <cell r="L623">
            <v>0</v>
          </cell>
          <cell r="M623">
            <v>0</v>
          </cell>
          <cell r="N623">
            <v>0</v>
          </cell>
          <cell r="O623">
            <v>0</v>
          </cell>
          <cell r="P623">
            <v>0</v>
          </cell>
          <cell r="Q623">
            <v>0</v>
          </cell>
        </row>
        <row r="624">
          <cell r="A624" t="str">
            <v>Total Interest Income</v>
          </cell>
          <cell r="E624">
            <v>0</v>
          </cell>
          <cell r="F624">
            <v>0</v>
          </cell>
          <cell r="G624">
            <v>0</v>
          </cell>
          <cell r="H624">
            <v>0</v>
          </cell>
          <cell r="I624">
            <v>0</v>
          </cell>
          <cell r="J624">
            <v>0</v>
          </cell>
          <cell r="K624">
            <v>0</v>
          </cell>
          <cell r="L624">
            <v>0</v>
          </cell>
          <cell r="M624">
            <v>0</v>
          </cell>
          <cell r="N624">
            <v>0</v>
          </cell>
          <cell r="O624">
            <v>0</v>
          </cell>
          <cell r="P624">
            <v>0</v>
          </cell>
          <cell r="Q624">
            <v>0</v>
          </cell>
        </row>
        <row r="626">
          <cell r="A626" t="str">
            <v>Other (Income) and Expense</v>
          </cell>
        </row>
        <row r="627">
          <cell r="A627">
            <v>70901</v>
          </cell>
          <cell r="B627" t="str">
            <v>Pooling Costs</v>
          </cell>
          <cell r="E627">
            <v>0</v>
          </cell>
          <cell r="F627">
            <v>0</v>
          </cell>
          <cell r="G627">
            <v>0</v>
          </cell>
          <cell r="H627">
            <v>0</v>
          </cell>
          <cell r="I627">
            <v>0</v>
          </cell>
          <cell r="J627">
            <v>0</v>
          </cell>
          <cell r="K627">
            <v>0</v>
          </cell>
          <cell r="L627">
            <v>0</v>
          </cell>
          <cell r="M627">
            <v>0</v>
          </cell>
          <cell r="N627">
            <v>0</v>
          </cell>
          <cell r="O627">
            <v>0</v>
          </cell>
          <cell r="P627">
            <v>0</v>
          </cell>
          <cell r="Q627">
            <v>0</v>
          </cell>
        </row>
        <row r="628">
          <cell r="A628">
            <v>91000</v>
          </cell>
          <cell r="B628" t="str">
            <v>Unusual Gain/Loss</v>
          </cell>
          <cell r="E628">
            <v>0</v>
          </cell>
          <cell r="F628">
            <v>0</v>
          </cell>
          <cell r="G628">
            <v>0</v>
          </cell>
          <cell r="H628">
            <v>0</v>
          </cell>
          <cell r="I628">
            <v>0</v>
          </cell>
          <cell r="J628">
            <v>0</v>
          </cell>
          <cell r="K628">
            <v>0</v>
          </cell>
          <cell r="L628">
            <v>0</v>
          </cell>
          <cell r="M628">
            <v>0</v>
          </cell>
          <cell r="N628">
            <v>0</v>
          </cell>
          <cell r="O628">
            <v>0</v>
          </cell>
          <cell r="P628">
            <v>0</v>
          </cell>
          <cell r="Q628">
            <v>0</v>
          </cell>
        </row>
        <row r="629">
          <cell r="A629">
            <v>91001</v>
          </cell>
          <cell r="B629" t="str">
            <v>Investment Distribution Income</v>
          </cell>
          <cell r="E629">
            <v>0</v>
          </cell>
          <cell r="F629">
            <v>0</v>
          </cell>
          <cell r="G629">
            <v>0</v>
          </cell>
          <cell r="H629">
            <v>0</v>
          </cell>
          <cell r="I629">
            <v>0</v>
          </cell>
          <cell r="J629">
            <v>0</v>
          </cell>
          <cell r="K629">
            <v>0</v>
          </cell>
          <cell r="L629">
            <v>0</v>
          </cell>
          <cell r="M629">
            <v>0</v>
          </cell>
          <cell r="N629">
            <v>0</v>
          </cell>
          <cell r="O629">
            <v>0</v>
          </cell>
          <cell r="P629">
            <v>0</v>
          </cell>
          <cell r="Q629">
            <v>0</v>
          </cell>
        </row>
        <row r="630">
          <cell r="A630">
            <v>91002</v>
          </cell>
          <cell r="B630" t="str">
            <v>NSF Fees</v>
          </cell>
          <cell r="E630">
            <v>0</v>
          </cell>
          <cell r="F630">
            <v>0</v>
          </cell>
          <cell r="G630">
            <v>0</v>
          </cell>
          <cell r="H630">
            <v>0</v>
          </cell>
          <cell r="I630">
            <v>0</v>
          </cell>
          <cell r="J630">
            <v>0</v>
          </cell>
          <cell r="K630">
            <v>0</v>
          </cell>
          <cell r="L630">
            <v>0</v>
          </cell>
          <cell r="M630">
            <v>0</v>
          </cell>
          <cell r="N630">
            <v>0</v>
          </cell>
          <cell r="O630">
            <v>0</v>
          </cell>
          <cell r="P630">
            <v>0</v>
          </cell>
          <cell r="Q630">
            <v>0</v>
          </cell>
        </row>
        <row r="631">
          <cell r="A631" t="str">
            <v>Total Other (Income) and Expense</v>
          </cell>
          <cell r="E631">
            <v>0</v>
          </cell>
          <cell r="F631">
            <v>0</v>
          </cell>
          <cell r="G631">
            <v>0</v>
          </cell>
          <cell r="H631">
            <v>0</v>
          </cell>
          <cell r="I631">
            <v>0</v>
          </cell>
          <cell r="J631">
            <v>0</v>
          </cell>
          <cell r="K631">
            <v>0</v>
          </cell>
          <cell r="L631">
            <v>0</v>
          </cell>
          <cell r="M631">
            <v>0</v>
          </cell>
          <cell r="N631">
            <v>0</v>
          </cell>
          <cell r="O631">
            <v>0</v>
          </cell>
          <cell r="P631">
            <v>0</v>
          </cell>
          <cell r="Q631">
            <v>0</v>
          </cell>
        </row>
        <row r="633">
          <cell r="A633" t="str">
            <v>Income Before Taxes and Extraordinary Items</v>
          </cell>
          <cell r="E633">
            <v>-44982.409999999909</v>
          </cell>
          <cell r="F633">
            <v>210392.18999999994</v>
          </cell>
          <cell r="G633">
            <v>12199.139999999876</v>
          </cell>
          <cell r="H633">
            <v>87764.120000000068</v>
          </cell>
          <cell r="I633">
            <v>74408.229999999749</v>
          </cell>
          <cell r="J633">
            <v>139803.31000000006</v>
          </cell>
          <cell r="K633">
            <v>28808.420000000013</v>
          </cell>
          <cell r="L633">
            <v>178292.47</v>
          </cell>
          <cell r="M633">
            <v>70700.629999999976</v>
          </cell>
          <cell r="N633">
            <v>189706.05999999991</v>
          </cell>
          <cell r="O633">
            <v>-2263.1299999998737</v>
          </cell>
          <cell r="P633">
            <v>86637.149999999878</v>
          </cell>
          <cell r="Q633">
            <v>1031466.1799999956</v>
          </cell>
        </row>
        <row r="635">
          <cell r="A635" t="str">
            <v>Extraordinary Income and Expense</v>
          </cell>
        </row>
        <row r="636">
          <cell r="A636">
            <v>92999</v>
          </cell>
          <cell r="B636" t="str">
            <v>Extraordinary Gain/Loss</v>
          </cell>
          <cell r="E636">
            <v>0</v>
          </cell>
          <cell r="F636">
            <v>0</v>
          </cell>
          <cell r="G636">
            <v>0</v>
          </cell>
          <cell r="H636">
            <v>0</v>
          </cell>
          <cell r="I636">
            <v>0</v>
          </cell>
          <cell r="J636">
            <v>0</v>
          </cell>
          <cell r="K636">
            <v>0</v>
          </cell>
          <cell r="L636">
            <v>0</v>
          </cell>
          <cell r="M636">
            <v>0</v>
          </cell>
          <cell r="N636">
            <v>0</v>
          </cell>
          <cell r="O636">
            <v>0</v>
          </cell>
          <cell r="P636">
            <v>0</v>
          </cell>
          <cell r="Q636">
            <v>0</v>
          </cell>
        </row>
        <row r="637">
          <cell r="A637" t="str">
            <v>Total Extraordinary Income and Expense</v>
          </cell>
          <cell r="E637">
            <v>0</v>
          </cell>
          <cell r="F637">
            <v>0</v>
          </cell>
          <cell r="G637">
            <v>0</v>
          </cell>
          <cell r="H637">
            <v>0</v>
          </cell>
          <cell r="I637">
            <v>0</v>
          </cell>
          <cell r="J637">
            <v>0</v>
          </cell>
          <cell r="K637">
            <v>0</v>
          </cell>
          <cell r="L637">
            <v>0</v>
          </cell>
          <cell r="M637">
            <v>0</v>
          </cell>
          <cell r="N637">
            <v>0</v>
          </cell>
          <cell r="O637">
            <v>0</v>
          </cell>
          <cell r="P637">
            <v>0</v>
          </cell>
          <cell r="Q637">
            <v>0</v>
          </cell>
        </row>
        <row r="639">
          <cell r="A639" t="str">
            <v>Net Income Before Taxes</v>
          </cell>
          <cell r="E639">
            <v>-44982.409999999909</v>
          </cell>
          <cell r="F639">
            <v>210392.18999999994</v>
          </cell>
          <cell r="G639">
            <v>12199.139999999876</v>
          </cell>
          <cell r="H639">
            <v>87764.120000000068</v>
          </cell>
          <cell r="I639">
            <v>74408.229999999749</v>
          </cell>
          <cell r="J639">
            <v>139803.31000000006</v>
          </cell>
          <cell r="K639">
            <v>28808.420000000013</v>
          </cell>
          <cell r="L639">
            <v>178292.47</v>
          </cell>
          <cell r="M639">
            <v>70700.629999999976</v>
          </cell>
          <cell r="N639">
            <v>189706.05999999991</v>
          </cell>
          <cell r="O639">
            <v>-2263.1299999998737</v>
          </cell>
          <cell r="P639">
            <v>86637.149999999878</v>
          </cell>
          <cell r="Q639">
            <v>1031466.1799999956</v>
          </cell>
        </row>
        <row r="641">
          <cell r="A641" t="str">
            <v>Income Taxes</v>
          </cell>
        </row>
        <row r="642">
          <cell r="A642">
            <v>90000</v>
          </cell>
          <cell r="B642" t="str">
            <v>Taxes -Federal</v>
          </cell>
          <cell r="E642">
            <v>0</v>
          </cell>
          <cell r="F642">
            <v>0</v>
          </cell>
          <cell r="G642">
            <v>0</v>
          </cell>
          <cell r="H642">
            <v>0</v>
          </cell>
          <cell r="I642">
            <v>0</v>
          </cell>
          <cell r="J642">
            <v>0</v>
          </cell>
          <cell r="K642">
            <v>0</v>
          </cell>
          <cell r="L642">
            <v>0</v>
          </cell>
          <cell r="M642">
            <v>0</v>
          </cell>
          <cell r="N642">
            <v>0</v>
          </cell>
          <cell r="O642">
            <v>0</v>
          </cell>
          <cell r="P642">
            <v>0</v>
          </cell>
          <cell r="Q642">
            <v>0</v>
          </cell>
        </row>
        <row r="643">
          <cell r="A643">
            <v>90010</v>
          </cell>
          <cell r="B643" t="str">
            <v>Taxes - State</v>
          </cell>
          <cell r="E643">
            <v>0</v>
          </cell>
          <cell r="F643">
            <v>0</v>
          </cell>
          <cell r="G643">
            <v>0</v>
          </cell>
          <cell r="H643">
            <v>0</v>
          </cell>
          <cell r="I643">
            <v>0</v>
          </cell>
          <cell r="J643">
            <v>0</v>
          </cell>
          <cell r="K643">
            <v>0</v>
          </cell>
          <cell r="L643">
            <v>0</v>
          </cell>
          <cell r="M643">
            <v>0</v>
          </cell>
          <cell r="N643">
            <v>0</v>
          </cell>
          <cell r="O643">
            <v>0</v>
          </cell>
          <cell r="P643">
            <v>0</v>
          </cell>
          <cell r="Q643">
            <v>0</v>
          </cell>
        </row>
        <row r="644">
          <cell r="A644" t="str">
            <v>Total Income Taxes</v>
          </cell>
          <cell r="E644">
            <v>0</v>
          </cell>
          <cell r="F644">
            <v>0</v>
          </cell>
          <cell r="G644">
            <v>0</v>
          </cell>
          <cell r="H644">
            <v>0</v>
          </cell>
          <cell r="I644">
            <v>0</v>
          </cell>
          <cell r="J644">
            <v>0</v>
          </cell>
          <cell r="K644">
            <v>0</v>
          </cell>
          <cell r="L644">
            <v>0</v>
          </cell>
          <cell r="M644">
            <v>0</v>
          </cell>
          <cell r="N644">
            <v>0</v>
          </cell>
          <cell r="O644">
            <v>0</v>
          </cell>
          <cell r="P644">
            <v>0</v>
          </cell>
          <cell r="Q644">
            <v>0</v>
          </cell>
        </row>
        <row r="646">
          <cell r="A646" t="str">
            <v>Net Income</v>
          </cell>
          <cell r="E646">
            <v>-44982.409999999909</v>
          </cell>
          <cell r="F646">
            <v>210392.18999999994</v>
          </cell>
          <cell r="G646">
            <v>12199.139999999876</v>
          </cell>
          <cell r="H646">
            <v>87764.120000000068</v>
          </cell>
          <cell r="I646">
            <v>74408.229999999749</v>
          </cell>
          <cell r="J646">
            <v>139803.31000000006</v>
          </cell>
          <cell r="K646">
            <v>28808.420000000013</v>
          </cell>
          <cell r="L646">
            <v>178292.47</v>
          </cell>
          <cell r="M646">
            <v>70700.629999999976</v>
          </cell>
          <cell r="N646">
            <v>189706.05999999991</v>
          </cell>
          <cell r="O646">
            <v>-2263.1299999998737</v>
          </cell>
          <cell r="P646">
            <v>86637.149999999878</v>
          </cell>
          <cell r="Q646">
            <v>1031466.1799999956</v>
          </cell>
        </row>
        <row r="648">
          <cell r="A648" t="str">
            <v>Noncontrolling Interests Expense</v>
          </cell>
        </row>
        <row r="649">
          <cell r="A649">
            <v>92000</v>
          </cell>
          <cell r="B649" t="str">
            <v>Noncontrolling interests</v>
          </cell>
          <cell r="E649">
            <v>0</v>
          </cell>
          <cell r="F649">
            <v>0</v>
          </cell>
          <cell r="G649">
            <v>0</v>
          </cell>
          <cell r="H649">
            <v>0</v>
          </cell>
          <cell r="I649">
            <v>0</v>
          </cell>
          <cell r="J649">
            <v>0</v>
          </cell>
          <cell r="K649">
            <v>0</v>
          </cell>
          <cell r="L649">
            <v>0</v>
          </cell>
          <cell r="M649">
            <v>0</v>
          </cell>
          <cell r="N649">
            <v>0</v>
          </cell>
          <cell r="O649">
            <v>0</v>
          </cell>
          <cell r="P649">
            <v>0</v>
          </cell>
          <cell r="Q649">
            <v>0</v>
          </cell>
        </row>
        <row r="650">
          <cell r="A650" t="str">
            <v>Total Noncontrolling Interests</v>
          </cell>
          <cell r="E650">
            <v>0</v>
          </cell>
          <cell r="F650">
            <v>0</v>
          </cell>
          <cell r="G650">
            <v>0</v>
          </cell>
          <cell r="H650">
            <v>0</v>
          </cell>
          <cell r="I650">
            <v>0</v>
          </cell>
          <cell r="J650">
            <v>0</v>
          </cell>
          <cell r="K650">
            <v>0</v>
          </cell>
          <cell r="L650">
            <v>0</v>
          </cell>
          <cell r="M650">
            <v>0</v>
          </cell>
          <cell r="N650">
            <v>0</v>
          </cell>
          <cell r="O650">
            <v>0</v>
          </cell>
          <cell r="P650">
            <v>0</v>
          </cell>
          <cell r="Q650">
            <v>0</v>
          </cell>
        </row>
        <row r="652">
          <cell r="A652" t="str">
            <v>Net Income Attributable to Waste Connections</v>
          </cell>
          <cell r="E652">
            <v>-44982.409999999909</v>
          </cell>
          <cell r="F652">
            <v>210392.18999999994</v>
          </cell>
          <cell r="G652">
            <v>12199.139999999876</v>
          </cell>
          <cell r="H652">
            <v>87764.120000000068</v>
          </cell>
          <cell r="I652">
            <v>74408.229999999749</v>
          </cell>
          <cell r="J652">
            <v>139803.31000000006</v>
          </cell>
          <cell r="K652">
            <v>28808.420000000013</v>
          </cell>
          <cell r="L652">
            <v>178292.47</v>
          </cell>
          <cell r="M652">
            <v>70700.629999999976</v>
          </cell>
          <cell r="N652">
            <v>189706.05999999991</v>
          </cell>
          <cell r="O652">
            <v>-2263.1299999998737</v>
          </cell>
          <cell r="P652">
            <v>86637.149999999878</v>
          </cell>
          <cell r="Q652">
            <v>1031466.1799999956</v>
          </cell>
        </row>
        <row r="654">
          <cell r="A654" t="str">
            <v>Net Income Attributable to Waste Connections per categories</v>
          </cell>
          <cell r="E654">
            <v>-44982.41</v>
          </cell>
          <cell r="F654">
            <v>210392.19</v>
          </cell>
          <cell r="G654">
            <v>12199.14</v>
          </cell>
          <cell r="H654">
            <v>87764.12</v>
          </cell>
          <cell r="I654">
            <v>74408.23</v>
          </cell>
          <cell r="J654">
            <v>139803.31</v>
          </cell>
          <cell r="K654">
            <v>28808.42</v>
          </cell>
          <cell r="L654">
            <v>178292.47</v>
          </cell>
          <cell r="M654">
            <v>70700.63</v>
          </cell>
          <cell r="N654">
            <v>189706.06</v>
          </cell>
          <cell r="O654">
            <v>-2263.13</v>
          </cell>
          <cell r="P654">
            <v>86637.15</v>
          </cell>
        </row>
      </sheetData>
      <sheetData sheetId="5" refreshError="1">
        <row r="12">
          <cell r="A12" t="str">
            <v>Revenue</v>
          </cell>
        </row>
        <row r="13">
          <cell r="A13" t="str">
            <v>Hauling</v>
          </cell>
        </row>
        <row r="14">
          <cell r="A14">
            <v>31000</v>
          </cell>
          <cell r="B14" t="str">
            <v>Hauling Revenue - Roll Off Permanent</v>
          </cell>
          <cell r="E14">
            <v>102444.08</v>
          </cell>
          <cell r="F14">
            <v>106574.9</v>
          </cell>
          <cell r="G14">
            <v>117486.29</v>
          </cell>
          <cell r="H14">
            <v>113663.22</v>
          </cell>
          <cell r="I14">
            <v>107537.52</v>
          </cell>
          <cell r="J14">
            <v>118709.91</v>
          </cell>
          <cell r="K14">
            <v>120424.95</v>
          </cell>
          <cell r="L14">
            <v>126593.49</v>
          </cell>
          <cell r="M14">
            <v>117849.49</v>
          </cell>
          <cell r="N14">
            <v>117031.26</v>
          </cell>
          <cell r="O14">
            <v>112018.5</v>
          </cell>
          <cell r="P14">
            <v>117369.28</v>
          </cell>
          <cell r="Q14">
            <v>1377702.89</v>
          </cell>
        </row>
        <row r="15">
          <cell r="A15">
            <v>31001</v>
          </cell>
          <cell r="B15" t="str">
            <v>Hauling Revenue - Roll Off Temporary</v>
          </cell>
          <cell r="E15">
            <v>0</v>
          </cell>
          <cell r="F15">
            <v>0</v>
          </cell>
          <cell r="G15">
            <v>0</v>
          </cell>
          <cell r="H15">
            <v>0</v>
          </cell>
          <cell r="I15">
            <v>0</v>
          </cell>
          <cell r="J15">
            <v>0</v>
          </cell>
          <cell r="K15">
            <v>0</v>
          </cell>
          <cell r="L15">
            <v>0</v>
          </cell>
          <cell r="M15">
            <v>0</v>
          </cell>
          <cell r="N15">
            <v>0</v>
          </cell>
          <cell r="O15">
            <v>0</v>
          </cell>
          <cell r="P15">
            <v>0</v>
          </cell>
          <cell r="Q15">
            <v>0</v>
          </cell>
        </row>
        <row r="16">
          <cell r="A16">
            <v>31002</v>
          </cell>
          <cell r="B16" t="str">
            <v>Hauling Revenue - Roll Off Rental</v>
          </cell>
          <cell r="E16">
            <v>0</v>
          </cell>
          <cell r="F16">
            <v>0</v>
          </cell>
          <cell r="G16">
            <v>0</v>
          </cell>
          <cell r="H16">
            <v>0</v>
          </cell>
          <cell r="I16">
            <v>0</v>
          </cell>
          <cell r="J16">
            <v>0</v>
          </cell>
          <cell r="K16">
            <v>0</v>
          </cell>
          <cell r="L16">
            <v>0</v>
          </cell>
          <cell r="M16">
            <v>0</v>
          </cell>
          <cell r="N16">
            <v>0</v>
          </cell>
          <cell r="O16">
            <v>0</v>
          </cell>
          <cell r="P16">
            <v>0</v>
          </cell>
          <cell r="Q16">
            <v>0</v>
          </cell>
        </row>
        <row r="17">
          <cell r="A17">
            <v>31003</v>
          </cell>
          <cell r="B17" t="str">
            <v>Hauling Revenue - Roll Off Compactor Ren</v>
          </cell>
          <cell r="E17">
            <v>0</v>
          </cell>
          <cell r="F17">
            <v>0</v>
          </cell>
          <cell r="G17">
            <v>0</v>
          </cell>
          <cell r="H17">
            <v>0</v>
          </cell>
          <cell r="I17">
            <v>0</v>
          </cell>
          <cell r="J17">
            <v>0</v>
          </cell>
          <cell r="K17">
            <v>0</v>
          </cell>
          <cell r="L17">
            <v>0</v>
          </cell>
          <cell r="M17">
            <v>0</v>
          </cell>
          <cell r="N17">
            <v>0</v>
          </cell>
          <cell r="O17">
            <v>0</v>
          </cell>
          <cell r="P17">
            <v>0</v>
          </cell>
          <cell r="Q17">
            <v>0</v>
          </cell>
        </row>
        <row r="18">
          <cell r="A18">
            <v>31004</v>
          </cell>
          <cell r="B18" t="str">
            <v>Hauling Revenue - Roll Off Recycling</v>
          </cell>
          <cell r="E18">
            <v>0</v>
          </cell>
          <cell r="F18">
            <v>0</v>
          </cell>
          <cell r="G18">
            <v>0</v>
          </cell>
          <cell r="H18">
            <v>0</v>
          </cell>
          <cell r="I18">
            <v>0</v>
          </cell>
          <cell r="J18">
            <v>0</v>
          </cell>
          <cell r="K18">
            <v>0</v>
          </cell>
          <cell r="L18">
            <v>0</v>
          </cell>
          <cell r="M18">
            <v>0</v>
          </cell>
          <cell r="N18">
            <v>0</v>
          </cell>
          <cell r="O18">
            <v>0</v>
          </cell>
          <cell r="P18">
            <v>0</v>
          </cell>
          <cell r="Q18">
            <v>0</v>
          </cell>
        </row>
        <row r="19">
          <cell r="A19">
            <v>31005</v>
          </cell>
          <cell r="B19" t="str">
            <v>Corporate Roll Off Disposal Charge</v>
          </cell>
          <cell r="E19">
            <v>210983.37</v>
          </cell>
          <cell r="F19">
            <v>189715.35</v>
          </cell>
          <cell r="G19">
            <v>221645.6</v>
          </cell>
          <cell r="H19">
            <v>218362.54</v>
          </cell>
          <cell r="I19">
            <v>210236.77</v>
          </cell>
          <cell r="J19">
            <v>240624.92</v>
          </cell>
          <cell r="K19">
            <v>227991.29</v>
          </cell>
          <cell r="L19">
            <v>234898.35</v>
          </cell>
          <cell r="M19">
            <v>229778.1</v>
          </cell>
          <cell r="N19">
            <v>229912.49</v>
          </cell>
          <cell r="O19">
            <v>225521.76</v>
          </cell>
          <cell r="P19">
            <v>242379.21</v>
          </cell>
          <cell r="Q19">
            <v>2682049.75</v>
          </cell>
        </row>
        <row r="20">
          <cell r="A20">
            <v>31008</v>
          </cell>
          <cell r="B20" t="str">
            <v>Hauling Revenue - Roll Off Adjustments</v>
          </cell>
          <cell r="E20">
            <v>0</v>
          </cell>
          <cell r="F20">
            <v>0</v>
          </cell>
          <cell r="G20">
            <v>0</v>
          </cell>
          <cell r="H20">
            <v>0</v>
          </cell>
          <cell r="I20">
            <v>0</v>
          </cell>
          <cell r="J20">
            <v>0</v>
          </cell>
          <cell r="K20">
            <v>0</v>
          </cell>
          <cell r="L20">
            <v>0</v>
          </cell>
          <cell r="M20">
            <v>0</v>
          </cell>
          <cell r="N20">
            <v>0</v>
          </cell>
          <cell r="O20">
            <v>0</v>
          </cell>
          <cell r="P20">
            <v>0</v>
          </cell>
          <cell r="Q20">
            <v>0</v>
          </cell>
        </row>
        <row r="21">
          <cell r="A21">
            <v>31009</v>
          </cell>
          <cell r="B21" t="str">
            <v>Hauling Revenue - Roll Off Intercompany</v>
          </cell>
          <cell r="E21">
            <v>2048.52</v>
          </cell>
          <cell r="F21">
            <v>2727.36</v>
          </cell>
          <cell r="G21">
            <v>2727.36</v>
          </cell>
          <cell r="H21">
            <v>3409.2</v>
          </cell>
          <cell r="I21">
            <v>2727.36</v>
          </cell>
          <cell r="J21">
            <v>2727.36</v>
          </cell>
          <cell r="K21">
            <v>5009.2</v>
          </cell>
          <cell r="L21">
            <v>3527.36</v>
          </cell>
          <cell r="M21">
            <v>3327.36</v>
          </cell>
          <cell r="N21">
            <v>3409.2</v>
          </cell>
          <cell r="O21">
            <v>2727.36</v>
          </cell>
          <cell r="P21">
            <v>3409.2</v>
          </cell>
          <cell r="Q21">
            <v>37776.839999999997</v>
          </cell>
        </row>
        <row r="22">
          <cell r="A22">
            <v>31010</v>
          </cell>
          <cell r="B22" t="str">
            <v>Hauling Revenue - Roll Off Extras</v>
          </cell>
          <cell r="E22">
            <v>27177.39</v>
          </cell>
          <cell r="F22">
            <v>26583.03</v>
          </cell>
          <cell r="G22">
            <v>26586.07</v>
          </cell>
          <cell r="H22">
            <v>27681.49</v>
          </cell>
          <cell r="I22">
            <v>28895.1</v>
          </cell>
          <cell r="J22">
            <v>30218.400000000001</v>
          </cell>
          <cell r="K22">
            <v>29088.41</v>
          </cell>
          <cell r="L22">
            <v>30882.48</v>
          </cell>
          <cell r="M22">
            <v>30023.54</v>
          </cell>
          <cell r="N22">
            <v>28675.83</v>
          </cell>
          <cell r="O22">
            <v>27741.67</v>
          </cell>
          <cell r="P22">
            <v>26907</v>
          </cell>
          <cell r="Q22">
            <v>340460.41</v>
          </cell>
        </row>
        <row r="23">
          <cell r="A23">
            <v>31020</v>
          </cell>
          <cell r="B23" t="str">
            <v>Hauling Revenue - Roll Off Special Waste</v>
          </cell>
          <cell r="E23">
            <v>0</v>
          </cell>
          <cell r="F23">
            <v>0</v>
          </cell>
          <cell r="G23">
            <v>0</v>
          </cell>
          <cell r="H23">
            <v>0</v>
          </cell>
          <cell r="I23">
            <v>0</v>
          </cell>
          <cell r="J23">
            <v>0</v>
          </cell>
          <cell r="K23">
            <v>0</v>
          </cell>
          <cell r="L23">
            <v>0</v>
          </cell>
          <cell r="M23">
            <v>0</v>
          </cell>
          <cell r="N23">
            <v>0</v>
          </cell>
          <cell r="O23">
            <v>0</v>
          </cell>
          <cell r="P23">
            <v>0</v>
          </cell>
          <cell r="Q23">
            <v>0</v>
          </cell>
        </row>
        <row r="24">
          <cell r="A24">
            <v>31021</v>
          </cell>
          <cell r="B24" t="str">
            <v>Hauling Revenue - Roll Off Special Waste</v>
          </cell>
          <cell r="E24">
            <v>0</v>
          </cell>
          <cell r="F24">
            <v>0</v>
          </cell>
          <cell r="G24">
            <v>0</v>
          </cell>
          <cell r="H24">
            <v>0</v>
          </cell>
          <cell r="I24">
            <v>0</v>
          </cell>
          <cell r="J24">
            <v>0</v>
          </cell>
          <cell r="K24">
            <v>0</v>
          </cell>
          <cell r="L24">
            <v>0</v>
          </cell>
          <cell r="M24">
            <v>0</v>
          </cell>
          <cell r="N24">
            <v>0</v>
          </cell>
          <cell r="O24">
            <v>0</v>
          </cell>
          <cell r="P24">
            <v>0</v>
          </cell>
          <cell r="Q24">
            <v>0</v>
          </cell>
        </row>
        <row r="25">
          <cell r="A25">
            <v>31029</v>
          </cell>
          <cell r="B25" t="str">
            <v>Hauling Revenue - Roll Off Special Waste</v>
          </cell>
          <cell r="E25">
            <v>0</v>
          </cell>
          <cell r="F25">
            <v>0</v>
          </cell>
          <cell r="G25">
            <v>0</v>
          </cell>
          <cell r="H25">
            <v>0</v>
          </cell>
          <cell r="I25">
            <v>0</v>
          </cell>
          <cell r="J25">
            <v>0</v>
          </cell>
          <cell r="K25">
            <v>0</v>
          </cell>
          <cell r="L25">
            <v>0</v>
          </cell>
          <cell r="M25">
            <v>0</v>
          </cell>
          <cell r="N25">
            <v>0</v>
          </cell>
          <cell r="O25">
            <v>0</v>
          </cell>
          <cell r="P25">
            <v>0</v>
          </cell>
          <cell r="Q25">
            <v>0</v>
          </cell>
        </row>
        <row r="26">
          <cell r="A26">
            <v>32000</v>
          </cell>
          <cell r="B26" t="str">
            <v>Hauling Revenue - Residential MSW</v>
          </cell>
          <cell r="E26">
            <v>1215495.77</v>
          </cell>
          <cell r="F26">
            <v>1200770.8</v>
          </cell>
          <cell r="G26">
            <v>1215802.44</v>
          </cell>
          <cell r="H26">
            <v>1220176.8500000001</v>
          </cell>
          <cell r="I26">
            <v>1224050.48</v>
          </cell>
          <cell r="J26">
            <v>1230237.8799999999</v>
          </cell>
          <cell r="K26">
            <v>1235768.5</v>
          </cell>
          <cell r="L26">
            <v>1230565.3500000001</v>
          </cell>
          <cell r="M26">
            <v>1233092.93</v>
          </cell>
          <cell r="N26">
            <v>1227440.83</v>
          </cell>
          <cell r="O26">
            <v>1230545.96</v>
          </cell>
          <cell r="P26">
            <v>1228126.99</v>
          </cell>
          <cell r="Q26">
            <v>14692074.779999999</v>
          </cell>
        </row>
        <row r="27">
          <cell r="A27">
            <v>32001</v>
          </cell>
          <cell r="B27" t="str">
            <v>Hauling Revenue - Residential MSW Extras</v>
          </cell>
          <cell r="E27">
            <v>29897.43</v>
          </cell>
          <cell r="F27">
            <v>23606.09</v>
          </cell>
          <cell r="G27">
            <v>37252.050000000003</v>
          </cell>
          <cell r="H27">
            <v>36299.58</v>
          </cell>
          <cell r="I27">
            <v>42698.61</v>
          </cell>
          <cell r="J27">
            <v>50366.1</v>
          </cell>
          <cell r="K27">
            <v>50649.79</v>
          </cell>
          <cell r="L27">
            <v>43300.24</v>
          </cell>
          <cell r="M27">
            <v>44830.46</v>
          </cell>
          <cell r="N27">
            <v>36083.339999999997</v>
          </cell>
          <cell r="O27">
            <v>44102.97</v>
          </cell>
          <cell r="P27">
            <v>42927.11</v>
          </cell>
          <cell r="Q27">
            <v>482013.77</v>
          </cell>
        </row>
        <row r="28">
          <cell r="A28">
            <v>32002</v>
          </cell>
          <cell r="B28" t="str">
            <v>Hauling Revenue - Residential MSW Adjust</v>
          </cell>
          <cell r="E28">
            <v>0</v>
          </cell>
          <cell r="F28">
            <v>0</v>
          </cell>
          <cell r="G28">
            <v>0</v>
          </cell>
          <cell r="H28">
            <v>0</v>
          </cell>
          <cell r="I28">
            <v>0</v>
          </cell>
          <cell r="J28">
            <v>0</v>
          </cell>
          <cell r="K28">
            <v>0</v>
          </cell>
          <cell r="L28">
            <v>0</v>
          </cell>
          <cell r="M28">
            <v>0</v>
          </cell>
          <cell r="N28">
            <v>0</v>
          </cell>
          <cell r="O28">
            <v>0</v>
          </cell>
          <cell r="P28">
            <v>0</v>
          </cell>
          <cell r="Q28">
            <v>0</v>
          </cell>
        </row>
        <row r="29">
          <cell r="A29">
            <v>32003</v>
          </cell>
          <cell r="B29" t="str">
            <v>Hauling Revenue - Residential MSW Specia</v>
          </cell>
          <cell r="E29">
            <v>0</v>
          </cell>
          <cell r="F29">
            <v>0</v>
          </cell>
          <cell r="G29">
            <v>0</v>
          </cell>
          <cell r="H29">
            <v>0</v>
          </cell>
          <cell r="I29">
            <v>0</v>
          </cell>
          <cell r="J29">
            <v>0</v>
          </cell>
          <cell r="K29">
            <v>0</v>
          </cell>
          <cell r="L29">
            <v>0</v>
          </cell>
          <cell r="M29">
            <v>0</v>
          </cell>
          <cell r="N29">
            <v>0</v>
          </cell>
          <cell r="O29">
            <v>0</v>
          </cell>
          <cell r="P29">
            <v>0</v>
          </cell>
          <cell r="Q29">
            <v>0</v>
          </cell>
        </row>
        <row r="30">
          <cell r="A30">
            <v>32009</v>
          </cell>
          <cell r="B30" t="str">
            <v>Hauling Revenue - Residential MSW Interc</v>
          </cell>
          <cell r="E30">
            <v>0</v>
          </cell>
          <cell r="F30">
            <v>0</v>
          </cell>
          <cell r="G30">
            <v>0</v>
          </cell>
          <cell r="H30">
            <v>0</v>
          </cell>
          <cell r="I30">
            <v>0</v>
          </cell>
          <cell r="J30">
            <v>0</v>
          </cell>
          <cell r="K30">
            <v>0</v>
          </cell>
          <cell r="L30">
            <v>0</v>
          </cell>
          <cell r="M30">
            <v>0</v>
          </cell>
          <cell r="N30">
            <v>0</v>
          </cell>
          <cell r="O30">
            <v>0</v>
          </cell>
          <cell r="P30">
            <v>0</v>
          </cell>
          <cell r="Q30">
            <v>0</v>
          </cell>
        </row>
        <row r="31">
          <cell r="A31">
            <v>32100</v>
          </cell>
          <cell r="B31" t="str">
            <v>Hauling Revenue - Residential Recycling</v>
          </cell>
          <cell r="E31">
            <v>0</v>
          </cell>
          <cell r="F31">
            <v>0</v>
          </cell>
          <cell r="G31">
            <v>0</v>
          </cell>
          <cell r="H31">
            <v>0</v>
          </cell>
          <cell r="I31">
            <v>0</v>
          </cell>
          <cell r="J31">
            <v>0</v>
          </cell>
          <cell r="K31">
            <v>0</v>
          </cell>
          <cell r="L31">
            <v>0</v>
          </cell>
          <cell r="M31">
            <v>0</v>
          </cell>
          <cell r="N31">
            <v>0</v>
          </cell>
          <cell r="O31">
            <v>0</v>
          </cell>
          <cell r="P31">
            <v>0</v>
          </cell>
          <cell r="Q31">
            <v>0</v>
          </cell>
        </row>
        <row r="32">
          <cell r="A32">
            <v>32101</v>
          </cell>
          <cell r="B32" t="str">
            <v>Hauling Revenue - Residential Recycling</v>
          </cell>
          <cell r="E32">
            <v>0</v>
          </cell>
          <cell r="F32">
            <v>0</v>
          </cell>
          <cell r="G32">
            <v>0</v>
          </cell>
          <cell r="H32">
            <v>0</v>
          </cell>
          <cell r="I32">
            <v>0</v>
          </cell>
          <cell r="J32">
            <v>0</v>
          </cell>
          <cell r="K32">
            <v>0</v>
          </cell>
          <cell r="L32">
            <v>0</v>
          </cell>
          <cell r="M32">
            <v>0</v>
          </cell>
          <cell r="N32">
            <v>0</v>
          </cell>
          <cell r="O32">
            <v>0</v>
          </cell>
          <cell r="P32">
            <v>0</v>
          </cell>
          <cell r="Q32">
            <v>0</v>
          </cell>
        </row>
        <row r="33">
          <cell r="A33">
            <v>32102</v>
          </cell>
          <cell r="B33" t="str">
            <v>Hauling Revenue - Residential Recycling</v>
          </cell>
          <cell r="E33">
            <v>0</v>
          </cell>
          <cell r="F33">
            <v>0</v>
          </cell>
          <cell r="G33">
            <v>0</v>
          </cell>
          <cell r="H33">
            <v>0</v>
          </cell>
          <cell r="I33">
            <v>0</v>
          </cell>
          <cell r="J33">
            <v>0</v>
          </cell>
          <cell r="K33">
            <v>0</v>
          </cell>
          <cell r="L33">
            <v>0</v>
          </cell>
          <cell r="M33">
            <v>0</v>
          </cell>
          <cell r="N33">
            <v>0</v>
          </cell>
          <cell r="O33">
            <v>0</v>
          </cell>
          <cell r="P33">
            <v>0</v>
          </cell>
          <cell r="Q33">
            <v>0</v>
          </cell>
        </row>
        <row r="34">
          <cell r="A34">
            <v>32103</v>
          </cell>
          <cell r="B34" t="str">
            <v>Hauling Revenue - Residential Recycling</v>
          </cell>
          <cell r="E34">
            <v>0</v>
          </cell>
          <cell r="F34">
            <v>0</v>
          </cell>
          <cell r="G34">
            <v>0</v>
          </cell>
          <cell r="H34">
            <v>0</v>
          </cell>
          <cell r="I34">
            <v>0</v>
          </cell>
          <cell r="J34">
            <v>0</v>
          </cell>
          <cell r="K34">
            <v>0</v>
          </cell>
          <cell r="L34">
            <v>0</v>
          </cell>
          <cell r="M34">
            <v>0</v>
          </cell>
          <cell r="N34">
            <v>0</v>
          </cell>
          <cell r="O34">
            <v>0</v>
          </cell>
          <cell r="P34">
            <v>0</v>
          </cell>
          <cell r="Q34">
            <v>0</v>
          </cell>
        </row>
        <row r="35">
          <cell r="A35">
            <v>32109</v>
          </cell>
          <cell r="B35" t="str">
            <v>Hauling Revenue - Residential Recycling</v>
          </cell>
          <cell r="E35">
            <v>0</v>
          </cell>
          <cell r="F35">
            <v>0</v>
          </cell>
          <cell r="G35">
            <v>0</v>
          </cell>
          <cell r="H35">
            <v>0</v>
          </cell>
          <cell r="I35">
            <v>0</v>
          </cell>
          <cell r="J35">
            <v>0</v>
          </cell>
          <cell r="K35">
            <v>0</v>
          </cell>
          <cell r="L35">
            <v>0</v>
          </cell>
          <cell r="M35">
            <v>0</v>
          </cell>
          <cell r="N35">
            <v>0</v>
          </cell>
          <cell r="O35">
            <v>0</v>
          </cell>
          <cell r="P35">
            <v>0</v>
          </cell>
          <cell r="Q35">
            <v>0</v>
          </cell>
        </row>
        <row r="36">
          <cell r="A36">
            <v>32110</v>
          </cell>
          <cell r="B36" t="str">
            <v>Hauling Revenue - Residential Composting</v>
          </cell>
          <cell r="E36">
            <v>232014.97</v>
          </cell>
          <cell r="F36">
            <v>232365.45</v>
          </cell>
          <cell r="G36">
            <v>257766.36</v>
          </cell>
          <cell r="H36">
            <v>270150.08</v>
          </cell>
          <cell r="I36">
            <v>281923.53999999998</v>
          </cell>
          <cell r="J36">
            <v>287780.03999999998</v>
          </cell>
          <cell r="K36">
            <v>291816.17</v>
          </cell>
          <cell r="L36">
            <v>292493.43</v>
          </cell>
          <cell r="M36">
            <v>290035.87</v>
          </cell>
          <cell r="N36">
            <v>289167.18</v>
          </cell>
          <cell r="O36">
            <v>283845.96999999997</v>
          </cell>
          <cell r="P36">
            <v>275560.67</v>
          </cell>
          <cell r="Q36">
            <v>3284919.7300000004</v>
          </cell>
        </row>
        <row r="37">
          <cell r="A37">
            <v>32111</v>
          </cell>
          <cell r="B37" t="str">
            <v>Hauling Revenue - Residential Composting</v>
          </cell>
          <cell r="E37">
            <v>0</v>
          </cell>
          <cell r="F37">
            <v>0</v>
          </cell>
          <cell r="G37">
            <v>0</v>
          </cell>
          <cell r="H37">
            <v>0</v>
          </cell>
          <cell r="I37">
            <v>0</v>
          </cell>
          <cell r="J37">
            <v>0</v>
          </cell>
          <cell r="K37">
            <v>0</v>
          </cell>
          <cell r="L37">
            <v>0</v>
          </cell>
          <cell r="M37">
            <v>0</v>
          </cell>
          <cell r="N37">
            <v>0</v>
          </cell>
          <cell r="O37">
            <v>0</v>
          </cell>
          <cell r="P37">
            <v>0</v>
          </cell>
          <cell r="Q37">
            <v>0</v>
          </cell>
        </row>
        <row r="38">
          <cell r="A38">
            <v>32112</v>
          </cell>
          <cell r="B38" t="str">
            <v>Hauling Revenue - Residential Composting</v>
          </cell>
          <cell r="E38">
            <v>0</v>
          </cell>
          <cell r="F38">
            <v>0</v>
          </cell>
          <cell r="G38">
            <v>0</v>
          </cell>
          <cell r="H38">
            <v>0</v>
          </cell>
          <cell r="I38">
            <v>0</v>
          </cell>
          <cell r="J38">
            <v>0</v>
          </cell>
          <cell r="K38">
            <v>0</v>
          </cell>
          <cell r="L38">
            <v>0</v>
          </cell>
          <cell r="M38">
            <v>0</v>
          </cell>
          <cell r="N38">
            <v>0</v>
          </cell>
          <cell r="O38">
            <v>0</v>
          </cell>
          <cell r="P38">
            <v>0</v>
          </cell>
          <cell r="Q38">
            <v>0</v>
          </cell>
        </row>
        <row r="39">
          <cell r="A39">
            <v>32113</v>
          </cell>
          <cell r="B39" t="str">
            <v>Hauling Revenue - Residential Composting</v>
          </cell>
          <cell r="E39">
            <v>0</v>
          </cell>
          <cell r="F39">
            <v>0</v>
          </cell>
          <cell r="G39">
            <v>0</v>
          </cell>
          <cell r="H39">
            <v>0</v>
          </cell>
          <cell r="I39">
            <v>0</v>
          </cell>
          <cell r="J39">
            <v>0</v>
          </cell>
          <cell r="K39">
            <v>0</v>
          </cell>
          <cell r="L39">
            <v>0</v>
          </cell>
          <cell r="M39">
            <v>0</v>
          </cell>
          <cell r="N39">
            <v>0</v>
          </cell>
          <cell r="O39">
            <v>0</v>
          </cell>
          <cell r="P39">
            <v>0</v>
          </cell>
          <cell r="Q39">
            <v>0</v>
          </cell>
        </row>
        <row r="40">
          <cell r="A40">
            <v>32119</v>
          </cell>
          <cell r="B40" t="str">
            <v>Hauling Revenue - Residential Composting</v>
          </cell>
          <cell r="E40">
            <v>0</v>
          </cell>
          <cell r="F40">
            <v>0</v>
          </cell>
          <cell r="G40">
            <v>0</v>
          </cell>
          <cell r="H40">
            <v>0</v>
          </cell>
          <cell r="I40">
            <v>0</v>
          </cell>
          <cell r="J40">
            <v>0</v>
          </cell>
          <cell r="K40">
            <v>0</v>
          </cell>
          <cell r="L40">
            <v>0</v>
          </cell>
          <cell r="M40">
            <v>0</v>
          </cell>
          <cell r="N40">
            <v>0</v>
          </cell>
          <cell r="O40">
            <v>0</v>
          </cell>
          <cell r="P40">
            <v>0</v>
          </cell>
          <cell r="Q40">
            <v>0</v>
          </cell>
        </row>
        <row r="41">
          <cell r="A41">
            <v>33000</v>
          </cell>
          <cell r="B41" t="str">
            <v>Hauling Revenue - Commercial FEL</v>
          </cell>
          <cell r="E41">
            <v>785575.03</v>
          </cell>
          <cell r="F41">
            <v>787034.21</v>
          </cell>
          <cell r="G41">
            <v>790933.58</v>
          </cell>
          <cell r="H41">
            <v>778610.72</v>
          </cell>
          <cell r="I41">
            <v>780041.46</v>
          </cell>
          <cell r="J41">
            <v>778320.61</v>
          </cell>
          <cell r="K41">
            <v>768305.23</v>
          </cell>
          <cell r="L41">
            <v>774319.69</v>
          </cell>
          <cell r="M41">
            <v>801901.87</v>
          </cell>
          <cell r="N41">
            <v>774557.42</v>
          </cell>
          <cell r="O41">
            <v>791933.57</v>
          </cell>
          <cell r="P41">
            <v>766346.74</v>
          </cell>
          <cell r="Q41">
            <v>9377880.129999999</v>
          </cell>
        </row>
        <row r="42">
          <cell r="A42">
            <v>33001</v>
          </cell>
          <cell r="B42" t="str">
            <v>Hauling Revenue - Commercial FEL Extras</v>
          </cell>
          <cell r="E42">
            <v>39516.839999999997</v>
          </cell>
          <cell r="F42">
            <v>40932.36</v>
          </cell>
          <cell r="G42">
            <v>42606.080000000002</v>
          </cell>
          <cell r="H42">
            <v>42197.16</v>
          </cell>
          <cell r="I42">
            <v>43036.11</v>
          </cell>
          <cell r="J42">
            <v>44513.7</v>
          </cell>
          <cell r="K42">
            <v>47317.760000000002</v>
          </cell>
          <cell r="L42">
            <v>46590.51</v>
          </cell>
          <cell r="M42">
            <v>43401.91</v>
          </cell>
          <cell r="N42">
            <v>44637.59</v>
          </cell>
          <cell r="O42">
            <v>43797.96</v>
          </cell>
          <cell r="P42">
            <v>45382.02</v>
          </cell>
          <cell r="Q42">
            <v>523930.00000000006</v>
          </cell>
        </row>
        <row r="43">
          <cell r="A43">
            <v>33002</v>
          </cell>
          <cell r="B43" t="str">
            <v>Hauling Revenue - Commercial FEL Adjustm</v>
          </cell>
          <cell r="E43">
            <v>0</v>
          </cell>
          <cell r="F43">
            <v>0</v>
          </cell>
          <cell r="G43">
            <v>0</v>
          </cell>
          <cell r="H43">
            <v>0</v>
          </cell>
          <cell r="I43">
            <v>0</v>
          </cell>
          <cell r="J43">
            <v>0</v>
          </cell>
          <cell r="K43">
            <v>0</v>
          </cell>
          <cell r="L43">
            <v>0</v>
          </cell>
          <cell r="M43">
            <v>0</v>
          </cell>
          <cell r="N43">
            <v>0</v>
          </cell>
          <cell r="O43">
            <v>0</v>
          </cell>
          <cell r="P43">
            <v>0</v>
          </cell>
          <cell r="Q43">
            <v>0</v>
          </cell>
        </row>
        <row r="44">
          <cell r="A44">
            <v>33009</v>
          </cell>
          <cell r="B44" t="str">
            <v>Hauling Revenue - Commercial FEL Interco</v>
          </cell>
          <cell r="E44">
            <v>0</v>
          </cell>
          <cell r="F44">
            <v>0</v>
          </cell>
          <cell r="G44">
            <v>0</v>
          </cell>
          <cell r="H44">
            <v>0</v>
          </cell>
          <cell r="I44">
            <v>0</v>
          </cell>
          <cell r="J44">
            <v>0</v>
          </cell>
          <cell r="K44">
            <v>0</v>
          </cell>
          <cell r="L44">
            <v>0</v>
          </cell>
          <cell r="M44">
            <v>0</v>
          </cell>
          <cell r="N44">
            <v>0</v>
          </cell>
          <cell r="O44">
            <v>0</v>
          </cell>
          <cell r="P44">
            <v>0</v>
          </cell>
          <cell r="Q44">
            <v>0</v>
          </cell>
        </row>
        <row r="45">
          <cell r="A45">
            <v>33010</v>
          </cell>
          <cell r="B45" t="str">
            <v>Hauling Revenue - Commercial REL</v>
          </cell>
          <cell r="E45">
            <v>0</v>
          </cell>
          <cell r="F45">
            <v>0</v>
          </cell>
          <cell r="G45">
            <v>0</v>
          </cell>
          <cell r="H45">
            <v>0</v>
          </cell>
          <cell r="I45">
            <v>0</v>
          </cell>
          <cell r="J45">
            <v>0</v>
          </cell>
          <cell r="K45">
            <v>0</v>
          </cell>
          <cell r="L45">
            <v>0</v>
          </cell>
          <cell r="M45">
            <v>0</v>
          </cell>
          <cell r="N45">
            <v>0</v>
          </cell>
          <cell r="O45">
            <v>0</v>
          </cell>
          <cell r="P45">
            <v>0</v>
          </cell>
          <cell r="Q45">
            <v>0</v>
          </cell>
        </row>
        <row r="46">
          <cell r="A46">
            <v>33011</v>
          </cell>
          <cell r="B46" t="str">
            <v>Hauling Revenue - Commercial REL Extras</v>
          </cell>
          <cell r="E46">
            <v>0</v>
          </cell>
          <cell r="F46">
            <v>0</v>
          </cell>
          <cell r="G46">
            <v>0</v>
          </cell>
          <cell r="H46">
            <v>0</v>
          </cell>
          <cell r="I46">
            <v>0</v>
          </cell>
          <cell r="J46">
            <v>0</v>
          </cell>
          <cell r="K46">
            <v>0</v>
          </cell>
          <cell r="L46">
            <v>0</v>
          </cell>
          <cell r="M46">
            <v>0</v>
          </cell>
          <cell r="N46">
            <v>0</v>
          </cell>
          <cell r="O46">
            <v>0</v>
          </cell>
          <cell r="P46">
            <v>0</v>
          </cell>
          <cell r="Q46">
            <v>0</v>
          </cell>
        </row>
        <row r="47">
          <cell r="A47">
            <v>33012</v>
          </cell>
          <cell r="B47" t="str">
            <v>Hauling Revenue - Commercial REL Adjustm</v>
          </cell>
          <cell r="E47">
            <v>0</v>
          </cell>
          <cell r="F47">
            <v>0</v>
          </cell>
          <cell r="G47">
            <v>0</v>
          </cell>
          <cell r="H47">
            <v>0</v>
          </cell>
          <cell r="I47">
            <v>0</v>
          </cell>
          <cell r="J47">
            <v>0</v>
          </cell>
          <cell r="K47">
            <v>0</v>
          </cell>
          <cell r="L47">
            <v>0</v>
          </cell>
          <cell r="M47">
            <v>0</v>
          </cell>
          <cell r="N47">
            <v>0</v>
          </cell>
          <cell r="O47">
            <v>0</v>
          </cell>
          <cell r="P47">
            <v>0</v>
          </cell>
          <cell r="Q47">
            <v>0</v>
          </cell>
        </row>
        <row r="48">
          <cell r="A48">
            <v>33019</v>
          </cell>
          <cell r="B48" t="str">
            <v>Hauling Revenue - Commercial REL Interco</v>
          </cell>
          <cell r="E48">
            <v>0</v>
          </cell>
          <cell r="F48">
            <v>0</v>
          </cell>
          <cell r="G48">
            <v>0</v>
          </cell>
          <cell r="H48">
            <v>0</v>
          </cell>
          <cell r="I48">
            <v>0</v>
          </cell>
          <cell r="J48">
            <v>0</v>
          </cell>
          <cell r="K48">
            <v>0</v>
          </cell>
          <cell r="L48">
            <v>0</v>
          </cell>
          <cell r="M48">
            <v>0</v>
          </cell>
          <cell r="N48">
            <v>0</v>
          </cell>
          <cell r="O48">
            <v>0</v>
          </cell>
          <cell r="P48">
            <v>0</v>
          </cell>
          <cell r="Q48">
            <v>0</v>
          </cell>
        </row>
        <row r="49">
          <cell r="A49">
            <v>33020</v>
          </cell>
          <cell r="B49" t="str">
            <v>Hauling Revenue - Commercial Recycling F</v>
          </cell>
          <cell r="E49">
            <v>119520.55</v>
          </cell>
          <cell r="F49">
            <v>122687.61</v>
          </cell>
          <cell r="G49">
            <v>123043.3</v>
          </cell>
          <cell r="H49">
            <v>123772.17</v>
          </cell>
          <cell r="I49">
            <v>125625.36</v>
          </cell>
          <cell r="J49">
            <v>127061.96</v>
          </cell>
          <cell r="K49">
            <v>116074.3</v>
          </cell>
          <cell r="L49">
            <v>111337.44</v>
          </cell>
          <cell r="M49">
            <v>128400.61</v>
          </cell>
          <cell r="N49">
            <v>133541.20000000001</v>
          </cell>
          <cell r="O49">
            <v>129324.87</v>
          </cell>
          <cell r="P49">
            <v>130696.08</v>
          </cell>
          <cell r="Q49">
            <v>1491085.4500000002</v>
          </cell>
        </row>
        <row r="50">
          <cell r="A50">
            <v>33021</v>
          </cell>
          <cell r="B50" t="str">
            <v>Hauling Revenue - Commercial Recycling F</v>
          </cell>
          <cell r="E50">
            <v>0</v>
          </cell>
          <cell r="F50">
            <v>0</v>
          </cell>
          <cell r="G50">
            <v>0</v>
          </cell>
          <cell r="H50">
            <v>0</v>
          </cell>
          <cell r="I50">
            <v>0</v>
          </cell>
          <cell r="J50">
            <v>0</v>
          </cell>
          <cell r="K50">
            <v>0</v>
          </cell>
          <cell r="L50">
            <v>0</v>
          </cell>
          <cell r="M50">
            <v>0</v>
          </cell>
          <cell r="N50">
            <v>0</v>
          </cell>
          <cell r="O50">
            <v>0</v>
          </cell>
          <cell r="P50">
            <v>0</v>
          </cell>
          <cell r="Q50">
            <v>0</v>
          </cell>
        </row>
        <row r="51">
          <cell r="A51">
            <v>33022</v>
          </cell>
          <cell r="B51" t="str">
            <v>Hauling Revenue - Commercial Recycling F</v>
          </cell>
          <cell r="E51">
            <v>0</v>
          </cell>
          <cell r="F51">
            <v>0</v>
          </cell>
          <cell r="G51">
            <v>0</v>
          </cell>
          <cell r="H51">
            <v>0</v>
          </cell>
          <cell r="I51">
            <v>0</v>
          </cell>
          <cell r="J51">
            <v>0</v>
          </cell>
          <cell r="K51">
            <v>0</v>
          </cell>
          <cell r="L51">
            <v>0</v>
          </cell>
          <cell r="M51">
            <v>0</v>
          </cell>
          <cell r="N51">
            <v>0</v>
          </cell>
          <cell r="O51">
            <v>0</v>
          </cell>
          <cell r="P51">
            <v>0</v>
          </cell>
          <cell r="Q51">
            <v>0</v>
          </cell>
        </row>
        <row r="52">
          <cell r="A52">
            <v>33029</v>
          </cell>
          <cell r="B52" t="str">
            <v>Hauling Revenue - Commercial Recycling F</v>
          </cell>
          <cell r="E52">
            <v>0</v>
          </cell>
          <cell r="F52">
            <v>0</v>
          </cell>
          <cell r="G52">
            <v>0</v>
          </cell>
          <cell r="H52">
            <v>0</v>
          </cell>
          <cell r="I52">
            <v>0</v>
          </cell>
          <cell r="J52">
            <v>0</v>
          </cell>
          <cell r="K52">
            <v>0</v>
          </cell>
          <cell r="L52">
            <v>0</v>
          </cell>
          <cell r="M52">
            <v>0</v>
          </cell>
          <cell r="N52">
            <v>0</v>
          </cell>
          <cell r="O52">
            <v>0</v>
          </cell>
          <cell r="P52">
            <v>0</v>
          </cell>
          <cell r="Q52">
            <v>0</v>
          </cell>
        </row>
        <row r="53">
          <cell r="A53">
            <v>33030</v>
          </cell>
          <cell r="B53" t="str">
            <v>Hauling Revenue - Commercial Recycling R</v>
          </cell>
          <cell r="E53">
            <v>0</v>
          </cell>
          <cell r="F53">
            <v>0</v>
          </cell>
          <cell r="G53">
            <v>0</v>
          </cell>
          <cell r="H53">
            <v>0</v>
          </cell>
          <cell r="I53">
            <v>0</v>
          </cell>
          <cell r="J53">
            <v>0</v>
          </cell>
          <cell r="K53">
            <v>0</v>
          </cell>
          <cell r="L53">
            <v>0</v>
          </cell>
          <cell r="M53">
            <v>0</v>
          </cell>
          <cell r="N53">
            <v>0</v>
          </cell>
          <cell r="O53">
            <v>0</v>
          </cell>
          <cell r="P53">
            <v>0</v>
          </cell>
          <cell r="Q53">
            <v>0</v>
          </cell>
        </row>
        <row r="54">
          <cell r="A54">
            <v>33031</v>
          </cell>
          <cell r="B54" t="str">
            <v>Hauling Revenue - Commercial Recycling R</v>
          </cell>
          <cell r="E54">
            <v>0</v>
          </cell>
          <cell r="F54">
            <v>0</v>
          </cell>
          <cell r="G54">
            <v>0</v>
          </cell>
          <cell r="H54">
            <v>0</v>
          </cell>
          <cell r="I54">
            <v>0</v>
          </cell>
          <cell r="J54">
            <v>0</v>
          </cell>
          <cell r="K54">
            <v>0</v>
          </cell>
          <cell r="L54">
            <v>0</v>
          </cell>
          <cell r="M54">
            <v>0</v>
          </cell>
          <cell r="N54">
            <v>0</v>
          </cell>
          <cell r="O54">
            <v>0</v>
          </cell>
          <cell r="P54">
            <v>0</v>
          </cell>
          <cell r="Q54">
            <v>0</v>
          </cell>
        </row>
        <row r="55">
          <cell r="A55">
            <v>33032</v>
          </cell>
          <cell r="B55" t="str">
            <v>Hauling Revenue - Commercial Recycling R</v>
          </cell>
          <cell r="E55">
            <v>0</v>
          </cell>
          <cell r="F55">
            <v>0</v>
          </cell>
          <cell r="G55">
            <v>0</v>
          </cell>
          <cell r="H55">
            <v>0</v>
          </cell>
          <cell r="I55">
            <v>0</v>
          </cell>
          <cell r="J55">
            <v>0</v>
          </cell>
          <cell r="K55">
            <v>0</v>
          </cell>
          <cell r="L55">
            <v>0</v>
          </cell>
          <cell r="M55">
            <v>0</v>
          </cell>
          <cell r="N55">
            <v>0</v>
          </cell>
          <cell r="O55">
            <v>0</v>
          </cell>
          <cell r="P55">
            <v>0</v>
          </cell>
          <cell r="Q55">
            <v>0</v>
          </cell>
        </row>
        <row r="56">
          <cell r="A56">
            <v>33039</v>
          </cell>
          <cell r="B56" t="str">
            <v>Hauling Revenue - Commercial Recycling R</v>
          </cell>
          <cell r="E56">
            <v>0</v>
          </cell>
          <cell r="F56">
            <v>0</v>
          </cell>
          <cell r="G56">
            <v>0</v>
          </cell>
          <cell r="H56">
            <v>0</v>
          </cell>
          <cell r="I56">
            <v>0</v>
          </cell>
          <cell r="J56">
            <v>0</v>
          </cell>
          <cell r="K56">
            <v>0</v>
          </cell>
          <cell r="L56">
            <v>0</v>
          </cell>
          <cell r="M56">
            <v>0</v>
          </cell>
          <cell r="N56">
            <v>0</v>
          </cell>
          <cell r="O56">
            <v>0</v>
          </cell>
          <cell r="P56">
            <v>0</v>
          </cell>
          <cell r="Q56">
            <v>0</v>
          </cell>
        </row>
        <row r="57">
          <cell r="A57">
            <v>33500</v>
          </cell>
          <cell r="B57" t="str">
            <v>Portable Toilet Revenue</v>
          </cell>
          <cell r="E57">
            <v>0</v>
          </cell>
          <cell r="F57">
            <v>0</v>
          </cell>
          <cell r="G57">
            <v>0</v>
          </cell>
          <cell r="H57">
            <v>0</v>
          </cell>
          <cell r="I57">
            <v>0</v>
          </cell>
          <cell r="J57">
            <v>0</v>
          </cell>
          <cell r="K57">
            <v>0</v>
          </cell>
          <cell r="L57">
            <v>0</v>
          </cell>
          <cell r="M57">
            <v>0</v>
          </cell>
          <cell r="N57">
            <v>0</v>
          </cell>
          <cell r="O57">
            <v>0</v>
          </cell>
          <cell r="P57">
            <v>0</v>
          </cell>
          <cell r="Q57">
            <v>0</v>
          </cell>
        </row>
        <row r="58">
          <cell r="A58">
            <v>33501</v>
          </cell>
          <cell r="B58" t="str">
            <v>Portable Toilet Extras</v>
          </cell>
          <cell r="E58">
            <v>0</v>
          </cell>
          <cell r="F58">
            <v>0</v>
          </cell>
          <cell r="G58">
            <v>0</v>
          </cell>
          <cell r="H58">
            <v>0</v>
          </cell>
          <cell r="I58">
            <v>0</v>
          </cell>
          <cell r="J58">
            <v>0</v>
          </cell>
          <cell r="K58">
            <v>0</v>
          </cell>
          <cell r="L58">
            <v>0</v>
          </cell>
          <cell r="M58">
            <v>0</v>
          </cell>
          <cell r="N58">
            <v>0</v>
          </cell>
          <cell r="O58">
            <v>0</v>
          </cell>
          <cell r="P58">
            <v>0</v>
          </cell>
          <cell r="Q58">
            <v>0</v>
          </cell>
        </row>
        <row r="59">
          <cell r="A59">
            <v>33502</v>
          </cell>
          <cell r="B59" t="str">
            <v>Portable Toilet Adjustments</v>
          </cell>
          <cell r="E59">
            <v>0</v>
          </cell>
          <cell r="F59">
            <v>0</v>
          </cell>
          <cell r="G59">
            <v>0</v>
          </cell>
          <cell r="H59">
            <v>0</v>
          </cell>
          <cell r="I59">
            <v>0</v>
          </cell>
          <cell r="J59">
            <v>0</v>
          </cell>
          <cell r="K59">
            <v>0</v>
          </cell>
          <cell r="L59">
            <v>0</v>
          </cell>
          <cell r="M59">
            <v>0</v>
          </cell>
          <cell r="N59">
            <v>0</v>
          </cell>
          <cell r="O59">
            <v>0</v>
          </cell>
          <cell r="P59">
            <v>0</v>
          </cell>
          <cell r="Q59">
            <v>0</v>
          </cell>
        </row>
        <row r="60">
          <cell r="A60">
            <v>33509</v>
          </cell>
          <cell r="B60" t="str">
            <v>Portable Toilet Intercompany</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Total Hauling</v>
          </cell>
          <cell r="E61">
            <v>2764673.9499999997</v>
          </cell>
          <cell r="F61">
            <v>2732997.1599999997</v>
          </cell>
          <cell r="G61">
            <v>2835849.13</v>
          </cell>
          <cell r="H61">
            <v>2834323.0100000002</v>
          </cell>
          <cell r="I61">
            <v>2846772.3099999996</v>
          </cell>
          <cell r="J61">
            <v>2910560.8800000004</v>
          </cell>
          <cell r="K61">
            <v>2892445.5999999996</v>
          </cell>
          <cell r="L61">
            <v>2894508.3399999994</v>
          </cell>
          <cell r="M61">
            <v>2922642.14</v>
          </cell>
          <cell r="N61">
            <v>2884456.3400000003</v>
          </cell>
          <cell r="O61">
            <v>2891560.59</v>
          </cell>
          <cell r="P61">
            <v>2879104.3000000003</v>
          </cell>
          <cell r="Q61">
            <v>34289893.75</v>
          </cell>
        </row>
        <row r="63">
          <cell r="A63" t="str">
            <v>Transfer</v>
          </cell>
        </row>
        <row r="64">
          <cell r="A64">
            <v>35000</v>
          </cell>
          <cell r="B64" t="str">
            <v>Transfer Station - Third Party</v>
          </cell>
          <cell r="E64">
            <v>0</v>
          </cell>
          <cell r="F64">
            <v>0</v>
          </cell>
          <cell r="G64">
            <v>0</v>
          </cell>
          <cell r="H64">
            <v>0</v>
          </cell>
          <cell r="I64">
            <v>0</v>
          </cell>
          <cell r="J64">
            <v>0</v>
          </cell>
          <cell r="K64">
            <v>0</v>
          </cell>
          <cell r="L64">
            <v>0</v>
          </cell>
          <cell r="M64">
            <v>0</v>
          </cell>
          <cell r="N64">
            <v>0</v>
          </cell>
          <cell r="O64">
            <v>0</v>
          </cell>
          <cell r="P64">
            <v>0</v>
          </cell>
          <cell r="Q64">
            <v>0</v>
          </cell>
        </row>
        <row r="65">
          <cell r="A65">
            <v>35001</v>
          </cell>
          <cell r="B65" t="str">
            <v>Transfer Station - Third Party Adjustmen</v>
          </cell>
          <cell r="E65">
            <v>0</v>
          </cell>
          <cell r="F65">
            <v>0</v>
          </cell>
          <cell r="G65">
            <v>0</v>
          </cell>
          <cell r="H65">
            <v>0</v>
          </cell>
          <cell r="I65">
            <v>0</v>
          </cell>
          <cell r="J65">
            <v>0</v>
          </cell>
          <cell r="K65">
            <v>0</v>
          </cell>
          <cell r="L65">
            <v>0</v>
          </cell>
          <cell r="M65">
            <v>0</v>
          </cell>
          <cell r="N65">
            <v>0</v>
          </cell>
          <cell r="O65">
            <v>0</v>
          </cell>
          <cell r="P65">
            <v>0</v>
          </cell>
          <cell r="Q65">
            <v>0</v>
          </cell>
        </row>
        <row r="66">
          <cell r="A66">
            <v>35009</v>
          </cell>
          <cell r="B66" t="str">
            <v>Transfer Station - Intercompany</v>
          </cell>
          <cell r="E66">
            <v>0</v>
          </cell>
          <cell r="F66">
            <v>0</v>
          </cell>
          <cell r="G66">
            <v>0</v>
          </cell>
          <cell r="H66">
            <v>0</v>
          </cell>
          <cell r="I66">
            <v>0</v>
          </cell>
          <cell r="J66">
            <v>0</v>
          </cell>
          <cell r="K66">
            <v>0</v>
          </cell>
          <cell r="L66">
            <v>0</v>
          </cell>
          <cell r="M66">
            <v>0</v>
          </cell>
          <cell r="N66">
            <v>0</v>
          </cell>
          <cell r="O66">
            <v>0</v>
          </cell>
          <cell r="P66">
            <v>0</v>
          </cell>
          <cell r="Q66">
            <v>0</v>
          </cell>
        </row>
        <row r="67">
          <cell r="A67">
            <v>35500</v>
          </cell>
          <cell r="B67" t="str">
            <v>MRF Processing Charge</v>
          </cell>
          <cell r="E67">
            <v>0</v>
          </cell>
          <cell r="F67">
            <v>0</v>
          </cell>
          <cell r="G67">
            <v>0</v>
          </cell>
          <cell r="H67">
            <v>0</v>
          </cell>
          <cell r="I67">
            <v>0</v>
          </cell>
          <cell r="J67">
            <v>0</v>
          </cell>
          <cell r="K67">
            <v>0</v>
          </cell>
          <cell r="L67">
            <v>0</v>
          </cell>
          <cell r="M67">
            <v>0</v>
          </cell>
          <cell r="N67">
            <v>0</v>
          </cell>
          <cell r="O67">
            <v>0</v>
          </cell>
          <cell r="P67">
            <v>0</v>
          </cell>
          <cell r="Q67">
            <v>0</v>
          </cell>
        </row>
        <row r="68">
          <cell r="A68">
            <v>35501</v>
          </cell>
          <cell r="B68" t="str">
            <v>MRF Processing Charge Adjustments</v>
          </cell>
          <cell r="E68">
            <v>0</v>
          </cell>
          <cell r="F68">
            <v>0</v>
          </cell>
          <cell r="G68">
            <v>0</v>
          </cell>
          <cell r="H68">
            <v>0</v>
          </cell>
          <cell r="I68">
            <v>0</v>
          </cell>
          <cell r="J68">
            <v>0</v>
          </cell>
          <cell r="K68">
            <v>0</v>
          </cell>
          <cell r="L68">
            <v>0</v>
          </cell>
          <cell r="M68">
            <v>0</v>
          </cell>
          <cell r="N68">
            <v>0</v>
          </cell>
          <cell r="O68">
            <v>0</v>
          </cell>
          <cell r="P68">
            <v>0</v>
          </cell>
          <cell r="Q68">
            <v>0</v>
          </cell>
        </row>
        <row r="69">
          <cell r="A69">
            <v>35509</v>
          </cell>
          <cell r="B69" t="str">
            <v>MRF Processing Charge Intercompany</v>
          </cell>
          <cell r="E69">
            <v>0</v>
          </cell>
          <cell r="F69">
            <v>0</v>
          </cell>
          <cell r="G69">
            <v>0</v>
          </cell>
          <cell r="H69">
            <v>0</v>
          </cell>
          <cell r="I69">
            <v>0</v>
          </cell>
          <cell r="J69">
            <v>0</v>
          </cell>
          <cell r="K69">
            <v>0</v>
          </cell>
          <cell r="L69">
            <v>0</v>
          </cell>
          <cell r="M69">
            <v>0</v>
          </cell>
          <cell r="N69">
            <v>0</v>
          </cell>
          <cell r="O69">
            <v>0</v>
          </cell>
          <cell r="P69">
            <v>0</v>
          </cell>
          <cell r="Q69">
            <v>0</v>
          </cell>
        </row>
        <row r="70">
          <cell r="A70" t="str">
            <v>Total Transfer</v>
          </cell>
          <cell r="E70">
            <v>0</v>
          </cell>
          <cell r="F70">
            <v>0</v>
          </cell>
          <cell r="G70">
            <v>0</v>
          </cell>
          <cell r="H70">
            <v>0</v>
          </cell>
          <cell r="I70">
            <v>0</v>
          </cell>
          <cell r="J70">
            <v>0</v>
          </cell>
          <cell r="K70">
            <v>0</v>
          </cell>
          <cell r="L70">
            <v>0</v>
          </cell>
          <cell r="M70">
            <v>0</v>
          </cell>
          <cell r="N70">
            <v>0</v>
          </cell>
          <cell r="O70">
            <v>0</v>
          </cell>
          <cell r="P70">
            <v>0</v>
          </cell>
          <cell r="Q70">
            <v>0</v>
          </cell>
        </row>
        <row r="72">
          <cell r="A72" t="str">
            <v>MRF</v>
          </cell>
        </row>
        <row r="73">
          <cell r="A73">
            <v>35510</v>
          </cell>
          <cell r="B73" t="str">
            <v>Proceeds - OCC</v>
          </cell>
          <cell r="E73">
            <v>0</v>
          </cell>
          <cell r="F73">
            <v>0</v>
          </cell>
          <cell r="G73">
            <v>0</v>
          </cell>
          <cell r="H73">
            <v>0</v>
          </cell>
          <cell r="I73">
            <v>0</v>
          </cell>
          <cell r="J73">
            <v>0</v>
          </cell>
          <cell r="K73">
            <v>0</v>
          </cell>
          <cell r="L73">
            <v>0</v>
          </cell>
          <cell r="M73">
            <v>0</v>
          </cell>
          <cell r="N73">
            <v>0</v>
          </cell>
          <cell r="O73">
            <v>0</v>
          </cell>
          <cell r="P73">
            <v>0</v>
          </cell>
          <cell r="Q73">
            <v>0</v>
          </cell>
        </row>
        <row r="74">
          <cell r="A74">
            <v>35511</v>
          </cell>
          <cell r="B74" t="str">
            <v>Proceeds - ONP</v>
          </cell>
          <cell r="E74">
            <v>0</v>
          </cell>
          <cell r="F74">
            <v>0</v>
          </cell>
          <cell r="G74">
            <v>0</v>
          </cell>
          <cell r="H74">
            <v>0</v>
          </cell>
          <cell r="I74">
            <v>0</v>
          </cell>
          <cell r="J74">
            <v>0</v>
          </cell>
          <cell r="K74">
            <v>0</v>
          </cell>
          <cell r="L74">
            <v>0</v>
          </cell>
          <cell r="M74">
            <v>0</v>
          </cell>
          <cell r="N74">
            <v>0</v>
          </cell>
          <cell r="O74">
            <v>0</v>
          </cell>
          <cell r="P74">
            <v>0</v>
          </cell>
          <cell r="Q74">
            <v>0</v>
          </cell>
        </row>
        <row r="75">
          <cell r="A75">
            <v>35512</v>
          </cell>
          <cell r="B75" t="str">
            <v>Proceeds - Other Paper</v>
          </cell>
          <cell r="E75">
            <v>0</v>
          </cell>
          <cell r="F75">
            <v>0</v>
          </cell>
          <cell r="G75">
            <v>0</v>
          </cell>
          <cell r="H75">
            <v>0</v>
          </cell>
          <cell r="I75">
            <v>0</v>
          </cell>
          <cell r="J75">
            <v>0</v>
          </cell>
          <cell r="K75">
            <v>0</v>
          </cell>
          <cell r="L75">
            <v>0</v>
          </cell>
          <cell r="M75">
            <v>0</v>
          </cell>
          <cell r="N75">
            <v>0</v>
          </cell>
          <cell r="O75">
            <v>0</v>
          </cell>
          <cell r="P75">
            <v>0</v>
          </cell>
          <cell r="Q75">
            <v>0</v>
          </cell>
        </row>
        <row r="76">
          <cell r="A76">
            <v>35513</v>
          </cell>
          <cell r="B76" t="str">
            <v>Proceeds - Aluminum</v>
          </cell>
          <cell r="E76">
            <v>0</v>
          </cell>
          <cell r="F76">
            <v>0</v>
          </cell>
          <cell r="G76">
            <v>0</v>
          </cell>
          <cell r="H76">
            <v>0</v>
          </cell>
          <cell r="I76">
            <v>0</v>
          </cell>
          <cell r="J76">
            <v>0</v>
          </cell>
          <cell r="K76">
            <v>0</v>
          </cell>
          <cell r="L76">
            <v>0</v>
          </cell>
          <cell r="M76">
            <v>0</v>
          </cell>
          <cell r="N76">
            <v>0</v>
          </cell>
          <cell r="O76">
            <v>0</v>
          </cell>
          <cell r="P76">
            <v>0</v>
          </cell>
          <cell r="Q76">
            <v>0</v>
          </cell>
        </row>
        <row r="77">
          <cell r="A77">
            <v>35514</v>
          </cell>
          <cell r="B77" t="str">
            <v>Proceeds - Metal</v>
          </cell>
          <cell r="E77">
            <v>745.55</v>
          </cell>
          <cell r="F77">
            <v>533.20000000000005</v>
          </cell>
          <cell r="G77">
            <v>3342.9</v>
          </cell>
          <cell r="H77">
            <v>13178.15</v>
          </cell>
          <cell r="I77">
            <v>5247</v>
          </cell>
          <cell r="J77">
            <v>16966.05</v>
          </cell>
          <cell r="K77">
            <v>7984.5</v>
          </cell>
          <cell r="L77">
            <v>1463.55</v>
          </cell>
          <cell r="M77">
            <v>-1454.1</v>
          </cell>
          <cell r="N77">
            <v>1425.6</v>
          </cell>
          <cell r="O77">
            <v>1051.75</v>
          </cell>
          <cell r="P77">
            <v>1088</v>
          </cell>
          <cell r="Q77">
            <v>51572.15</v>
          </cell>
        </row>
        <row r="78">
          <cell r="A78">
            <v>35515</v>
          </cell>
          <cell r="B78" t="str">
            <v>Proceeds - Glass</v>
          </cell>
          <cell r="E78">
            <v>0</v>
          </cell>
          <cell r="F78">
            <v>0</v>
          </cell>
          <cell r="G78">
            <v>0</v>
          </cell>
          <cell r="H78">
            <v>0</v>
          </cell>
          <cell r="I78">
            <v>0</v>
          </cell>
          <cell r="J78">
            <v>0</v>
          </cell>
          <cell r="K78">
            <v>0</v>
          </cell>
          <cell r="L78">
            <v>0</v>
          </cell>
          <cell r="M78">
            <v>0</v>
          </cell>
          <cell r="N78">
            <v>0</v>
          </cell>
          <cell r="O78">
            <v>0</v>
          </cell>
          <cell r="P78">
            <v>0</v>
          </cell>
          <cell r="Q78">
            <v>0</v>
          </cell>
        </row>
        <row r="79">
          <cell r="A79">
            <v>35516</v>
          </cell>
          <cell r="B79" t="str">
            <v>Proceeds - Plastic</v>
          </cell>
          <cell r="E79">
            <v>387</v>
          </cell>
          <cell r="F79">
            <v>318.60000000000002</v>
          </cell>
          <cell r="G79">
            <v>0</v>
          </cell>
          <cell r="H79">
            <v>331.2</v>
          </cell>
          <cell r="I79">
            <v>0</v>
          </cell>
          <cell r="J79">
            <v>412.2</v>
          </cell>
          <cell r="K79">
            <v>644.4</v>
          </cell>
          <cell r="L79">
            <v>0</v>
          </cell>
          <cell r="M79">
            <v>0</v>
          </cell>
          <cell r="N79">
            <v>-644.4</v>
          </cell>
          <cell r="O79">
            <v>652</v>
          </cell>
          <cell r="P79">
            <v>0</v>
          </cell>
          <cell r="Q79">
            <v>2101</v>
          </cell>
        </row>
        <row r="80">
          <cell r="A80">
            <v>35517</v>
          </cell>
          <cell r="B80" t="str">
            <v>Proceeds - Other Recyclables</v>
          </cell>
          <cell r="E80">
            <v>0</v>
          </cell>
          <cell r="F80">
            <v>0</v>
          </cell>
          <cell r="G80">
            <v>0</v>
          </cell>
          <cell r="H80">
            <v>0</v>
          </cell>
          <cell r="I80">
            <v>0</v>
          </cell>
          <cell r="J80">
            <v>0</v>
          </cell>
          <cell r="K80">
            <v>0</v>
          </cell>
          <cell r="L80">
            <v>0</v>
          </cell>
          <cell r="M80">
            <v>0</v>
          </cell>
          <cell r="N80">
            <v>0</v>
          </cell>
          <cell r="O80">
            <v>0</v>
          </cell>
          <cell r="P80">
            <v>0</v>
          </cell>
          <cell r="Q80">
            <v>0</v>
          </cell>
        </row>
        <row r="81">
          <cell r="A81">
            <v>35518</v>
          </cell>
          <cell r="B81" t="str">
            <v>Proceeds - Commingled</v>
          </cell>
          <cell r="E81">
            <v>0</v>
          </cell>
          <cell r="F81">
            <v>0</v>
          </cell>
          <cell r="G81">
            <v>0</v>
          </cell>
          <cell r="H81">
            <v>0</v>
          </cell>
          <cell r="I81">
            <v>0</v>
          </cell>
          <cell r="J81">
            <v>0</v>
          </cell>
          <cell r="K81">
            <v>0</v>
          </cell>
          <cell r="L81">
            <v>0</v>
          </cell>
          <cell r="M81">
            <v>0</v>
          </cell>
          <cell r="N81">
            <v>0</v>
          </cell>
          <cell r="O81">
            <v>0</v>
          </cell>
          <cell r="P81">
            <v>0</v>
          </cell>
          <cell r="Q81">
            <v>0</v>
          </cell>
        </row>
        <row r="82">
          <cell r="A82">
            <v>35519</v>
          </cell>
          <cell r="B82" t="str">
            <v>Proceeds - Intercompany Material Sales</v>
          </cell>
          <cell r="E82">
            <v>65030.879999999997</v>
          </cell>
          <cell r="F82">
            <v>76173.81</v>
          </cell>
          <cell r="G82">
            <v>70361.429999999993</v>
          </cell>
          <cell r="H82">
            <v>74831.539999999994</v>
          </cell>
          <cell r="I82">
            <v>73578.62</v>
          </cell>
          <cell r="J82">
            <v>75531.38</v>
          </cell>
          <cell r="K82">
            <v>73771.45</v>
          </cell>
          <cell r="L82">
            <v>57407.56</v>
          </cell>
          <cell r="M82">
            <v>68624.86</v>
          </cell>
          <cell r="N82">
            <v>71603.88</v>
          </cell>
          <cell r="O82">
            <v>84200.36</v>
          </cell>
          <cell r="P82">
            <v>95665.68</v>
          </cell>
          <cell r="Q82">
            <v>886781.45</v>
          </cell>
        </row>
        <row r="83">
          <cell r="A83">
            <v>35520</v>
          </cell>
          <cell r="B83" t="str">
            <v>Support - OCC</v>
          </cell>
          <cell r="E83">
            <v>0</v>
          </cell>
          <cell r="F83">
            <v>0</v>
          </cell>
          <cell r="G83">
            <v>0</v>
          </cell>
          <cell r="H83">
            <v>0</v>
          </cell>
          <cell r="I83">
            <v>0</v>
          </cell>
          <cell r="J83">
            <v>0</v>
          </cell>
          <cell r="K83">
            <v>0</v>
          </cell>
          <cell r="L83">
            <v>0</v>
          </cell>
          <cell r="M83">
            <v>0</v>
          </cell>
          <cell r="N83">
            <v>0</v>
          </cell>
          <cell r="O83">
            <v>0</v>
          </cell>
          <cell r="P83">
            <v>0</v>
          </cell>
          <cell r="Q83">
            <v>0</v>
          </cell>
        </row>
        <row r="84">
          <cell r="A84">
            <v>35521</v>
          </cell>
          <cell r="B84" t="str">
            <v>Support - ONP</v>
          </cell>
          <cell r="E84">
            <v>0</v>
          </cell>
          <cell r="F84">
            <v>0</v>
          </cell>
          <cell r="G84">
            <v>0</v>
          </cell>
          <cell r="H84">
            <v>0</v>
          </cell>
          <cell r="I84">
            <v>0</v>
          </cell>
          <cell r="J84">
            <v>0</v>
          </cell>
          <cell r="K84">
            <v>0</v>
          </cell>
          <cell r="L84">
            <v>0</v>
          </cell>
          <cell r="M84">
            <v>0</v>
          </cell>
          <cell r="N84">
            <v>0</v>
          </cell>
          <cell r="O84">
            <v>0</v>
          </cell>
          <cell r="P84">
            <v>0</v>
          </cell>
          <cell r="Q84">
            <v>0</v>
          </cell>
        </row>
        <row r="85">
          <cell r="A85">
            <v>35522</v>
          </cell>
          <cell r="B85" t="str">
            <v>Support - Other Paper</v>
          </cell>
          <cell r="E85">
            <v>0</v>
          </cell>
          <cell r="F85">
            <v>0</v>
          </cell>
          <cell r="G85">
            <v>0</v>
          </cell>
          <cell r="H85">
            <v>0</v>
          </cell>
          <cell r="I85">
            <v>0</v>
          </cell>
          <cell r="J85">
            <v>0</v>
          </cell>
          <cell r="K85">
            <v>0</v>
          </cell>
          <cell r="L85">
            <v>0</v>
          </cell>
          <cell r="M85">
            <v>0</v>
          </cell>
          <cell r="N85">
            <v>0</v>
          </cell>
          <cell r="O85">
            <v>0</v>
          </cell>
          <cell r="P85">
            <v>0</v>
          </cell>
          <cell r="Q85">
            <v>0</v>
          </cell>
        </row>
        <row r="86">
          <cell r="A86">
            <v>35523</v>
          </cell>
          <cell r="B86" t="str">
            <v>Support - Aluminum</v>
          </cell>
          <cell r="E86">
            <v>0</v>
          </cell>
          <cell r="F86">
            <v>0</v>
          </cell>
          <cell r="G86">
            <v>0</v>
          </cell>
          <cell r="H86">
            <v>0</v>
          </cell>
          <cell r="I86">
            <v>0</v>
          </cell>
          <cell r="J86">
            <v>0</v>
          </cell>
          <cell r="K86">
            <v>0</v>
          </cell>
          <cell r="L86">
            <v>0</v>
          </cell>
          <cell r="M86">
            <v>0</v>
          </cell>
          <cell r="N86">
            <v>0</v>
          </cell>
          <cell r="O86">
            <v>0</v>
          </cell>
          <cell r="P86">
            <v>0</v>
          </cell>
          <cell r="Q86">
            <v>0</v>
          </cell>
        </row>
        <row r="87">
          <cell r="A87">
            <v>35524</v>
          </cell>
          <cell r="B87" t="str">
            <v>Support - Metal</v>
          </cell>
          <cell r="E87">
            <v>0</v>
          </cell>
          <cell r="F87">
            <v>0</v>
          </cell>
          <cell r="G87">
            <v>0</v>
          </cell>
          <cell r="H87">
            <v>0</v>
          </cell>
          <cell r="I87">
            <v>0</v>
          </cell>
          <cell r="J87">
            <v>0</v>
          </cell>
          <cell r="K87">
            <v>0</v>
          </cell>
          <cell r="L87">
            <v>0</v>
          </cell>
          <cell r="M87">
            <v>0</v>
          </cell>
          <cell r="N87">
            <v>0</v>
          </cell>
          <cell r="O87">
            <v>0</v>
          </cell>
          <cell r="P87">
            <v>0</v>
          </cell>
          <cell r="Q87">
            <v>0</v>
          </cell>
        </row>
        <row r="88">
          <cell r="A88">
            <v>35525</v>
          </cell>
          <cell r="B88" t="str">
            <v>Support - Glass</v>
          </cell>
          <cell r="E88">
            <v>0</v>
          </cell>
          <cell r="F88">
            <v>0</v>
          </cell>
          <cell r="G88">
            <v>0</v>
          </cell>
          <cell r="H88">
            <v>0</v>
          </cell>
          <cell r="I88">
            <v>0</v>
          </cell>
          <cell r="J88">
            <v>0</v>
          </cell>
          <cell r="K88">
            <v>0</v>
          </cell>
          <cell r="L88">
            <v>0</v>
          </cell>
          <cell r="M88">
            <v>0</v>
          </cell>
          <cell r="N88">
            <v>0</v>
          </cell>
          <cell r="O88">
            <v>0</v>
          </cell>
          <cell r="P88">
            <v>0</v>
          </cell>
          <cell r="Q88">
            <v>0</v>
          </cell>
        </row>
        <row r="89">
          <cell r="A89">
            <v>35526</v>
          </cell>
          <cell r="B89" t="str">
            <v>Support - Plastic</v>
          </cell>
          <cell r="E89">
            <v>0</v>
          </cell>
          <cell r="F89">
            <v>0</v>
          </cell>
          <cell r="G89">
            <v>0</v>
          </cell>
          <cell r="H89">
            <v>0</v>
          </cell>
          <cell r="I89">
            <v>0</v>
          </cell>
          <cell r="J89">
            <v>0</v>
          </cell>
          <cell r="K89">
            <v>0</v>
          </cell>
          <cell r="L89">
            <v>0</v>
          </cell>
          <cell r="M89">
            <v>0</v>
          </cell>
          <cell r="N89">
            <v>0</v>
          </cell>
          <cell r="O89">
            <v>0</v>
          </cell>
          <cell r="P89">
            <v>0</v>
          </cell>
          <cell r="Q89">
            <v>0</v>
          </cell>
        </row>
        <row r="90">
          <cell r="A90">
            <v>35527</v>
          </cell>
          <cell r="B90" t="str">
            <v>Support - Other Recyclables</v>
          </cell>
          <cell r="E90">
            <v>0</v>
          </cell>
          <cell r="F90">
            <v>0</v>
          </cell>
          <cell r="G90">
            <v>0</v>
          </cell>
          <cell r="H90">
            <v>0</v>
          </cell>
          <cell r="I90">
            <v>0</v>
          </cell>
          <cell r="J90">
            <v>0</v>
          </cell>
          <cell r="K90">
            <v>0</v>
          </cell>
          <cell r="L90">
            <v>0</v>
          </cell>
          <cell r="M90">
            <v>0</v>
          </cell>
          <cell r="N90">
            <v>0</v>
          </cell>
          <cell r="O90">
            <v>0</v>
          </cell>
          <cell r="P90">
            <v>0</v>
          </cell>
          <cell r="Q90">
            <v>0</v>
          </cell>
        </row>
        <row r="91">
          <cell r="A91">
            <v>35529</v>
          </cell>
          <cell r="B91" t="str">
            <v>Support - Intercompany Material Sales</v>
          </cell>
          <cell r="E91">
            <v>0</v>
          </cell>
          <cell r="F91">
            <v>0</v>
          </cell>
          <cell r="G91">
            <v>0</v>
          </cell>
          <cell r="H91">
            <v>0</v>
          </cell>
          <cell r="I91">
            <v>0</v>
          </cell>
          <cell r="J91">
            <v>0</v>
          </cell>
          <cell r="K91">
            <v>0</v>
          </cell>
          <cell r="L91">
            <v>0</v>
          </cell>
          <cell r="M91">
            <v>0</v>
          </cell>
          <cell r="N91">
            <v>0</v>
          </cell>
          <cell r="O91">
            <v>0</v>
          </cell>
          <cell r="P91">
            <v>0</v>
          </cell>
          <cell r="Q91">
            <v>0</v>
          </cell>
        </row>
        <row r="92">
          <cell r="A92">
            <v>35551</v>
          </cell>
          <cell r="B92" t="str">
            <v>Proceeds - Compost</v>
          </cell>
          <cell r="E92">
            <v>0</v>
          </cell>
          <cell r="F92">
            <v>0</v>
          </cell>
          <cell r="G92">
            <v>0</v>
          </cell>
          <cell r="H92">
            <v>0</v>
          </cell>
          <cell r="I92">
            <v>0</v>
          </cell>
          <cell r="J92">
            <v>0</v>
          </cell>
          <cell r="K92">
            <v>0</v>
          </cell>
          <cell r="L92">
            <v>0</v>
          </cell>
          <cell r="M92">
            <v>0</v>
          </cell>
          <cell r="N92">
            <v>0</v>
          </cell>
          <cell r="O92">
            <v>0</v>
          </cell>
          <cell r="P92">
            <v>0</v>
          </cell>
          <cell r="Q92">
            <v>0</v>
          </cell>
        </row>
        <row r="93">
          <cell r="A93">
            <v>35552</v>
          </cell>
          <cell r="B93" t="str">
            <v>Proceeds - Fuel</v>
          </cell>
          <cell r="E93">
            <v>0</v>
          </cell>
          <cell r="F93">
            <v>0</v>
          </cell>
          <cell r="G93">
            <v>0</v>
          </cell>
          <cell r="H93">
            <v>0</v>
          </cell>
          <cell r="I93">
            <v>0</v>
          </cell>
          <cell r="J93">
            <v>0</v>
          </cell>
          <cell r="K93">
            <v>0</v>
          </cell>
          <cell r="L93">
            <v>0</v>
          </cell>
          <cell r="M93">
            <v>0</v>
          </cell>
          <cell r="N93">
            <v>0</v>
          </cell>
          <cell r="O93">
            <v>0</v>
          </cell>
          <cell r="P93">
            <v>0</v>
          </cell>
          <cell r="Q93">
            <v>0</v>
          </cell>
        </row>
        <row r="94">
          <cell r="A94">
            <v>35553</v>
          </cell>
          <cell r="B94" t="str">
            <v>Proceeds - Landscape Materials</v>
          </cell>
          <cell r="E94">
            <v>0</v>
          </cell>
          <cell r="F94">
            <v>0</v>
          </cell>
          <cell r="G94">
            <v>0</v>
          </cell>
          <cell r="H94">
            <v>0</v>
          </cell>
          <cell r="I94">
            <v>0</v>
          </cell>
          <cell r="J94">
            <v>0</v>
          </cell>
          <cell r="K94">
            <v>0</v>
          </cell>
          <cell r="L94">
            <v>0</v>
          </cell>
          <cell r="M94">
            <v>0</v>
          </cell>
          <cell r="N94">
            <v>0</v>
          </cell>
          <cell r="O94">
            <v>0</v>
          </cell>
          <cell r="P94">
            <v>0</v>
          </cell>
          <cell r="Q94">
            <v>0</v>
          </cell>
        </row>
        <row r="95">
          <cell r="A95" t="str">
            <v>Total MRF</v>
          </cell>
          <cell r="E95">
            <v>66163.429999999993</v>
          </cell>
          <cell r="F95">
            <v>77025.61</v>
          </cell>
          <cell r="G95">
            <v>73704.329999999987</v>
          </cell>
          <cell r="H95">
            <v>88340.89</v>
          </cell>
          <cell r="I95">
            <v>78825.62</v>
          </cell>
          <cell r="J95">
            <v>92909.63</v>
          </cell>
          <cell r="K95">
            <v>82400.349999999991</v>
          </cell>
          <cell r="L95">
            <v>58871.11</v>
          </cell>
          <cell r="M95">
            <v>67170.759999999995</v>
          </cell>
          <cell r="N95">
            <v>72385.08</v>
          </cell>
          <cell r="O95">
            <v>85904.11</v>
          </cell>
          <cell r="P95">
            <v>96753.68</v>
          </cell>
          <cell r="Q95">
            <v>940454.6</v>
          </cell>
        </row>
        <row r="97">
          <cell r="A97" t="str">
            <v>Landfill</v>
          </cell>
        </row>
        <row r="98">
          <cell r="A98">
            <v>36000</v>
          </cell>
          <cell r="B98" t="str">
            <v>Landfill Revenue - MSW</v>
          </cell>
          <cell r="E98">
            <v>0</v>
          </cell>
          <cell r="F98">
            <v>0</v>
          </cell>
          <cell r="G98">
            <v>0</v>
          </cell>
          <cell r="H98">
            <v>0</v>
          </cell>
          <cell r="I98">
            <v>0</v>
          </cell>
          <cell r="J98">
            <v>0</v>
          </cell>
          <cell r="K98">
            <v>0</v>
          </cell>
          <cell r="L98">
            <v>0</v>
          </cell>
          <cell r="M98">
            <v>0</v>
          </cell>
          <cell r="N98">
            <v>0</v>
          </cell>
          <cell r="O98">
            <v>0</v>
          </cell>
          <cell r="P98">
            <v>0</v>
          </cell>
          <cell r="Q98">
            <v>0</v>
          </cell>
        </row>
        <row r="99">
          <cell r="A99">
            <v>36001</v>
          </cell>
          <cell r="B99" t="str">
            <v>Landfill Revenue - MSW Adjustments</v>
          </cell>
          <cell r="E99">
            <v>0</v>
          </cell>
          <cell r="F99">
            <v>0</v>
          </cell>
          <cell r="G99">
            <v>0</v>
          </cell>
          <cell r="H99">
            <v>0</v>
          </cell>
          <cell r="I99">
            <v>0</v>
          </cell>
          <cell r="J99">
            <v>0</v>
          </cell>
          <cell r="K99">
            <v>0</v>
          </cell>
          <cell r="L99">
            <v>0</v>
          </cell>
          <cell r="M99">
            <v>0</v>
          </cell>
          <cell r="N99">
            <v>0</v>
          </cell>
          <cell r="O99">
            <v>0</v>
          </cell>
          <cell r="P99">
            <v>0</v>
          </cell>
          <cell r="Q99">
            <v>0</v>
          </cell>
        </row>
        <row r="100">
          <cell r="A100">
            <v>36002</v>
          </cell>
          <cell r="B100" t="str">
            <v>Landfill Revenue - Extras</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A101">
            <v>36009</v>
          </cell>
          <cell r="B101" t="str">
            <v>Landfill Revenue - MSW Intercompany</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v>36010</v>
          </cell>
          <cell r="B102" t="str">
            <v>Landfill Revenue - C&amp;D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A103">
            <v>36011</v>
          </cell>
          <cell r="B103" t="str">
            <v>Landfill Revenue - C&amp;D Adjustments</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v>36019</v>
          </cell>
          <cell r="B104" t="str">
            <v>Landfill Revenue - C&amp;D Intercompany</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v>36020</v>
          </cell>
          <cell r="B105" t="str">
            <v>Landfill Revenue - Special Waste</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A106">
            <v>36021</v>
          </cell>
          <cell r="B106" t="str">
            <v>Landfill Revenue - Special Waste Adjustm</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A107">
            <v>36029</v>
          </cell>
          <cell r="B107" t="str">
            <v>Landfill Revenue - Special Waste Interco</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v>36030</v>
          </cell>
          <cell r="B108" t="str">
            <v>Landfill Revenue - Asbestos</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A109">
            <v>36031</v>
          </cell>
          <cell r="B109" t="str">
            <v>Landfill Revenue - Asbestos Adjustments</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A110">
            <v>36039</v>
          </cell>
          <cell r="B110" t="str">
            <v>Landfill Revenue - Asbestos Intercompany</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v>36040</v>
          </cell>
          <cell r="B111" t="str">
            <v>Landfill Revenue - Contaminated Soil</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A112">
            <v>36041</v>
          </cell>
          <cell r="B112" t="str">
            <v>Landfill Revenue - Contaminated Soil Adj</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A113">
            <v>36049</v>
          </cell>
          <cell r="B113" t="str">
            <v>Landfill Revenue - Contaminated Soil Int</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v>36050</v>
          </cell>
          <cell r="B114" t="str">
            <v>Landfill Revenue - Yard Waste</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36051</v>
          </cell>
          <cell r="B115" t="str">
            <v>Landfill Revenue - Yard Waste Adjustment</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v>36059</v>
          </cell>
          <cell r="B116" t="str">
            <v>Landfill Revenue - Yard Waste Intercompa</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v>36090</v>
          </cell>
          <cell r="B117" t="str">
            <v>Landfill Pass Through Revenue</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A118">
            <v>36099</v>
          </cell>
          <cell r="B118" t="str">
            <v>Landfill Pass Through Revenue Intercompany</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36301</v>
          </cell>
          <cell r="B119" t="str">
            <v>E&amp;P Liquids - Non Count Waste</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v>36309</v>
          </cell>
          <cell r="B120" t="str">
            <v>E&amp;P Liquids - Non Count Waste Intercompany</v>
          </cell>
          <cell r="E120">
            <v>0</v>
          </cell>
          <cell r="F120">
            <v>0</v>
          </cell>
          <cell r="G120">
            <v>0</v>
          </cell>
          <cell r="H120">
            <v>0</v>
          </cell>
          <cell r="I120">
            <v>0</v>
          </cell>
          <cell r="J120">
            <v>0</v>
          </cell>
          <cell r="K120">
            <v>0</v>
          </cell>
          <cell r="L120">
            <v>0</v>
          </cell>
          <cell r="M120">
            <v>0</v>
          </cell>
          <cell r="N120">
            <v>0</v>
          </cell>
          <cell r="O120">
            <v>0</v>
          </cell>
          <cell r="P120">
            <v>0</v>
          </cell>
          <cell r="Q120">
            <v>0</v>
          </cell>
        </row>
        <row r="121">
          <cell r="A121">
            <v>36311</v>
          </cell>
          <cell r="B121" t="str">
            <v>E&amp;P Liquids - Count Waste</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v>36319</v>
          </cell>
          <cell r="B122" t="str">
            <v>E&amp;P Liquids - Count Waste Intercompany</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A123">
            <v>36321</v>
          </cell>
          <cell r="B123" t="str">
            <v>Other Liquids - Non E&amp;P</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A124">
            <v>36329</v>
          </cell>
          <cell r="B124" t="str">
            <v>Other Liquids - Non E&amp;P Intercompany</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A125">
            <v>36331</v>
          </cell>
          <cell r="B125" t="str">
            <v>E&amp;P Solids - Count Waste</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A126">
            <v>36339</v>
          </cell>
          <cell r="B126" t="str">
            <v>E&amp;P Solids - Count Waste Intercompany</v>
          </cell>
          <cell r="E126">
            <v>0</v>
          </cell>
          <cell r="F126">
            <v>0</v>
          </cell>
          <cell r="G126">
            <v>0</v>
          </cell>
          <cell r="H126">
            <v>0</v>
          </cell>
          <cell r="I126">
            <v>0</v>
          </cell>
          <cell r="J126">
            <v>0</v>
          </cell>
          <cell r="K126">
            <v>0</v>
          </cell>
          <cell r="L126">
            <v>0</v>
          </cell>
          <cell r="M126">
            <v>0</v>
          </cell>
          <cell r="N126">
            <v>0</v>
          </cell>
          <cell r="O126">
            <v>0</v>
          </cell>
          <cell r="P126">
            <v>0</v>
          </cell>
          <cell r="Q126">
            <v>0</v>
          </cell>
        </row>
        <row r="127">
          <cell r="A127" t="str">
            <v>Total Landfill</v>
          </cell>
          <cell r="E127">
            <v>0</v>
          </cell>
          <cell r="F127">
            <v>0</v>
          </cell>
          <cell r="G127">
            <v>0</v>
          </cell>
          <cell r="H127">
            <v>0</v>
          </cell>
          <cell r="I127">
            <v>0</v>
          </cell>
          <cell r="J127">
            <v>0</v>
          </cell>
          <cell r="K127">
            <v>0</v>
          </cell>
          <cell r="L127">
            <v>0</v>
          </cell>
          <cell r="M127">
            <v>0</v>
          </cell>
          <cell r="N127">
            <v>0</v>
          </cell>
          <cell r="O127">
            <v>0</v>
          </cell>
          <cell r="P127">
            <v>0</v>
          </cell>
          <cell r="Q127">
            <v>0</v>
          </cell>
        </row>
        <row r="129">
          <cell r="A129" t="str">
            <v>Intermodal</v>
          </cell>
        </row>
        <row r="130">
          <cell r="A130">
            <v>36101</v>
          </cell>
          <cell r="B130" t="str">
            <v>Rail Drayage Revenue</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v>36109</v>
          </cell>
          <cell r="B131" t="str">
            <v>Rail Drayage Revenue - Intercompany</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36111</v>
          </cell>
          <cell r="B132" t="str">
            <v>Truck Drayage Revenue</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36119</v>
          </cell>
          <cell r="B133" t="str">
            <v>Truck Drayage Revenue - Intercompany</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v>36121</v>
          </cell>
          <cell r="B134" t="str">
            <v>Barge Drayage Revenue</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36131</v>
          </cell>
          <cell r="B135" t="str">
            <v>Service Labor Revenue</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v>36141</v>
          </cell>
          <cell r="B136" t="str">
            <v>Refrigeration Labor Revenue</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v>36145</v>
          </cell>
          <cell r="B137" t="str">
            <v>Parts Revenue</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v>36151</v>
          </cell>
          <cell r="B138" t="str">
            <v>Container Sales Revenue</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v>36161</v>
          </cell>
          <cell r="B139" t="str">
            <v>Container Rental Revenue</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v>36171</v>
          </cell>
          <cell r="B140" t="str">
            <v>Intermodal Revenue</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A141">
            <v>36181</v>
          </cell>
          <cell r="B141" t="str">
            <v>Chassis Lease Revenue</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v>36191</v>
          </cell>
          <cell r="B142" t="str">
            <v>Interchanges Revenue</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v>36201</v>
          </cell>
          <cell r="B143" t="str">
            <v>Storage Revenue</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v>36211</v>
          </cell>
          <cell r="B144" t="str">
            <v>Empty Lifts Revenue</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v>36221</v>
          </cell>
          <cell r="B145" t="str">
            <v>Load Lifts Revenue</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Total Intermodal</v>
          </cell>
          <cell r="E146">
            <v>0</v>
          </cell>
          <cell r="F146">
            <v>0</v>
          </cell>
          <cell r="G146">
            <v>0</v>
          </cell>
          <cell r="H146">
            <v>0</v>
          </cell>
          <cell r="I146">
            <v>0</v>
          </cell>
          <cell r="J146">
            <v>0</v>
          </cell>
          <cell r="K146">
            <v>0</v>
          </cell>
          <cell r="L146">
            <v>0</v>
          </cell>
          <cell r="M146">
            <v>0</v>
          </cell>
          <cell r="N146">
            <v>0</v>
          </cell>
          <cell r="O146">
            <v>0</v>
          </cell>
          <cell r="P146">
            <v>0</v>
          </cell>
          <cell r="Q146">
            <v>0</v>
          </cell>
        </row>
        <row r="148">
          <cell r="A148" t="str">
            <v>Other Revenue</v>
          </cell>
        </row>
        <row r="149">
          <cell r="A149">
            <v>37001</v>
          </cell>
          <cell r="B149" t="str">
            <v>Sale of Equipment</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A150">
            <v>37010</v>
          </cell>
          <cell r="B150" t="str">
            <v>Tire Processing Revenue</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v>37019</v>
          </cell>
          <cell r="B151" t="str">
            <v>Tire Processing Revenue - Intercompany</v>
          </cell>
          <cell r="E151">
            <v>0</v>
          </cell>
          <cell r="F151">
            <v>0</v>
          </cell>
          <cell r="G151">
            <v>0</v>
          </cell>
          <cell r="H151">
            <v>0</v>
          </cell>
          <cell r="I151">
            <v>0</v>
          </cell>
          <cell r="J151">
            <v>0</v>
          </cell>
          <cell r="K151">
            <v>0</v>
          </cell>
          <cell r="L151">
            <v>0</v>
          </cell>
          <cell r="M151">
            <v>0</v>
          </cell>
          <cell r="N151">
            <v>0</v>
          </cell>
          <cell r="O151">
            <v>0</v>
          </cell>
          <cell r="P151">
            <v>0</v>
          </cell>
          <cell r="Q151">
            <v>0</v>
          </cell>
        </row>
        <row r="152">
          <cell r="A152">
            <v>38000</v>
          </cell>
          <cell r="B152" t="str">
            <v>Corporate Other Revenue</v>
          </cell>
          <cell r="E152">
            <v>8589.2099999999991</v>
          </cell>
          <cell r="F152">
            <v>1694.09</v>
          </cell>
          <cell r="G152">
            <v>4218.3599999999997</v>
          </cell>
          <cell r="H152">
            <v>1373.97</v>
          </cell>
          <cell r="I152">
            <v>5262.72</v>
          </cell>
          <cell r="J152">
            <v>1769.91</v>
          </cell>
          <cell r="K152">
            <v>5502.45</v>
          </cell>
          <cell r="L152">
            <v>1702.72</v>
          </cell>
          <cell r="M152">
            <v>5805.85</v>
          </cell>
          <cell r="N152">
            <v>2208.19</v>
          </cell>
          <cell r="O152">
            <v>5752.25</v>
          </cell>
          <cell r="P152">
            <v>3433.24</v>
          </cell>
          <cell r="Q152">
            <v>47312.959999999999</v>
          </cell>
        </row>
        <row r="153">
          <cell r="A153">
            <v>38001</v>
          </cell>
          <cell r="B153" t="str">
            <v>P-Card Rebate Revenue</v>
          </cell>
          <cell r="E153">
            <v>0</v>
          </cell>
          <cell r="F153">
            <v>0</v>
          </cell>
          <cell r="G153">
            <v>0</v>
          </cell>
          <cell r="H153">
            <v>0</v>
          </cell>
          <cell r="I153">
            <v>0</v>
          </cell>
          <cell r="J153">
            <v>0</v>
          </cell>
          <cell r="K153">
            <v>0</v>
          </cell>
          <cell r="L153">
            <v>0</v>
          </cell>
          <cell r="M153">
            <v>0</v>
          </cell>
          <cell r="N153">
            <v>0</v>
          </cell>
          <cell r="O153">
            <v>0</v>
          </cell>
          <cell r="P153">
            <v>0</v>
          </cell>
          <cell r="Q153">
            <v>0</v>
          </cell>
        </row>
        <row r="154">
          <cell r="A154" t="str">
            <v>Total Other Revenue</v>
          </cell>
          <cell r="E154">
            <v>8589.2099999999991</v>
          </cell>
          <cell r="F154">
            <v>1694.09</v>
          </cell>
          <cell r="G154">
            <v>4218.3599999999997</v>
          </cell>
          <cell r="H154">
            <v>1373.97</v>
          </cell>
          <cell r="I154">
            <v>5262.72</v>
          </cell>
          <cell r="J154">
            <v>1769.91</v>
          </cell>
          <cell r="K154">
            <v>5502.45</v>
          </cell>
          <cell r="L154">
            <v>1702.72</v>
          </cell>
          <cell r="M154">
            <v>5805.85</v>
          </cell>
          <cell r="N154">
            <v>2208.19</v>
          </cell>
          <cell r="O154">
            <v>5752.25</v>
          </cell>
          <cell r="P154">
            <v>3433.24</v>
          </cell>
          <cell r="Q154">
            <v>47312.959999999999</v>
          </cell>
        </row>
        <row r="156">
          <cell r="A156" t="str">
            <v>Total Revenue</v>
          </cell>
          <cell r="E156">
            <v>2839426.59</v>
          </cell>
          <cell r="F156">
            <v>2811716.86</v>
          </cell>
          <cell r="G156">
            <v>2913771.82</v>
          </cell>
          <cell r="H156">
            <v>2924037.87</v>
          </cell>
          <cell r="I156">
            <v>2930860.6499999994</v>
          </cell>
          <cell r="J156">
            <v>3005240.4200000004</v>
          </cell>
          <cell r="K156">
            <v>2980348.3999999994</v>
          </cell>
          <cell r="L156">
            <v>2955082.1699999995</v>
          </cell>
          <cell r="M156">
            <v>2995618.75</v>
          </cell>
          <cell r="N156">
            <v>2959049.6100000003</v>
          </cell>
          <cell r="O156">
            <v>2983216.9499999997</v>
          </cell>
          <cell r="P156">
            <v>2979291.22</v>
          </cell>
          <cell r="Q156">
            <v>35277661.310000002</v>
          </cell>
        </row>
        <row r="158">
          <cell r="A158" t="str">
            <v>Revenue Reductions</v>
          </cell>
        </row>
        <row r="159">
          <cell r="A159" t="str">
            <v>Disposal</v>
          </cell>
        </row>
        <row r="160">
          <cell r="A160">
            <v>40101</v>
          </cell>
          <cell r="B160" t="str">
            <v>Disposal Landfill</v>
          </cell>
          <cell r="E160">
            <v>23350.03</v>
          </cell>
          <cell r="F160">
            <v>26834.720000000001</v>
          </cell>
          <cell r="G160">
            <v>42381.84</v>
          </cell>
          <cell r="H160">
            <v>36707.01</v>
          </cell>
          <cell r="I160">
            <v>39327.86</v>
          </cell>
          <cell r="J160">
            <v>44813.91</v>
          </cell>
          <cell r="K160">
            <v>45601.91</v>
          </cell>
          <cell r="L160">
            <v>42594.05</v>
          </cell>
          <cell r="M160">
            <v>39719.949999999997</v>
          </cell>
          <cell r="N160">
            <v>37160.81</v>
          </cell>
          <cell r="O160">
            <v>33518.03</v>
          </cell>
          <cell r="P160">
            <v>28405.79</v>
          </cell>
          <cell r="Q160">
            <v>440415.91</v>
          </cell>
        </row>
        <row r="161">
          <cell r="A161">
            <v>40109</v>
          </cell>
          <cell r="B161" t="str">
            <v>Disposal Landfill Intercompany</v>
          </cell>
          <cell r="E161">
            <v>194.6</v>
          </cell>
          <cell r="F161">
            <v>327.96</v>
          </cell>
          <cell r="G161">
            <v>99.4</v>
          </cell>
          <cell r="H161">
            <v>8930.7999999999993</v>
          </cell>
          <cell r="I161">
            <v>8418</v>
          </cell>
          <cell r="J161">
            <v>10225</v>
          </cell>
          <cell r="K161">
            <v>9550</v>
          </cell>
          <cell r="L161">
            <v>8953</v>
          </cell>
          <cell r="M161">
            <v>8660</v>
          </cell>
          <cell r="N161">
            <v>8485</v>
          </cell>
          <cell r="O161">
            <v>8205</v>
          </cell>
          <cell r="P161">
            <v>8111.2</v>
          </cell>
          <cell r="Q161">
            <v>80159.959999999992</v>
          </cell>
        </row>
        <row r="162">
          <cell r="A162">
            <v>40121</v>
          </cell>
          <cell r="B162" t="str">
            <v>Disposal Incineration</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A163">
            <v>40122</v>
          </cell>
          <cell r="B163" t="str">
            <v>Disposal Other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A164">
            <v>40129</v>
          </cell>
          <cell r="B164" t="str">
            <v>Disposal Other</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v>40131</v>
          </cell>
          <cell r="B165" t="str">
            <v>Disposal Transfer</v>
          </cell>
          <cell r="E165">
            <v>4652.22</v>
          </cell>
          <cell r="F165">
            <v>5422.23</v>
          </cell>
          <cell r="G165">
            <v>6556.26</v>
          </cell>
          <cell r="H165">
            <v>5248.01</v>
          </cell>
          <cell r="I165">
            <v>6285.68</v>
          </cell>
          <cell r="J165">
            <v>5271.25</v>
          </cell>
          <cell r="K165">
            <v>2375.48</v>
          </cell>
          <cell r="L165">
            <v>2345.9499999999998</v>
          </cell>
          <cell r="M165">
            <v>4253.9399999999996</v>
          </cell>
          <cell r="N165">
            <v>5654.19</v>
          </cell>
          <cell r="O165">
            <v>5131.53</v>
          </cell>
          <cell r="P165">
            <v>5010.78</v>
          </cell>
          <cell r="Q165">
            <v>58207.520000000004</v>
          </cell>
        </row>
        <row r="166">
          <cell r="A166">
            <v>40139</v>
          </cell>
          <cell r="B166" t="str">
            <v>Disposal Transfer Intercompany</v>
          </cell>
          <cell r="E166">
            <v>593825.03</v>
          </cell>
          <cell r="F166">
            <v>547142.99</v>
          </cell>
          <cell r="G166">
            <v>630810.36</v>
          </cell>
          <cell r="H166">
            <v>605643.42000000004</v>
          </cell>
          <cell r="I166">
            <v>594549.89</v>
          </cell>
          <cell r="J166">
            <v>658860.29</v>
          </cell>
          <cell r="K166">
            <v>621190.5</v>
          </cell>
          <cell r="L166">
            <v>619548.27</v>
          </cell>
          <cell r="M166">
            <v>634021.85</v>
          </cell>
          <cell r="N166">
            <v>591478.38</v>
          </cell>
          <cell r="O166">
            <v>635582.61</v>
          </cell>
          <cell r="P166">
            <v>652795.86</v>
          </cell>
          <cell r="Q166">
            <v>7385449.4500000002</v>
          </cell>
        </row>
        <row r="167">
          <cell r="A167" t="str">
            <v>Total Disposal</v>
          </cell>
          <cell r="E167">
            <v>622021.88</v>
          </cell>
          <cell r="F167">
            <v>579727.9</v>
          </cell>
          <cell r="G167">
            <v>679847.86</v>
          </cell>
          <cell r="H167">
            <v>656529.24</v>
          </cell>
          <cell r="I167">
            <v>648581.43000000005</v>
          </cell>
          <cell r="J167">
            <v>719170.45000000007</v>
          </cell>
          <cell r="K167">
            <v>678717.89</v>
          </cell>
          <cell r="L167">
            <v>673441.27</v>
          </cell>
          <cell r="M167">
            <v>686655.74</v>
          </cell>
          <cell r="N167">
            <v>642778.38</v>
          </cell>
          <cell r="O167">
            <v>682437.16999999993</v>
          </cell>
          <cell r="P167">
            <v>694323.63</v>
          </cell>
          <cell r="Q167">
            <v>7964232.8399999999</v>
          </cell>
        </row>
        <row r="169">
          <cell r="A169" t="str">
            <v>MRF Processing</v>
          </cell>
        </row>
        <row r="170">
          <cell r="A170">
            <v>40861</v>
          </cell>
          <cell r="B170" t="str">
            <v>Processing Fees MRF</v>
          </cell>
          <cell r="E170">
            <v>0</v>
          </cell>
          <cell r="F170">
            <v>0</v>
          </cell>
          <cell r="G170">
            <v>0</v>
          </cell>
          <cell r="H170">
            <v>0</v>
          </cell>
          <cell r="I170">
            <v>0</v>
          </cell>
          <cell r="J170">
            <v>0</v>
          </cell>
          <cell r="K170">
            <v>0</v>
          </cell>
          <cell r="L170">
            <v>0</v>
          </cell>
          <cell r="M170">
            <v>0</v>
          </cell>
          <cell r="N170">
            <v>0</v>
          </cell>
          <cell r="O170">
            <v>0</v>
          </cell>
          <cell r="P170">
            <v>0</v>
          </cell>
          <cell r="Q170">
            <v>0</v>
          </cell>
        </row>
        <row r="171">
          <cell r="A171">
            <v>40869</v>
          </cell>
          <cell r="B171" t="str">
            <v>Processing Fees MRF Intercompany</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t="str">
            <v>Total MRF Processing</v>
          </cell>
          <cell r="E172">
            <v>0</v>
          </cell>
          <cell r="F172">
            <v>0</v>
          </cell>
          <cell r="G172">
            <v>0</v>
          </cell>
          <cell r="H172">
            <v>0</v>
          </cell>
          <cell r="I172">
            <v>0</v>
          </cell>
          <cell r="J172">
            <v>0</v>
          </cell>
          <cell r="K172">
            <v>0</v>
          </cell>
          <cell r="L172">
            <v>0</v>
          </cell>
          <cell r="M172">
            <v>0</v>
          </cell>
          <cell r="N172">
            <v>0</v>
          </cell>
          <cell r="O172">
            <v>0</v>
          </cell>
          <cell r="P172">
            <v>0</v>
          </cell>
          <cell r="Q172">
            <v>0</v>
          </cell>
        </row>
        <row r="174">
          <cell r="A174" t="str">
            <v>Brokerage, Rebates and Taxes</v>
          </cell>
        </row>
        <row r="175">
          <cell r="A175">
            <v>41121</v>
          </cell>
          <cell r="B175" t="str">
            <v>Brokerage Cost</v>
          </cell>
          <cell r="E175">
            <v>0</v>
          </cell>
          <cell r="F175">
            <v>0</v>
          </cell>
          <cell r="G175">
            <v>0</v>
          </cell>
          <cell r="H175">
            <v>178.39</v>
          </cell>
          <cell r="I175">
            <v>0</v>
          </cell>
          <cell r="J175">
            <v>0</v>
          </cell>
          <cell r="K175">
            <v>0</v>
          </cell>
          <cell r="L175">
            <v>0</v>
          </cell>
          <cell r="M175">
            <v>0</v>
          </cell>
          <cell r="N175">
            <v>0</v>
          </cell>
          <cell r="O175">
            <v>0</v>
          </cell>
          <cell r="P175">
            <v>0</v>
          </cell>
          <cell r="Q175">
            <v>178.39</v>
          </cell>
        </row>
        <row r="176">
          <cell r="A176">
            <v>41129</v>
          </cell>
          <cell r="B176" t="str">
            <v>Brokerage Cost Intercompany</v>
          </cell>
          <cell r="E176">
            <v>0</v>
          </cell>
          <cell r="F176">
            <v>0</v>
          </cell>
          <cell r="G176">
            <v>0</v>
          </cell>
          <cell r="H176">
            <v>0</v>
          </cell>
          <cell r="I176">
            <v>0</v>
          </cell>
          <cell r="J176">
            <v>0</v>
          </cell>
          <cell r="K176">
            <v>0</v>
          </cell>
          <cell r="L176">
            <v>0</v>
          </cell>
          <cell r="M176">
            <v>0</v>
          </cell>
          <cell r="N176">
            <v>0</v>
          </cell>
          <cell r="O176">
            <v>0</v>
          </cell>
          <cell r="P176">
            <v>0</v>
          </cell>
          <cell r="Q176">
            <v>0</v>
          </cell>
        </row>
        <row r="177">
          <cell r="A177">
            <v>41131</v>
          </cell>
          <cell r="B177" t="str">
            <v>Rail Drayage Expenses</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v>41135</v>
          </cell>
          <cell r="B178" t="str">
            <v>Resale Parts - Cost of Goods Sold</v>
          </cell>
          <cell r="E178">
            <v>0</v>
          </cell>
          <cell r="F178">
            <v>0</v>
          </cell>
          <cell r="G178">
            <v>0</v>
          </cell>
          <cell r="H178">
            <v>0</v>
          </cell>
          <cell r="I178">
            <v>0</v>
          </cell>
          <cell r="J178">
            <v>0</v>
          </cell>
          <cell r="K178">
            <v>0</v>
          </cell>
          <cell r="L178">
            <v>0</v>
          </cell>
          <cell r="M178">
            <v>0</v>
          </cell>
          <cell r="N178">
            <v>0</v>
          </cell>
          <cell r="O178">
            <v>0</v>
          </cell>
          <cell r="P178">
            <v>0</v>
          </cell>
          <cell r="Q178">
            <v>0</v>
          </cell>
        </row>
        <row r="179">
          <cell r="A179">
            <v>41139</v>
          </cell>
          <cell r="B179" t="str">
            <v>Rail Drayage Expenses - Intercompany</v>
          </cell>
          <cell r="E179">
            <v>0</v>
          </cell>
          <cell r="F179">
            <v>0</v>
          </cell>
          <cell r="G179">
            <v>0</v>
          </cell>
          <cell r="H179">
            <v>0</v>
          </cell>
          <cell r="I179">
            <v>0</v>
          </cell>
          <cell r="J179">
            <v>0</v>
          </cell>
          <cell r="K179">
            <v>0</v>
          </cell>
          <cell r="L179">
            <v>0</v>
          </cell>
          <cell r="M179">
            <v>0</v>
          </cell>
          <cell r="N179">
            <v>0</v>
          </cell>
          <cell r="O179">
            <v>0</v>
          </cell>
          <cell r="P179">
            <v>0</v>
          </cell>
          <cell r="Q179">
            <v>0</v>
          </cell>
        </row>
        <row r="180">
          <cell r="A180">
            <v>41141</v>
          </cell>
          <cell r="B180" t="str">
            <v>Truck Drayage Expenses</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v>41149</v>
          </cell>
          <cell r="B181" t="str">
            <v>Truck Drayage Expenses - Intercompany</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v>41151</v>
          </cell>
          <cell r="B182" t="str">
            <v>Intermodal Expenses</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v>41201</v>
          </cell>
          <cell r="B183" t="str">
            <v>Rebates and Revenue Sharing</v>
          </cell>
          <cell r="E183">
            <v>521936.87</v>
          </cell>
          <cell r="F183">
            <v>516837.5</v>
          </cell>
          <cell r="G183">
            <v>526589.43999999994</v>
          </cell>
          <cell r="H183">
            <v>507133.7</v>
          </cell>
          <cell r="I183">
            <v>514778.73</v>
          </cell>
          <cell r="J183">
            <v>520529.95</v>
          </cell>
          <cell r="K183">
            <v>523325.23</v>
          </cell>
          <cell r="L183">
            <v>525169.91</v>
          </cell>
          <cell r="M183">
            <v>526242.24</v>
          </cell>
          <cell r="N183">
            <v>522492.7</v>
          </cell>
          <cell r="O183">
            <v>519798.37</v>
          </cell>
          <cell r="P183">
            <v>519523.19</v>
          </cell>
          <cell r="Q183">
            <v>6244357.830000001</v>
          </cell>
        </row>
        <row r="184">
          <cell r="A184">
            <v>43001</v>
          </cell>
          <cell r="B184" t="str">
            <v>Taxes and Pass Thru Fees</v>
          </cell>
          <cell r="E184">
            <v>41543.1</v>
          </cell>
          <cell r="F184">
            <v>40952.97</v>
          </cell>
          <cell r="G184">
            <v>42462.54</v>
          </cell>
          <cell r="H184">
            <v>45489.33</v>
          </cell>
          <cell r="I184">
            <v>48581.71</v>
          </cell>
          <cell r="J184">
            <v>53321.59</v>
          </cell>
          <cell r="K184">
            <v>51875.89</v>
          </cell>
          <cell r="L184">
            <v>52096.88</v>
          </cell>
          <cell r="M184">
            <v>52109.83</v>
          </cell>
          <cell r="N184">
            <v>51665.29</v>
          </cell>
          <cell r="O184">
            <v>51559.19</v>
          </cell>
          <cell r="P184">
            <v>51703.040000000001</v>
          </cell>
          <cell r="Q184">
            <v>583361.3600000001</v>
          </cell>
        </row>
        <row r="185">
          <cell r="A185">
            <v>43002</v>
          </cell>
          <cell r="B185" t="str">
            <v>WUTC Taxes</v>
          </cell>
          <cell r="E185">
            <v>0</v>
          </cell>
          <cell r="F185">
            <v>0</v>
          </cell>
          <cell r="G185">
            <v>0</v>
          </cell>
          <cell r="H185">
            <v>0</v>
          </cell>
          <cell r="I185">
            <v>0</v>
          </cell>
          <cell r="J185">
            <v>0</v>
          </cell>
          <cell r="K185">
            <v>0</v>
          </cell>
          <cell r="L185">
            <v>0</v>
          </cell>
          <cell r="M185">
            <v>0</v>
          </cell>
          <cell r="N185">
            <v>0</v>
          </cell>
          <cell r="O185">
            <v>0</v>
          </cell>
          <cell r="P185">
            <v>0</v>
          </cell>
          <cell r="Q185">
            <v>0</v>
          </cell>
        </row>
        <row r="186">
          <cell r="A186">
            <v>43090</v>
          </cell>
          <cell r="B186" t="str">
            <v>Pass Through Expenses</v>
          </cell>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A187">
            <v>43099</v>
          </cell>
          <cell r="B187" t="str">
            <v>Pass Through Expenses Intercompany</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t="str">
            <v>Total Brokerage, Rebates and Taxes</v>
          </cell>
          <cell r="E188">
            <v>563479.97</v>
          </cell>
          <cell r="F188">
            <v>557790.47</v>
          </cell>
          <cell r="G188">
            <v>569051.98</v>
          </cell>
          <cell r="H188">
            <v>552801.42000000004</v>
          </cell>
          <cell r="I188">
            <v>563360.43999999994</v>
          </cell>
          <cell r="J188">
            <v>573851.54</v>
          </cell>
          <cell r="K188">
            <v>575201.12</v>
          </cell>
          <cell r="L188">
            <v>577266.79</v>
          </cell>
          <cell r="M188">
            <v>578352.06999999995</v>
          </cell>
          <cell r="N188">
            <v>574157.99</v>
          </cell>
          <cell r="O188">
            <v>571357.56000000006</v>
          </cell>
          <cell r="P188">
            <v>571226.23</v>
          </cell>
          <cell r="Q188">
            <v>6827897.580000001</v>
          </cell>
        </row>
        <row r="190">
          <cell r="A190" t="str">
            <v>Recycling Materials Expense</v>
          </cell>
        </row>
        <row r="191">
          <cell r="A191">
            <v>44161</v>
          </cell>
          <cell r="B191" t="str">
            <v>Cost of Materials - OCC</v>
          </cell>
          <cell r="E191">
            <v>2426.64</v>
          </cell>
          <cell r="F191">
            <v>2389.0700000000002</v>
          </cell>
          <cell r="G191">
            <v>2400.6</v>
          </cell>
          <cell r="H191">
            <v>2445.6799999999998</v>
          </cell>
          <cell r="I191">
            <v>2403.29</v>
          </cell>
          <cell r="J191">
            <v>2402.11</v>
          </cell>
          <cell r="K191">
            <v>437.67</v>
          </cell>
          <cell r="L191">
            <v>1356.93</v>
          </cell>
          <cell r="M191">
            <v>2409.56</v>
          </cell>
          <cell r="N191">
            <v>2530.52</v>
          </cell>
          <cell r="O191">
            <v>2633.11</v>
          </cell>
          <cell r="P191">
            <v>2651.26</v>
          </cell>
          <cell r="Q191">
            <v>26486.440000000002</v>
          </cell>
        </row>
        <row r="192">
          <cell r="A192">
            <v>44162</v>
          </cell>
          <cell r="B192" t="str">
            <v>Cost of Materials - ONP</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v>44163</v>
          </cell>
          <cell r="B193" t="str">
            <v>Cost of Materials - Other Paper</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A194">
            <v>44164</v>
          </cell>
          <cell r="B194" t="str">
            <v>Cost of Materials - Aluminum</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v>44165</v>
          </cell>
          <cell r="B195" t="str">
            <v>Cost of Materials - Metal</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v>44166</v>
          </cell>
          <cell r="B196" t="str">
            <v>Cost of Materials - Glass</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44167</v>
          </cell>
          <cell r="B197" t="str">
            <v>Cost of Materials - Plastic</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v>44168</v>
          </cell>
          <cell r="B198" t="str">
            <v>Cost of Materials - Other Recyclables</v>
          </cell>
          <cell r="E198">
            <v>0</v>
          </cell>
          <cell r="F198">
            <v>8</v>
          </cell>
          <cell r="G198">
            <v>8</v>
          </cell>
          <cell r="H198">
            <v>0</v>
          </cell>
          <cell r="I198">
            <v>8</v>
          </cell>
          <cell r="J198">
            <v>0</v>
          </cell>
          <cell r="K198">
            <v>8</v>
          </cell>
          <cell r="L198">
            <v>7</v>
          </cell>
          <cell r="M198">
            <v>0</v>
          </cell>
          <cell r="N198">
            <v>7</v>
          </cell>
          <cell r="O198">
            <v>15</v>
          </cell>
          <cell r="P198">
            <v>8</v>
          </cell>
          <cell r="Q198">
            <v>69</v>
          </cell>
        </row>
        <row r="199">
          <cell r="A199">
            <v>44169</v>
          </cell>
          <cell r="B199" t="str">
            <v>Cost of Materials - Intercompany</v>
          </cell>
          <cell r="E199">
            <v>1793.25</v>
          </cell>
          <cell r="F199">
            <v>1711</v>
          </cell>
          <cell r="G199">
            <v>2209.37</v>
          </cell>
          <cell r="H199">
            <v>2644.25</v>
          </cell>
          <cell r="I199">
            <v>3170</v>
          </cell>
          <cell r="J199">
            <v>2275.25</v>
          </cell>
          <cell r="K199">
            <v>1660.5</v>
          </cell>
          <cell r="L199">
            <v>2033.7</v>
          </cell>
          <cell r="M199">
            <v>1648</v>
          </cell>
          <cell r="N199">
            <v>2091.5500000000002</v>
          </cell>
          <cell r="O199">
            <v>2223.8000000000002</v>
          </cell>
          <cell r="P199">
            <v>2182.25</v>
          </cell>
          <cell r="Q199">
            <v>25642.92</v>
          </cell>
        </row>
        <row r="200">
          <cell r="A200">
            <v>44261</v>
          </cell>
          <cell r="B200" t="str">
            <v>Cost of Materials - Organics</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v>44262</v>
          </cell>
          <cell r="B201" t="str">
            <v>Cost of Materials - Clean Wood</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v>44263</v>
          </cell>
          <cell r="B202" t="str">
            <v>Cost of Materials - Landscaping Materials</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Total Recycling Materials Expense</v>
          </cell>
          <cell r="E203">
            <v>4219.8899999999994</v>
          </cell>
          <cell r="F203">
            <v>4108.07</v>
          </cell>
          <cell r="G203">
            <v>4617.9699999999993</v>
          </cell>
          <cell r="H203">
            <v>5089.93</v>
          </cell>
          <cell r="I203">
            <v>5581.29</v>
          </cell>
          <cell r="J203">
            <v>4677.3600000000006</v>
          </cell>
          <cell r="K203">
            <v>2106.17</v>
          </cell>
          <cell r="L203">
            <v>3397.63</v>
          </cell>
          <cell r="M203">
            <v>4057.56</v>
          </cell>
          <cell r="N203">
            <v>4629.07</v>
          </cell>
          <cell r="O203">
            <v>4871.91</v>
          </cell>
          <cell r="P203">
            <v>4841.51</v>
          </cell>
          <cell r="Q203">
            <v>52198.36</v>
          </cell>
        </row>
        <row r="205">
          <cell r="A205" t="str">
            <v>Other Expense</v>
          </cell>
        </row>
        <row r="206">
          <cell r="A206">
            <v>47000</v>
          </cell>
          <cell r="B206" t="str">
            <v>Cost of Containers Sold</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47001</v>
          </cell>
          <cell r="B207" t="str">
            <v>Cost of Equipment Sold</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v>47010</v>
          </cell>
          <cell r="B208" t="str">
            <v>Tire Processing Expenses</v>
          </cell>
          <cell r="E208">
            <v>0</v>
          </cell>
          <cell r="F208">
            <v>0</v>
          </cell>
          <cell r="G208">
            <v>0</v>
          </cell>
          <cell r="H208">
            <v>205.8</v>
          </cell>
          <cell r="I208">
            <v>0</v>
          </cell>
          <cell r="J208">
            <v>0</v>
          </cell>
          <cell r="K208">
            <v>0</v>
          </cell>
          <cell r="L208">
            <v>0</v>
          </cell>
          <cell r="M208">
            <v>0</v>
          </cell>
          <cell r="N208">
            <v>0</v>
          </cell>
          <cell r="O208">
            <v>0</v>
          </cell>
          <cell r="P208">
            <v>0</v>
          </cell>
          <cell r="Q208">
            <v>205.8</v>
          </cell>
        </row>
        <row r="209">
          <cell r="A209">
            <v>47019</v>
          </cell>
          <cell r="B209" t="str">
            <v>Tire Processing Expenses - Intercompany</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Total Other Expense</v>
          </cell>
          <cell r="E210">
            <v>0</v>
          </cell>
          <cell r="F210">
            <v>0</v>
          </cell>
          <cell r="G210">
            <v>0</v>
          </cell>
          <cell r="H210">
            <v>205.8</v>
          </cell>
          <cell r="I210">
            <v>0</v>
          </cell>
          <cell r="J210">
            <v>0</v>
          </cell>
          <cell r="K210">
            <v>0</v>
          </cell>
          <cell r="L210">
            <v>0</v>
          </cell>
          <cell r="M210">
            <v>0</v>
          </cell>
          <cell r="N210">
            <v>0</v>
          </cell>
          <cell r="O210">
            <v>0</v>
          </cell>
          <cell r="P210">
            <v>0</v>
          </cell>
          <cell r="Q210">
            <v>205.8</v>
          </cell>
        </row>
        <row r="212">
          <cell r="A212" t="str">
            <v>Total Revenue Reductions</v>
          </cell>
          <cell r="E212">
            <v>1189721.74</v>
          </cell>
          <cell r="F212">
            <v>1141626.44</v>
          </cell>
          <cell r="G212">
            <v>1253517.81</v>
          </cell>
          <cell r="H212">
            <v>1214626.3900000001</v>
          </cell>
          <cell r="I212">
            <v>1217523.1600000001</v>
          </cell>
          <cell r="J212">
            <v>1297699.3500000001</v>
          </cell>
          <cell r="K212">
            <v>1256025.1800000002</v>
          </cell>
          <cell r="L212">
            <v>1254105.69</v>
          </cell>
          <cell r="M212">
            <v>1269065.3700000001</v>
          </cell>
          <cell r="N212">
            <v>1221565.4399999999</v>
          </cell>
          <cell r="O212">
            <v>1258666.6400000001</v>
          </cell>
          <cell r="P212">
            <v>1270391.3700000001</v>
          </cell>
          <cell r="Q212">
            <v>14844534.580000002</v>
          </cell>
        </row>
        <row r="214">
          <cell r="A214" t="str">
            <v>Net Revenue</v>
          </cell>
          <cell r="E214">
            <v>1649704.8499999999</v>
          </cell>
          <cell r="F214">
            <v>1670090.42</v>
          </cell>
          <cell r="G214">
            <v>1660254.0099999998</v>
          </cell>
          <cell r="H214">
            <v>1709411.48</v>
          </cell>
          <cell r="I214">
            <v>1713337.4899999993</v>
          </cell>
          <cell r="J214">
            <v>1707541.0700000003</v>
          </cell>
          <cell r="K214">
            <v>1724323.2199999993</v>
          </cell>
          <cell r="L214">
            <v>1700976.4799999995</v>
          </cell>
          <cell r="M214">
            <v>1726553.38</v>
          </cell>
          <cell r="N214">
            <v>1737484.1700000004</v>
          </cell>
          <cell r="O214">
            <v>1724550.3099999996</v>
          </cell>
          <cell r="P214">
            <v>1708899.85</v>
          </cell>
          <cell r="Q214">
            <v>20433126.73</v>
          </cell>
        </row>
        <row r="216">
          <cell r="A216" t="str">
            <v>Cost of Operations</v>
          </cell>
        </row>
        <row r="217">
          <cell r="A217" t="str">
            <v>Labor</v>
          </cell>
        </row>
        <row r="218">
          <cell r="A218">
            <v>50010</v>
          </cell>
          <cell r="B218" t="str">
            <v>Salaries</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A219">
            <v>50020</v>
          </cell>
          <cell r="B219" t="str">
            <v>Wages Regular</v>
          </cell>
          <cell r="E219">
            <v>164883.42000000001</v>
          </cell>
          <cell r="F219">
            <v>163593.57</v>
          </cell>
          <cell r="G219">
            <v>188109.33</v>
          </cell>
          <cell r="H219">
            <v>179849.71</v>
          </cell>
          <cell r="I219">
            <v>172347.9</v>
          </cell>
          <cell r="J219">
            <v>187859.47</v>
          </cell>
          <cell r="K219">
            <v>178348.24</v>
          </cell>
          <cell r="L219">
            <v>182091.36</v>
          </cell>
          <cell r="M219">
            <v>176392.37000000002</v>
          </cell>
          <cell r="N219">
            <v>178231.65999999997</v>
          </cell>
          <cell r="O219">
            <v>171402.89</v>
          </cell>
          <cell r="P219">
            <v>200565.78999999998</v>
          </cell>
          <cell r="Q219">
            <v>2143675.71</v>
          </cell>
        </row>
        <row r="220">
          <cell r="A220">
            <v>50025</v>
          </cell>
          <cell r="B220" t="str">
            <v>Wages O.T.</v>
          </cell>
          <cell r="E220">
            <v>32984.839999999997</v>
          </cell>
          <cell r="F220">
            <v>9544.4</v>
          </cell>
          <cell r="G220">
            <v>22471.78</v>
          </cell>
          <cell r="H220">
            <v>31363.030000000002</v>
          </cell>
          <cell r="I220">
            <v>49805.09</v>
          </cell>
          <cell r="J220">
            <v>35207.21</v>
          </cell>
          <cell r="K220">
            <v>36825.21</v>
          </cell>
          <cell r="L220">
            <v>33200.26</v>
          </cell>
          <cell r="M220">
            <v>40758.67</v>
          </cell>
          <cell r="N220">
            <v>31022.81</v>
          </cell>
          <cell r="O220">
            <v>51285.26</v>
          </cell>
          <cell r="P220">
            <v>33854.409999999996</v>
          </cell>
          <cell r="Q220">
            <v>408322.97</v>
          </cell>
        </row>
        <row r="221">
          <cell r="A221">
            <v>50035</v>
          </cell>
          <cell r="B221" t="str">
            <v>Safety Bonuses</v>
          </cell>
          <cell r="E221">
            <v>4800</v>
          </cell>
          <cell r="F221">
            <v>4800</v>
          </cell>
          <cell r="G221">
            <v>4800</v>
          </cell>
          <cell r="H221">
            <v>4800</v>
          </cell>
          <cell r="I221">
            <v>5550</v>
          </cell>
          <cell r="J221">
            <v>5550</v>
          </cell>
          <cell r="K221">
            <v>5550</v>
          </cell>
          <cell r="L221">
            <v>5550</v>
          </cell>
          <cell r="M221">
            <v>3500</v>
          </cell>
          <cell r="N221">
            <v>3500</v>
          </cell>
          <cell r="O221">
            <v>4800</v>
          </cell>
          <cell r="P221">
            <v>-8000</v>
          </cell>
          <cell r="Q221">
            <v>45200</v>
          </cell>
        </row>
        <row r="222">
          <cell r="A222">
            <v>50036</v>
          </cell>
          <cell r="B222" t="str">
            <v>Other Bonus/Commission - Non-Safety</v>
          </cell>
          <cell r="E222">
            <v>0</v>
          </cell>
          <cell r="F222">
            <v>0</v>
          </cell>
          <cell r="G222">
            <v>0</v>
          </cell>
          <cell r="H222">
            <v>0</v>
          </cell>
          <cell r="I222">
            <v>0</v>
          </cell>
          <cell r="J222">
            <v>0</v>
          </cell>
          <cell r="K222">
            <v>0</v>
          </cell>
          <cell r="L222">
            <v>0</v>
          </cell>
          <cell r="M222">
            <v>0</v>
          </cell>
          <cell r="N222">
            <v>0</v>
          </cell>
          <cell r="O222">
            <v>0</v>
          </cell>
          <cell r="P222">
            <v>0</v>
          </cell>
          <cell r="Q222">
            <v>0</v>
          </cell>
        </row>
        <row r="223">
          <cell r="A223">
            <v>50045</v>
          </cell>
          <cell r="B223" t="str">
            <v>Contract Labor</v>
          </cell>
          <cell r="E223">
            <v>0</v>
          </cell>
          <cell r="F223">
            <v>0</v>
          </cell>
          <cell r="G223">
            <v>0</v>
          </cell>
          <cell r="H223">
            <v>0</v>
          </cell>
          <cell r="I223">
            <v>0</v>
          </cell>
          <cell r="J223">
            <v>0</v>
          </cell>
          <cell r="K223">
            <v>4788.33</v>
          </cell>
          <cell r="L223">
            <v>3663.38</v>
          </cell>
          <cell r="M223">
            <v>2786.12</v>
          </cell>
          <cell r="N223">
            <v>7835.02</v>
          </cell>
          <cell r="O223">
            <v>2360.66</v>
          </cell>
          <cell r="P223">
            <v>120.48</v>
          </cell>
          <cell r="Q223">
            <v>21553.989999999998</v>
          </cell>
        </row>
        <row r="224">
          <cell r="A224">
            <v>50050</v>
          </cell>
          <cell r="B224" t="str">
            <v>Payroll Taxes</v>
          </cell>
          <cell r="E224">
            <v>25189.960000000003</v>
          </cell>
          <cell r="F224">
            <v>18251.73</v>
          </cell>
          <cell r="G224">
            <v>20679.02</v>
          </cell>
          <cell r="H224">
            <v>21039.350000000002</v>
          </cell>
          <cell r="I224">
            <v>21060.63</v>
          </cell>
          <cell r="J224">
            <v>22770.019999999997</v>
          </cell>
          <cell r="K224">
            <v>23082.989999999998</v>
          </cell>
          <cell r="L224">
            <v>21413.860000000004</v>
          </cell>
          <cell r="M224">
            <v>22297.15</v>
          </cell>
          <cell r="N224">
            <v>19721.989999999998</v>
          </cell>
          <cell r="O224">
            <v>24041.16</v>
          </cell>
          <cell r="P224">
            <v>17044.59</v>
          </cell>
          <cell r="Q224">
            <v>256592.45</v>
          </cell>
        </row>
        <row r="225">
          <cell r="A225">
            <v>50060</v>
          </cell>
          <cell r="B225" t="str">
            <v>Group Insurance</v>
          </cell>
          <cell r="E225">
            <v>-52</v>
          </cell>
          <cell r="F225">
            <v>52</v>
          </cell>
          <cell r="G225">
            <v>400</v>
          </cell>
          <cell r="H225">
            <v>400</v>
          </cell>
          <cell r="I225">
            <v>400</v>
          </cell>
          <cell r="J225">
            <v>400</v>
          </cell>
          <cell r="K225">
            <v>400.77</v>
          </cell>
          <cell r="L225">
            <v>348</v>
          </cell>
          <cell r="M225">
            <v>400</v>
          </cell>
          <cell r="N225">
            <v>400</v>
          </cell>
          <cell r="O225">
            <v>1.54</v>
          </cell>
          <cell r="P225">
            <v>-913.13</v>
          </cell>
          <cell r="Q225">
            <v>2237.1799999999998</v>
          </cell>
        </row>
        <row r="226">
          <cell r="A226">
            <v>50065</v>
          </cell>
          <cell r="B226" t="str">
            <v>Vacation Pay</v>
          </cell>
          <cell r="E226">
            <v>19746.13</v>
          </cell>
          <cell r="F226">
            <v>10715.919999999998</v>
          </cell>
          <cell r="G226">
            <v>10164.220000000001</v>
          </cell>
          <cell r="H226">
            <v>13775.17</v>
          </cell>
          <cell r="I226">
            <v>12214.41</v>
          </cell>
          <cell r="J226">
            <v>9839.7799999999988</v>
          </cell>
          <cell r="K226">
            <v>16829.84</v>
          </cell>
          <cell r="L226">
            <v>10619.08</v>
          </cell>
          <cell r="M226">
            <v>20174.8</v>
          </cell>
          <cell r="N226">
            <v>7964.8900000000012</v>
          </cell>
          <cell r="O226">
            <v>28346.93</v>
          </cell>
          <cell r="P226">
            <v>21322.129999999997</v>
          </cell>
          <cell r="Q226">
            <v>181713.30000000002</v>
          </cell>
        </row>
        <row r="227">
          <cell r="A227">
            <v>50070</v>
          </cell>
          <cell r="B227" t="str">
            <v>Sick Pay</v>
          </cell>
          <cell r="E227">
            <v>0</v>
          </cell>
          <cell r="F227">
            <v>0</v>
          </cell>
          <cell r="G227">
            <v>0</v>
          </cell>
          <cell r="H227">
            <v>0</v>
          </cell>
          <cell r="I227">
            <v>0</v>
          </cell>
          <cell r="J227">
            <v>0</v>
          </cell>
          <cell r="K227">
            <v>0</v>
          </cell>
          <cell r="L227">
            <v>0</v>
          </cell>
          <cell r="M227">
            <v>0</v>
          </cell>
          <cell r="N227">
            <v>0</v>
          </cell>
          <cell r="O227">
            <v>0</v>
          </cell>
          <cell r="P227">
            <v>0</v>
          </cell>
          <cell r="Q227">
            <v>0</v>
          </cell>
        </row>
        <row r="228">
          <cell r="A228">
            <v>50086</v>
          </cell>
          <cell r="B228" t="str">
            <v>Safety and Training</v>
          </cell>
          <cell r="E228">
            <v>157.5</v>
          </cell>
          <cell r="F228">
            <v>172.5</v>
          </cell>
          <cell r="G228">
            <v>808.28</v>
          </cell>
          <cell r="H228">
            <v>-442.5</v>
          </cell>
          <cell r="I228">
            <v>965.32</v>
          </cell>
          <cell r="J228">
            <v>0</v>
          </cell>
          <cell r="K228">
            <v>0</v>
          </cell>
          <cell r="L228">
            <v>0</v>
          </cell>
          <cell r="M228">
            <v>25</v>
          </cell>
          <cell r="N228">
            <v>675</v>
          </cell>
          <cell r="O228">
            <v>0</v>
          </cell>
          <cell r="P228">
            <v>0</v>
          </cell>
          <cell r="Q228">
            <v>2361.1</v>
          </cell>
        </row>
        <row r="229">
          <cell r="A229">
            <v>50087</v>
          </cell>
          <cell r="B229" t="str">
            <v>Drug Testing</v>
          </cell>
          <cell r="E229">
            <v>60</v>
          </cell>
          <cell r="F229">
            <v>294</v>
          </cell>
          <cell r="G229">
            <v>180</v>
          </cell>
          <cell r="H229">
            <v>60</v>
          </cell>
          <cell r="I229">
            <v>180</v>
          </cell>
          <cell r="J229">
            <v>0</v>
          </cell>
          <cell r="K229">
            <v>660</v>
          </cell>
          <cell r="L229">
            <v>180</v>
          </cell>
          <cell r="M229">
            <v>480</v>
          </cell>
          <cell r="N229">
            <v>360</v>
          </cell>
          <cell r="O229">
            <v>180</v>
          </cell>
          <cell r="P229">
            <v>120</v>
          </cell>
          <cell r="Q229">
            <v>2754</v>
          </cell>
        </row>
        <row r="230">
          <cell r="A230">
            <v>50090</v>
          </cell>
          <cell r="B230" t="str">
            <v>Uniforms</v>
          </cell>
          <cell r="E230">
            <v>4074.6600000000003</v>
          </cell>
          <cell r="F230">
            <v>3623.04</v>
          </cell>
          <cell r="G230">
            <v>5198.9500000000007</v>
          </cell>
          <cell r="H230">
            <v>3689.49</v>
          </cell>
          <cell r="I230">
            <v>10448.56</v>
          </cell>
          <cell r="J230">
            <v>4504.9699999999993</v>
          </cell>
          <cell r="K230">
            <v>4758.2000000000007</v>
          </cell>
          <cell r="L230">
            <v>10818.759999999998</v>
          </cell>
          <cell r="M230">
            <v>4750.04</v>
          </cell>
          <cell r="N230">
            <v>7936.8100000000013</v>
          </cell>
          <cell r="O230">
            <v>4016.29</v>
          </cell>
          <cell r="P230">
            <v>3616.1000000000004</v>
          </cell>
          <cell r="Q230">
            <v>67435.87</v>
          </cell>
        </row>
        <row r="231">
          <cell r="A231">
            <v>50115</v>
          </cell>
          <cell r="B231" t="str">
            <v>Pension and Profit Sharing</v>
          </cell>
          <cell r="E231">
            <v>28983.06</v>
          </cell>
          <cell r="F231">
            <v>25738.78</v>
          </cell>
          <cell r="G231">
            <v>27512.51</v>
          </cell>
          <cell r="H231">
            <v>29149.510000000002</v>
          </cell>
          <cell r="I231">
            <v>28747.71</v>
          </cell>
          <cell r="J231">
            <v>30320.410000000003</v>
          </cell>
          <cell r="K231">
            <v>30592.95</v>
          </cell>
          <cell r="L231">
            <v>30361.019999999997</v>
          </cell>
          <cell r="M231">
            <v>30798.07</v>
          </cell>
          <cell r="N231">
            <v>28965.410000000003</v>
          </cell>
          <cell r="O231">
            <v>29195.13</v>
          </cell>
          <cell r="P231">
            <v>27681.32</v>
          </cell>
          <cell r="Q231">
            <v>348045.87999999995</v>
          </cell>
        </row>
        <row r="232">
          <cell r="A232">
            <v>50116</v>
          </cell>
          <cell r="B232" t="str">
            <v>Union Benefit Expense</v>
          </cell>
          <cell r="E232">
            <v>75002.37000000001</v>
          </cell>
          <cell r="F232">
            <v>76004.59</v>
          </cell>
          <cell r="G232">
            <v>72736.17</v>
          </cell>
          <cell r="H232">
            <v>70560.600000000006</v>
          </cell>
          <cell r="I232">
            <v>73715.539999999994</v>
          </cell>
          <cell r="J232">
            <v>76036.11</v>
          </cell>
          <cell r="K232">
            <v>76033.8</v>
          </cell>
          <cell r="L232">
            <v>76047.17</v>
          </cell>
          <cell r="M232">
            <v>75995.589999999982</v>
          </cell>
          <cell r="N232">
            <v>77106.5</v>
          </cell>
          <cell r="O232">
            <v>74405.170000000013</v>
          </cell>
          <cell r="P232">
            <v>74519.92</v>
          </cell>
          <cell r="Q232">
            <v>898163.53</v>
          </cell>
        </row>
        <row r="233">
          <cell r="A233">
            <v>50117</v>
          </cell>
          <cell r="B233" t="str">
            <v>Union Pension</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A234">
            <v>50148</v>
          </cell>
          <cell r="B234" t="str">
            <v>Allocated Exp In - District</v>
          </cell>
          <cell r="E234">
            <v>0</v>
          </cell>
          <cell r="F234">
            <v>0</v>
          </cell>
          <cell r="G234">
            <v>0</v>
          </cell>
          <cell r="H234">
            <v>0</v>
          </cell>
          <cell r="I234">
            <v>0</v>
          </cell>
          <cell r="J234">
            <v>0</v>
          </cell>
          <cell r="K234">
            <v>0</v>
          </cell>
          <cell r="L234">
            <v>0</v>
          </cell>
          <cell r="M234">
            <v>0</v>
          </cell>
          <cell r="N234">
            <v>0</v>
          </cell>
          <cell r="O234">
            <v>0</v>
          </cell>
          <cell r="P234">
            <v>0</v>
          </cell>
          <cell r="Q234">
            <v>0</v>
          </cell>
        </row>
        <row r="235">
          <cell r="A235">
            <v>50149</v>
          </cell>
          <cell r="B235" t="str">
            <v>Allocated Exp In Out - District</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A236">
            <v>50335</v>
          </cell>
          <cell r="B236" t="str">
            <v>Miscellaneous</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v>50900</v>
          </cell>
          <cell r="B237" t="str">
            <v>Capitalized Costs</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A238">
            <v>50998</v>
          </cell>
          <cell r="B238" t="str">
            <v>Allocation Out - District</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A239">
            <v>50999</v>
          </cell>
          <cell r="B239" t="str">
            <v>Allocation Out - Out District</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A240" t="str">
            <v>Total Labor</v>
          </cell>
          <cell r="E240">
            <v>355829.94</v>
          </cell>
          <cell r="F240">
            <v>312790.53000000003</v>
          </cell>
          <cell r="G240">
            <v>353060.25999999995</v>
          </cell>
          <cell r="H240">
            <v>354244.36</v>
          </cell>
          <cell r="I240">
            <v>375435.16</v>
          </cell>
          <cell r="J240">
            <v>372487.97</v>
          </cell>
          <cell r="K240">
            <v>377870.32999999996</v>
          </cell>
          <cell r="L240">
            <v>374292.89</v>
          </cell>
          <cell r="M240">
            <v>378357.81</v>
          </cell>
          <cell r="N240">
            <v>363720.08999999997</v>
          </cell>
          <cell r="O240">
            <v>390035.03</v>
          </cell>
          <cell r="P240">
            <v>369931.60999999993</v>
          </cell>
          <cell r="Q240">
            <v>4378055.9800000004</v>
          </cell>
        </row>
        <row r="242">
          <cell r="A242" t="str">
            <v>Truck Fixed Expenses</v>
          </cell>
        </row>
        <row r="243">
          <cell r="A243">
            <v>51148</v>
          </cell>
          <cell r="B243" t="str">
            <v>Allocation In - District</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A244">
            <v>51149</v>
          </cell>
          <cell r="B244" t="str">
            <v>Allocation In - Out District</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A245">
            <v>51175</v>
          </cell>
          <cell r="B245" t="str">
            <v>Equipment/Vehicle Rental</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A246">
            <v>51275</v>
          </cell>
          <cell r="B246" t="str">
            <v>Property Taxes</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A247">
            <v>51295</v>
          </cell>
          <cell r="B247" t="str">
            <v>Licenses</v>
          </cell>
          <cell r="E247">
            <v>7094.03</v>
          </cell>
          <cell r="F247">
            <v>5283.39</v>
          </cell>
          <cell r="G247">
            <v>6038.79</v>
          </cell>
          <cell r="H247">
            <v>6260.76</v>
          </cell>
          <cell r="I247">
            <v>7130.37</v>
          </cell>
          <cell r="J247">
            <v>6495.12</v>
          </cell>
          <cell r="K247">
            <v>7155.12</v>
          </cell>
          <cell r="L247">
            <v>8517.26</v>
          </cell>
          <cell r="M247">
            <v>6025.42</v>
          </cell>
          <cell r="N247">
            <v>6730.71</v>
          </cell>
          <cell r="O247">
            <v>6040.84</v>
          </cell>
          <cell r="P247">
            <v>7017.82</v>
          </cell>
          <cell r="Q247">
            <v>79789.63</v>
          </cell>
        </row>
        <row r="248">
          <cell r="A248">
            <v>51335</v>
          </cell>
          <cell r="B248" t="str">
            <v>Miscellaneous</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A249">
            <v>51998</v>
          </cell>
          <cell r="B249" t="str">
            <v>Allocation Out - District</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A250">
            <v>51999</v>
          </cell>
          <cell r="B250" t="str">
            <v>Allocation Out - Out District</v>
          </cell>
          <cell r="E250">
            <v>0</v>
          </cell>
          <cell r="F250">
            <v>0</v>
          </cell>
          <cell r="G250">
            <v>0</v>
          </cell>
          <cell r="H250">
            <v>0</v>
          </cell>
          <cell r="I250">
            <v>0</v>
          </cell>
          <cell r="J250">
            <v>0</v>
          </cell>
          <cell r="K250">
            <v>0</v>
          </cell>
          <cell r="L250">
            <v>0</v>
          </cell>
          <cell r="M250">
            <v>0</v>
          </cell>
          <cell r="N250">
            <v>0</v>
          </cell>
          <cell r="O250">
            <v>0</v>
          </cell>
          <cell r="P250">
            <v>0</v>
          </cell>
          <cell r="Q250">
            <v>0</v>
          </cell>
        </row>
        <row r="251">
          <cell r="A251" t="str">
            <v>Total Truck Fixed Expenses</v>
          </cell>
          <cell r="E251">
            <v>7094.03</v>
          </cell>
          <cell r="F251">
            <v>5283.39</v>
          </cell>
          <cell r="G251">
            <v>6038.79</v>
          </cell>
          <cell r="H251">
            <v>6260.76</v>
          </cell>
          <cell r="I251">
            <v>7130.37</v>
          </cell>
          <cell r="J251">
            <v>6495.12</v>
          </cell>
          <cell r="K251">
            <v>7155.12</v>
          </cell>
          <cell r="L251">
            <v>8517.26</v>
          </cell>
          <cell r="M251">
            <v>6025.42</v>
          </cell>
          <cell r="N251">
            <v>6730.71</v>
          </cell>
          <cell r="O251">
            <v>6040.84</v>
          </cell>
          <cell r="P251">
            <v>7017.82</v>
          </cell>
          <cell r="Q251">
            <v>79789.63</v>
          </cell>
        </row>
        <row r="253">
          <cell r="A253" t="str">
            <v>Truck Variable Expenses</v>
          </cell>
        </row>
        <row r="254">
          <cell r="A254">
            <v>52010</v>
          </cell>
          <cell r="B254" t="str">
            <v>Salaries</v>
          </cell>
          <cell r="E254">
            <v>0</v>
          </cell>
          <cell r="F254">
            <v>0</v>
          </cell>
          <cell r="G254">
            <v>0</v>
          </cell>
          <cell r="H254">
            <v>0</v>
          </cell>
          <cell r="I254">
            <v>0</v>
          </cell>
          <cell r="J254">
            <v>0</v>
          </cell>
          <cell r="K254">
            <v>0</v>
          </cell>
          <cell r="L254">
            <v>0</v>
          </cell>
          <cell r="M254">
            <v>0</v>
          </cell>
          <cell r="N254">
            <v>0</v>
          </cell>
          <cell r="O254">
            <v>0</v>
          </cell>
          <cell r="P254">
            <v>0</v>
          </cell>
          <cell r="Q254">
            <v>0</v>
          </cell>
        </row>
        <row r="255">
          <cell r="A255">
            <v>52020</v>
          </cell>
          <cell r="B255" t="str">
            <v>Wages Regular</v>
          </cell>
          <cell r="E255">
            <v>41831.43</v>
          </cell>
          <cell r="F255">
            <v>31547.360000000001</v>
          </cell>
          <cell r="G255">
            <v>41785.230000000003</v>
          </cell>
          <cell r="H255">
            <v>41270.26</v>
          </cell>
          <cell r="I255">
            <v>32339.71</v>
          </cell>
          <cell r="J255">
            <v>31241.200000000001</v>
          </cell>
          <cell r="K255">
            <v>37276.75</v>
          </cell>
          <cell r="L255">
            <v>38079.120000000003</v>
          </cell>
          <cell r="M255">
            <v>35899.410000000003</v>
          </cell>
          <cell r="N255">
            <v>39332.589999999997</v>
          </cell>
          <cell r="O255">
            <v>37890.239999999998</v>
          </cell>
          <cell r="P255">
            <v>44055.94</v>
          </cell>
          <cell r="Q255">
            <v>452549.24000000005</v>
          </cell>
        </row>
        <row r="256">
          <cell r="A256">
            <v>52025</v>
          </cell>
          <cell r="B256" t="str">
            <v>Wages O.T.</v>
          </cell>
          <cell r="E256">
            <v>7524.35</v>
          </cell>
          <cell r="F256">
            <v>4047.27</v>
          </cell>
          <cell r="G256">
            <v>4760.2299999999996</v>
          </cell>
          <cell r="H256">
            <v>4152.5200000000004</v>
          </cell>
          <cell r="I256">
            <v>5808.01</v>
          </cell>
          <cell r="J256">
            <v>4035.92</v>
          </cell>
          <cell r="K256">
            <v>11119.38</v>
          </cell>
          <cell r="L256">
            <v>2971.58</v>
          </cell>
          <cell r="M256">
            <v>6964.42</v>
          </cell>
          <cell r="N256">
            <v>4824.8500000000004</v>
          </cell>
          <cell r="O256">
            <v>7793.34</v>
          </cell>
          <cell r="P256">
            <v>5555.18</v>
          </cell>
          <cell r="Q256">
            <v>69557.049999999988</v>
          </cell>
        </row>
        <row r="257">
          <cell r="A257">
            <v>52035</v>
          </cell>
          <cell r="B257" t="str">
            <v>Safety Bonuses</v>
          </cell>
          <cell r="E257">
            <v>1250</v>
          </cell>
          <cell r="F257">
            <v>1250</v>
          </cell>
          <cell r="G257">
            <v>1250</v>
          </cell>
          <cell r="H257">
            <v>1250</v>
          </cell>
          <cell r="I257">
            <v>2000</v>
          </cell>
          <cell r="J257">
            <v>2000</v>
          </cell>
          <cell r="K257">
            <v>2000</v>
          </cell>
          <cell r="L257">
            <v>2000</v>
          </cell>
          <cell r="M257">
            <v>1000</v>
          </cell>
          <cell r="N257">
            <v>1000</v>
          </cell>
          <cell r="O257">
            <v>1200</v>
          </cell>
          <cell r="P257">
            <v>-2000</v>
          </cell>
          <cell r="Q257">
            <v>14200</v>
          </cell>
        </row>
        <row r="258">
          <cell r="A258">
            <v>52036</v>
          </cell>
          <cell r="B258" t="str">
            <v>Other Bonus/Commission - Non-Safety</v>
          </cell>
          <cell r="E258">
            <v>0</v>
          </cell>
          <cell r="F258">
            <v>0</v>
          </cell>
          <cell r="G258">
            <v>0</v>
          </cell>
          <cell r="H258">
            <v>0</v>
          </cell>
          <cell r="I258">
            <v>0</v>
          </cell>
          <cell r="J258">
            <v>0</v>
          </cell>
          <cell r="K258">
            <v>0</v>
          </cell>
          <cell r="L258">
            <v>0</v>
          </cell>
          <cell r="M258">
            <v>0</v>
          </cell>
          <cell r="N258">
            <v>0</v>
          </cell>
          <cell r="O258">
            <v>0</v>
          </cell>
          <cell r="P258">
            <v>0</v>
          </cell>
          <cell r="Q258">
            <v>0</v>
          </cell>
        </row>
        <row r="259">
          <cell r="A259">
            <v>52045</v>
          </cell>
          <cell r="B259" t="str">
            <v>Contract Labor</v>
          </cell>
          <cell r="E259">
            <v>0</v>
          </cell>
          <cell r="F259">
            <v>0</v>
          </cell>
          <cell r="G259">
            <v>0</v>
          </cell>
          <cell r="H259">
            <v>0</v>
          </cell>
          <cell r="I259">
            <v>0</v>
          </cell>
          <cell r="J259">
            <v>0</v>
          </cell>
          <cell r="K259">
            <v>0</v>
          </cell>
          <cell r="L259">
            <v>0</v>
          </cell>
          <cell r="M259">
            <v>0</v>
          </cell>
          <cell r="N259">
            <v>0</v>
          </cell>
          <cell r="O259">
            <v>0</v>
          </cell>
          <cell r="P259">
            <v>0</v>
          </cell>
          <cell r="Q259">
            <v>0</v>
          </cell>
        </row>
        <row r="260">
          <cell r="A260">
            <v>52050</v>
          </cell>
          <cell r="B260" t="str">
            <v>Payroll Taxes</v>
          </cell>
          <cell r="E260">
            <v>5936.87</v>
          </cell>
          <cell r="F260">
            <v>3515.19</v>
          </cell>
          <cell r="G260">
            <v>4535.6499999999996</v>
          </cell>
          <cell r="H260">
            <v>4653.75</v>
          </cell>
          <cell r="I260">
            <v>4561.24</v>
          </cell>
          <cell r="J260">
            <v>5119.2299999999996</v>
          </cell>
          <cell r="K260">
            <v>5503.32</v>
          </cell>
          <cell r="L260">
            <v>4465.1099999999997</v>
          </cell>
          <cell r="M260">
            <v>4260.3100000000004</v>
          </cell>
          <cell r="N260">
            <v>4002.25</v>
          </cell>
          <cell r="O260">
            <v>5640.4</v>
          </cell>
          <cell r="P260">
            <v>3070</v>
          </cell>
          <cell r="Q260">
            <v>55263.32</v>
          </cell>
        </row>
        <row r="261">
          <cell r="A261">
            <v>52060</v>
          </cell>
          <cell r="B261" t="str">
            <v>Group Insurance</v>
          </cell>
          <cell r="E261">
            <v>-159</v>
          </cell>
          <cell r="F261">
            <v>-159</v>
          </cell>
          <cell r="G261">
            <v>561.5</v>
          </cell>
          <cell r="H261">
            <v>720.5</v>
          </cell>
          <cell r="I261">
            <v>641</v>
          </cell>
          <cell r="J261">
            <v>641</v>
          </cell>
          <cell r="K261">
            <v>641</v>
          </cell>
          <cell r="L261">
            <v>641</v>
          </cell>
          <cell r="M261">
            <v>561.5</v>
          </cell>
          <cell r="N261">
            <v>720.5</v>
          </cell>
          <cell r="O261">
            <v>641</v>
          </cell>
          <cell r="P261">
            <v>511.58</v>
          </cell>
          <cell r="Q261">
            <v>5962.58</v>
          </cell>
        </row>
        <row r="262">
          <cell r="A262">
            <v>52065</v>
          </cell>
          <cell r="B262" t="str">
            <v>Vacation Pay</v>
          </cell>
          <cell r="E262">
            <v>5737.5</v>
          </cell>
          <cell r="F262">
            <v>2090.71</v>
          </cell>
          <cell r="G262">
            <v>1979.73</v>
          </cell>
          <cell r="H262">
            <v>3044.17</v>
          </cell>
          <cell r="I262">
            <v>1571.02</v>
          </cell>
          <cell r="J262">
            <v>4642.26</v>
          </cell>
          <cell r="K262">
            <v>3319.05</v>
          </cell>
          <cell r="L262">
            <v>1557.75</v>
          </cell>
          <cell r="M262">
            <v>5888.63</v>
          </cell>
          <cell r="N262">
            <v>2065.0500000000002</v>
          </cell>
          <cell r="O262">
            <v>3190.34</v>
          </cell>
          <cell r="P262">
            <v>2387</v>
          </cell>
          <cell r="Q262">
            <v>37473.21</v>
          </cell>
        </row>
        <row r="263">
          <cell r="A263">
            <v>52070</v>
          </cell>
          <cell r="B263" t="str">
            <v>Sick Pay</v>
          </cell>
          <cell r="E263">
            <v>0</v>
          </cell>
          <cell r="F263">
            <v>0</v>
          </cell>
          <cell r="G263">
            <v>111.2</v>
          </cell>
          <cell r="H263">
            <v>903.6</v>
          </cell>
          <cell r="I263">
            <v>-301.2</v>
          </cell>
          <cell r="J263">
            <v>114.8</v>
          </cell>
          <cell r="K263">
            <v>229.6</v>
          </cell>
          <cell r="L263">
            <v>-114.8</v>
          </cell>
          <cell r="M263">
            <v>0</v>
          </cell>
          <cell r="N263">
            <v>0</v>
          </cell>
          <cell r="O263">
            <v>0</v>
          </cell>
          <cell r="P263">
            <v>0</v>
          </cell>
          <cell r="Q263">
            <v>943.2</v>
          </cell>
        </row>
        <row r="264">
          <cell r="A264">
            <v>52086</v>
          </cell>
          <cell r="B264" t="str">
            <v>Safety and Training</v>
          </cell>
          <cell r="E264">
            <v>313.67</v>
          </cell>
          <cell r="F264">
            <v>337.9</v>
          </cell>
          <cell r="G264">
            <v>464.12</v>
          </cell>
          <cell r="H264">
            <v>898.81</v>
          </cell>
          <cell r="I264">
            <v>1000.19</v>
          </cell>
          <cell r="J264">
            <v>951.13</v>
          </cell>
          <cell r="K264">
            <v>348.03</v>
          </cell>
          <cell r="L264">
            <v>1085.5</v>
          </cell>
          <cell r="M264">
            <v>0</v>
          </cell>
          <cell r="N264">
            <v>252.45</v>
          </cell>
          <cell r="O264">
            <v>0</v>
          </cell>
          <cell r="P264">
            <v>1352.06</v>
          </cell>
          <cell r="Q264">
            <v>7003.8600000000006</v>
          </cell>
        </row>
        <row r="265">
          <cell r="A265">
            <v>52087</v>
          </cell>
          <cell r="B265" t="str">
            <v>Drug Screening</v>
          </cell>
          <cell r="E265">
            <v>0</v>
          </cell>
          <cell r="F265">
            <v>0</v>
          </cell>
          <cell r="G265">
            <v>0</v>
          </cell>
          <cell r="H265">
            <v>0</v>
          </cell>
          <cell r="I265">
            <v>0</v>
          </cell>
          <cell r="J265">
            <v>0</v>
          </cell>
          <cell r="K265">
            <v>0</v>
          </cell>
          <cell r="L265">
            <v>0</v>
          </cell>
          <cell r="M265">
            <v>0</v>
          </cell>
          <cell r="N265">
            <v>0</v>
          </cell>
          <cell r="O265">
            <v>0</v>
          </cell>
          <cell r="P265">
            <v>0</v>
          </cell>
          <cell r="Q265">
            <v>0</v>
          </cell>
        </row>
        <row r="266">
          <cell r="A266">
            <v>52090</v>
          </cell>
          <cell r="B266" t="str">
            <v>Uniforms</v>
          </cell>
          <cell r="E266">
            <v>300.83</v>
          </cell>
          <cell r="F266">
            <v>353.71</v>
          </cell>
          <cell r="G266">
            <v>389.7</v>
          </cell>
          <cell r="H266">
            <v>320.22000000000003</v>
          </cell>
          <cell r="I266">
            <v>296.99</v>
          </cell>
          <cell r="J266">
            <v>450.43</v>
          </cell>
          <cell r="K266">
            <v>428.66</v>
          </cell>
          <cell r="L266">
            <v>1034.03</v>
          </cell>
          <cell r="M266">
            <v>250.15</v>
          </cell>
          <cell r="N266">
            <v>3123.18</v>
          </cell>
          <cell r="O266">
            <v>276.32</v>
          </cell>
          <cell r="P266">
            <v>308.07</v>
          </cell>
          <cell r="Q266">
            <v>7532.2899999999991</v>
          </cell>
        </row>
        <row r="267">
          <cell r="A267">
            <v>52115</v>
          </cell>
          <cell r="B267" t="str">
            <v>Pension and Profit Sharing</v>
          </cell>
          <cell r="E267">
            <v>4010.46</v>
          </cell>
          <cell r="F267">
            <v>3565.56</v>
          </cell>
          <cell r="G267">
            <v>3834.74</v>
          </cell>
          <cell r="H267">
            <v>3873.02</v>
          </cell>
          <cell r="I267">
            <v>3977.37</v>
          </cell>
          <cell r="J267">
            <v>4220.3500000000004</v>
          </cell>
          <cell r="K267">
            <v>4228.8599999999997</v>
          </cell>
          <cell r="L267">
            <v>4197.5600000000004</v>
          </cell>
          <cell r="M267">
            <v>4257.6400000000003</v>
          </cell>
          <cell r="N267">
            <v>4035.58</v>
          </cell>
          <cell r="O267">
            <v>4052.24</v>
          </cell>
          <cell r="P267">
            <v>3832.52</v>
          </cell>
          <cell r="Q267">
            <v>48085.9</v>
          </cell>
        </row>
        <row r="268">
          <cell r="A268">
            <v>52116</v>
          </cell>
          <cell r="B268" t="str">
            <v>Union Benefit Expense</v>
          </cell>
          <cell r="E268">
            <v>11221.99</v>
          </cell>
          <cell r="F268">
            <v>11221.61</v>
          </cell>
          <cell r="G268">
            <v>8963.65</v>
          </cell>
          <cell r="H268">
            <v>10117.1</v>
          </cell>
          <cell r="I268">
            <v>10108.799999999999</v>
          </cell>
          <cell r="J268">
            <v>10108.799999999999</v>
          </cell>
          <cell r="K268">
            <v>10108.799999999999</v>
          </cell>
          <cell r="L268">
            <v>10108.799999999999</v>
          </cell>
          <cell r="M268">
            <v>10102.129999999999</v>
          </cell>
          <cell r="N268">
            <v>10118.73</v>
          </cell>
          <cell r="O268">
            <v>8978.93</v>
          </cell>
          <cell r="P268">
            <v>9916.0499999999993</v>
          </cell>
          <cell r="Q268">
            <v>121075.39</v>
          </cell>
        </row>
        <row r="269">
          <cell r="A269">
            <v>52117</v>
          </cell>
          <cell r="B269" t="str">
            <v>Union Pension</v>
          </cell>
          <cell r="E269">
            <v>0</v>
          </cell>
          <cell r="F269">
            <v>0</v>
          </cell>
          <cell r="G269">
            <v>0</v>
          </cell>
          <cell r="H269">
            <v>0</v>
          </cell>
          <cell r="I269">
            <v>0</v>
          </cell>
          <cell r="J269">
            <v>0</v>
          </cell>
          <cell r="K269">
            <v>0</v>
          </cell>
          <cell r="L269">
            <v>0</v>
          </cell>
          <cell r="M269">
            <v>0</v>
          </cell>
          <cell r="N269">
            <v>0</v>
          </cell>
          <cell r="O269">
            <v>0</v>
          </cell>
          <cell r="P269">
            <v>0</v>
          </cell>
          <cell r="Q269">
            <v>0</v>
          </cell>
        </row>
        <row r="270">
          <cell r="A270">
            <v>52120</v>
          </cell>
          <cell r="B270" t="str">
            <v>Parts and Materials</v>
          </cell>
          <cell r="E270">
            <v>41193.56</v>
          </cell>
          <cell r="F270">
            <v>42024.94</v>
          </cell>
          <cell r="G270">
            <v>38734.660000000003</v>
          </cell>
          <cell r="H270">
            <v>21757.73</v>
          </cell>
          <cell r="I270">
            <v>38676.519999999997</v>
          </cell>
          <cell r="J270">
            <v>21919.95</v>
          </cell>
          <cell r="K270">
            <v>34237.410000000003</v>
          </cell>
          <cell r="L270">
            <v>36723.200000000004</v>
          </cell>
          <cell r="M270">
            <v>30874.03</v>
          </cell>
          <cell r="N270">
            <v>23554.1</v>
          </cell>
          <cell r="O270">
            <v>38660.959999999999</v>
          </cell>
          <cell r="P270">
            <v>71007.829999999987</v>
          </cell>
          <cell r="Q270">
            <v>439364.89</v>
          </cell>
        </row>
        <row r="271">
          <cell r="A271">
            <v>52125</v>
          </cell>
          <cell r="B271" t="str">
            <v>Operating Supplies</v>
          </cell>
          <cell r="E271">
            <v>450.54</v>
          </cell>
          <cell r="F271">
            <v>864.08</v>
          </cell>
          <cell r="G271">
            <v>1556.99</v>
          </cell>
          <cell r="H271">
            <v>537.54</v>
          </cell>
          <cell r="I271">
            <v>1099.93</v>
          </cell>
          <cell r="J271">
            <v>712.27</v>
          </cell>
          <cell r="K271">
            <v>5197.97</v>
          </cell>
          <cell r="L271">
            <v>-137.46</v>
          </cell>
          <cell r="M271">
            <v>1851.48</v>
          </cell>
          <cell r="N271">
            <v>2157.91</v>
          </cell>
          <cell r="O271">
            <v>2427.54</v>
          </cell>
          <cell r="P271">
            <v>1259.3</v>
          </cell>
          <cell r="Q271">
            <v>17978.09</v>
          </cell>
        </row>
        <row r="272">
          <cell r="A272">
            <v>52135</v>
          </cell>
          <cell r="B272" t="str">
            <v>Equipment and Maint Repair</v>
          </cell>
          <cell r="E272">
            <v>1311.54</v>
          </cell>
          <cell r="F272">
            <v>0</v>
          </cell>
          <cell r="G272">
            <v>1331.95</v>
          </cell>
          <cell r="H272">
            <v>2045.95</v>
          </cell>
          <cell r="I272">
            <v>0</v>
          </cell>
          <cell r="J272">
            <v>829.81</v>
          </cell>
          <cell r="K272">
            <v>0</v>
          </cell>
          <cell r="L272">
            <v>606.65</v>
          </cell>
          <cell r="M272">
            <v>0</v>
          </cell>
          <cell r="N272">
            <v>19.89</v>
          </cell>
          <cell r="O272">
            <v>0</v>
          </cell>
          <cell r="P272">
            <v>4997.33</v>
          </cell>
          <cell r="Q272">
            <v>11143.119999999999</v>
          </cell>
        </row>
        <row r="273">
          <cell r="A273">
            <v>52140</v>
          </cell>
          <cell r="B273" t="str">
            <v>Tires</v>
          </cell>
          <cell r="E273">
            <v>10747.01</v>
          </cell>
          <cell r="F273">
            <v>20260.900000000001</v>
          </cell>
          <cell r="G273">
            <v>12967.76</v>
          </cell>
          <cell r="H273">
            <v>15725.04</v>
          </cell>
          <cell r="I273">
            <v>18198.22</v>
          </cell>
          <cell r="J273">
            <v>22108.07</v>
          </cell>
          <cell r="K273">
            <v>15799.4</v>
          </cell>
          <cell r="L273">
            <v>23775.3</v>
          </cell>
          <cell r="M273">
            <v>38329.33</v>
          </cell>
          <cell r="N273">
            <v>6596.26</v>
          </cell>
          <cell r="O273">
            <v>14714.42</v>
          </cell>
          <cell r="P273">
            <v>23906.22</v>
          </cell>
          <cell r="Q273">
            <v>223127.93</v>
          </cell>
        </row>
        <row r="274">
          <cell r="A274">
            <v>52142</v>
          </cell>
          <cell r="B274" t="str">
            <v>Fuel Expense</v>
          </cell>
          <cell r="E274">
            <v>90672.87</v>
          </cell>
          <cell r="F274">
            <v>84188.88</v>
          </cell>
          <cell r="G274">
            <v>96017.58</v>
          </cell>
          <cell r="H274">
            <v>104369.3</v>
          </cell>
          <cell r="I274">
            <v>97844</v>
          </cell>
          <cell r="J274">
            <v>100692.82</v>
          </cell>
          <cell r="K274">
            <v>101529.68</v>
          </cell>
          <cell r="L274">
            <v>100169.49</v>
          </cell>
          <cell r="M274">
            <v>104198.62999999999</v>
          </cell>
          <cell r="N274">
            <v>102536.13</v>
          </cell>
          <cell r="O274">
            <v>101351.78</v>
          </cell>
          <cell r="P274">
            <v>108470.82</v>
          </cell>
          <cell r="Q274">
            <v>1192041.98</v>
          </cell>
        </row>
        <row r="275">
          <cell r="A275">
            <v>52143</v>
          </cell>
          <cell r="B275" t="str">
            <v>Transmontagne Fuel</v>
          </cell>
          <cell r="E275">
            <v>0</v>
          </cell>
          <cell r="F275">
            <v>0</v>
          </cell>
          <cell r="G275">
            <v>0</v>
          </cell>
          <cell r="H275">
            <v>0</v>
          </cell>
          <cell r="I275">
            <v>0</v>
          </cell>
          <cell r="J275">
            <v>0</v>
          </cell>
          <cell r="K275">
            <v>0</v>
          </cell>
          <cell r="L275">
            <v>0</v>
          </cell>
          <cell r="M275">
            <v>0</v>
          </cell>
          <cell r="N275">
            <v>0</v>
          </cell>
          <cell r="O275">
            <v>0</v>
          </cell>
          <cell r="P275">
            <v>0</v>
          </cell>
          <cell r="Q275">
            <v>0</v>
          </cell>
        </row>
        <row r="276">
          <cell r="A276">
            <v>52144</v>
          </cell>
          <cell r="B276" t="str">
            <v>Urea Expense</v>
          </cell>
          <cell r="E276">
            <v>0</v>
          </cell>
          <cell r="F276">
            <v>0</v>
          </cell>
          <cell r="G276">
            <v>0</v>
          </cell>
          <cell r="H276">
            <v>0</v>
          </cell>
          <cell r="I276">
            <v>0</v>
          </cell>
          <cell r="J276">
            <v>0</v>
          </cell>
          <cell r="K276">
            <v>0</v>
          </cell>
          <cell r="L276">
            <v>0</v>
          </cell>
          <cell r="M276">
            <v>0</v>
          </cell>
          <cell r="N276">
            <v>0</v>
          </cell>
          <cell r="O276">
            <v>0</v>
          </cell>
          <cell r="P276">
            <v>0</v>
          </cell>
          <cell r="Q276">
            <v>0</v>
          </cell>
        </row>
        <row r="277">
          <cell r="A277">
            <v>52146</v>
          </cell>
          <cell r="B277" t="str">
            <v>Oil and Grease</v>
          </cell>
          <cell r="E277">
            <v>1875.42</v>
          </cell>
          <cell r="F277">
            <v>3140.6</v>
          </cell>
          <cell r="G277">
            <v>5599.47</v>
          </cell>
          <cell r="H277">
            <v>2698.4</v>
          </cell>
          <cell r="I277">
            <v>3948.29</v>
          </cell>
          <cell r="J277">
            <v>2749.6</v>
          </cell>
          <cell r="K277">
            <v>7146.81</v>
          </cell>
          <cell r="L277">
            <v>2889.82</v>
          </cell>
          <cell r="M277">
            <v>9639.18</v>
          </cell>
          <cell r="N277">
            <v>6672.23</v>
          </cell>
          <cell r="O277">
            <v>11463.27</v>
          </cell>
          <cell r="P277">
            <v>-1288.0899999999999</v>
          </cell>
          <cell r="Q277">
            <v>56535</v>
          </cell>
        </row>
        <row r="278">
          <cell r="A278">
            <v>52147</v>
          </cell>
          <cell r="B278" t="str">
            <v>Outside Repairs</v>
          </cell>
          <cell r="E278">
            <v>8076.3899999999994</v>
          </cell>
          <cell r="F278">
            <v>4057.67</v>
          </cell>
          <cell r="G278">
            <v>2887.37</v>
          </cell>
          <cell r="H278">
            <v>4718.95</v>
          </cell>
          <cell r="I278">
            <v>7256.5</v>
          </cell>
          <cell r="J278">
            <v>4191.84</v>
          </cell>
          <cell r="K278">
            <v>8112.14</v>
          </cell>
          <cell r="L278">
            <v>5106.9299999999994</v>
          </cell>
          <cell r="M278">
            <v>11697.4</v>
          </cell>
          <cell r="N278">
            <v>2871.95</v>
          </cell>
          <cell r="O278">
            <v>2463.9499999999998</v>
          </cell>
          <cell r="P278">
            <v>2818.3500000000004</v>
          </cell>
          <cell r="Q278">
            <v>64259.439999999995</v>
          </cell>
        </row>
        <row r="279">
          <cell r="A279">
            <v>52148</v>
          </cell>
          <cell r="B279" t="str">
            <v>Allocated Exp In - District</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A280">
            <v>52149</v>
          </cell>
          <cell r="B280" t="str">
            <v>Allocated Exp In Out - District</v>
          </cell>
          <cell r="E280">
            <v>0</v>
          </cell>
          <cell r="F280">
            <v>0</v>
          </cell>
          <cell r="G280">
            <v>0</v>
          </cell>
          <cell r="H280">
            <v>0</v>
          </cell>
          <cell r="I280">
            <v>0</v>
          </cell>
          <cell r="J280">
            <v>0</v>
          </cell>
          <cell r="K280">
            <v>0</v>
          </cell>
          <cell r="L280">
            <v>0</v>
          </cell>
          <cell r="M280">
            <v>0</v>
          </cell>
          <cell r="N280">
            <v>0</v>
          </cell>
          <cell r="O280">
            <v>0</v>
          </cell>
          <cell r="P280">
            <v>0</v>
          </cell>
          <cell r="Q280">
            <v>0</v>
          </cell>
        </row>
        <row r="281">
          <cell r="A281">
            <v>52150</v>
          </cell>
          <cell r="B281" t="str">
            <v>Utilities</v>
          </cell>
          <cell r="E281">
            <v>3181.16</v>
          </cell>
          <cell r="F281">
            <v>2292.6799999999998</v>
          </cell>
          <cell r="G281">
            <v>2139.2399999999998</v>
          </cell>
          <cell r="H281">
            <v>1852.79</v>
          </cell>
          <cell r="I281">
            <v>1236.6600000000001</v>
          </cell>
          <cell r="J281">
            <v>1066.23</v>
          </cell>
          <cell r="K281">
            <v>890.6</v>
          </cell>
          <cell r="L281">
            <v>864.21</v>
          </cell>
          <cell r="M281">
            <v>875.77</v>
          </cell>
          <cell r="N281">
            <v>889.61</v>
          </cell>
          <cell r="O281">
            <v>1635.02</v>
          </cell>
          <cell r="P281">
            <v>2991.91</v>
          </cell>
          <cell r="Q281">
            <v>19915.88</v>
          </cell>
        </row>
        <row r="282">
          <cell r="A282">
            <v>52165</v>
          </cell>
          <cell r="B282" t="str">
            <v>Communications</v>
          </cell>
          <cell r="E282">
            <v>1324.81</v>
          </cell>
          <cell r="F282">
            <v>1312.75</v>
          </cell>
          <cell r="G282">
            <v>1300.6099999999999</v>
          </cell>
          <cell r="H282">
            <v>1324.91</v>
          </cell>
          <cell r="I282">
            <v>1652.06</v>
          </cell>
          <cell r="J282">
            <v>1336.3</v>
          </cell>
          <cell r="K282">
            <v>1291.19</v>
          </cell>
          <cell r="L282">
            <v>1252.44</v>
          </cell>
          <cell r="M282">
            <v>1871.82</v>
          </cell>
          <cell r="N282">
            <v>1105.6099999999999</v>
          </cell>
          <cell r="O282">
            <v>1351.41</v>
          </cell>
          <cell r="P282">
            <v>1424.14</v>
          </cell>
          <cell r="Q282">
            <v>16548.05</v>
          </cell>
        </row>
        <row r="283">
          <cell r="A283">
            <v>52170</v>
          </cell>
          <cell r="B283" t="str">
            <v>Real Estate Rentals</v>
          </cell>
          <cell r="E283">
            <v>0</v>
          </cell>
          <cell r="F283">
            <v>0</v>
          </cell>
          <cell r="G283">
            <v>0</v>
          </cell>
          <cell r="H283">
            <v>0</v>
          </cell>
          <cell r="I283">
            <v>0</v>
          </cell>
          <cell r="J283">
            <v>0</v>
          </cell>
          <cell r="K283">
            <v>0</v>
          </cell>
          <cell r="L283">
            <v>0</v>
          </cell>
          <cell r="M283">
            <v>0</v>
          </cell>
          <cell r="N283">
            <v>0</v>
          </cell>
          <cell r="O283">
            <v>0</v>
          </cell>
          <cell r="P283">
            <v>0</v>
          </cell>
          <cell r="Q283">
            <v>0</v>
          </cell>
        </row>
        <row r="284">
          <cell r="A284">
            <v>52172</v>
          </cell>
          <cell r="B284" t="str">
            <v>Chassis Lease Expense</v>
          </cell>
          <cell r="E284">
            <v>0</v>
          </cell>
          <cell r="F284">
            <v>0</v>
          </cell>
          <cell r="G284">
            <v>0</v>
          </cell>
          <cell r="H284">
            <v>0</v>
          </cell>
          <cell r="I284">
            <v>0</v>
          </cell>
          <cell r="J284">
            <v>0</v>
          </cell>
          <cell r="K284">
            <v>0</v>
          </cell>
          <cell r="L284">
            <v>0</v>
          </cell>
          <cell r="M284">
            <v>0</v>
          </cell>
          <cell r="N284">
            <v>0</v>
          </cell>
          <cell r="O284">
            <v>0</v>
          </cell>
          <cell r="P284">
            <v>0</v>
          </cell>
          <cell r="Q284">
            <v>0</v>
          </cell>
        </row>
        <row r="285">
          <cell r="A285">
            <v>52175</v>
          </cell>
          <cell r="B285" t="str">
            <v>Equip/Vehicle Rental</v>
          </cell>
          <cell r="E285">
            <v>230.74</v>
          </cell>
          <cell r="F285">
            <v>0</v>
          </cell>
          <cell r="G285">
            <v>0</v>
          </cell>
          <cell r="H285">
            <v>0</v>
          </cell>
          <cell r="I285">
            <v>0</v>
          </cell>
          <cell r="J285">
            <v>0</v>
          </cell>
          <cell r="K285">
            <v>0</v>
          </cell>
          <cell r="L285">
            <v>0</v>
          </cell>
          <cell r="M285">
            <v>0</v>
          </cell>
          <cell r="N285">
            <v>0</v>
          </cell>
          <cell r="O285">
            <v>0</v>
          </cell>
          <cell r="P285">
            <v>0</v>
          </cell>
          <cell r="Q285">
            <v>230.74</v>
          </cell>
        </row>
        <row r="286">
          <cell r="A286">
            <v>52181</v>
          </cell>
          <cell r="B286" t="str">
            <v>Freight</v>
          </cell>
          <cell r="E286">
            <v>0</v>
          </cell>
          <cell r="F286">
            <v>0</v>
          </cell>
          <cell r="G286">
            <v>0</v>
          </cell>
          <cell r="H286">
            <v>16.23</v>
          </cell>
          <cell r="I286">
            <v>369.59000000000003</v>
          </cell>
          <cell r="J286">
            <v>0</v>
          </cell>
          <cell r="K286">
            <v>0</v>
          </cell>
          <cell r="L286">
            <v>95.38</v>
          </cell>
          <cell r="M286">
            <v>0</v>
          </cell>
          <cell r="N286">
            <v>0</v>
          </cell>
          <cell r="O286">
            <v>0</v>
          </cell>
          <cell r="P286">
            <v>103.97</v>
          </cell>
          <cell r="Q286">
            <v>585.17000000000007</v>
          </cell>
        </row>
        <row r="287">
          <cell r="A287">
            <v>52182</v>
          </cell>
          <cell r="B287" t="str">
            <v>Towing Expense</v>
          </cell>
          <cell r="E287">
            <v>455.28</v>
          </cell>
          <cell r="F287">
            <v>428.18</v>
          </cell>
          <cell r="G287">
            <v>195.12</v>
          </cell>
          <cell r="H287">
            <v>627.72</v>
          </cell>
          <cell r="I287">
            <v>1626</v>
          </cell>
          <cell r="J287">
            <v>0</v>
          </cell>
          <cell r="K287">
            <v>569.1</v>
          </cell>
          <cell r="L287">
            <v>0</v>
          </cell>
          <cell r="M287">
            <v>238.48</v>
          </cell>
          <cell r="N287">
            <v>0</v>
          </cell>
          <cell r="O287">
            <v>661.24</v>
          </cell>
          <cell r="P287">
            <v>514.9</v>
          </cell>
          <cell r="Q287">
            <v>5316.0199999999995</v>
          </cell>
        </row>
        <row r="288">
          <cell r="A288">
            <v>52185</v>
          </cell>
          <cell r="B288" t="str">
            <v>Travel</v>
          </cell>
          <cell r="E288">
            <v>0</v>
          </cell>
          <cell r="F288">
            <v>0</v>
          </cell>
          <cell r="G288">
            <v>0</v>
          </cell>
          <cell r="H288">
            <v>0</v>
          </cell>
          <cell r="I288">
            <v>0</v>
          </cell>
          <cell r="J288">
            <v>0</v>
          </cell>
          <cell r="K288">
            <v>0</v>
          </cell>
          <cell r="L288">
            <v>0</v>
          </cell>
          <cell r="M288">
            <v>0</v>
          </cell>
          <cell r="N288">
            <v>0</v>
          </cell>
          <cell r="O288">
            <v>0</v>
          </cell>
          <cell r="P288">
            <v>0</v>
          </cell>
          <cell r="Q288">
            <v>0</v>
          </cell>
        </row>
        <row r="289">
          <cell r="A289">
            <v>52200</v>
          </cell>
          <cell r="B289" t="str">
            <v>Office Supply and Equip</v>
          </cell>
          <cell r="E289">
            <v>302.27999999999997</v>
          </cell>
          <cell r="F289">
            <v>504.92</v>
          </cell>
          <cell r="G289">
            <v>245.31</v>
          </cell>
          <cell r="H289">
            <v>1615.6</v>
          </cell>
          <cell r="I289">
            <v>152.86000000000001</v>
          </cell>
          <cell r="J289">
            <v>155.44</v>
          </cell>
          <cell r="K289">
            <v>66.27</v>
          </cell>
          <cell r="L289">
            <v>678.01</v>
          </cell>
          <cell r="M289">
            <v>154.47999999999999</v>
          </cell>
          <cell r="N289">
            <v>1193.94</v>
          </cell>
          <cell r="O289">
            <v>147.13</v>
          </cell>
          <cell r="P289">
            <v>809.46</v>
          </cell>
          <cell r="Q289">
            <v>6025.7</v>
          </cell>
        </row>
        <row r="290">
          <cell r="A290">
            <v>52275</v>
          </cell>
          <cell r="B290" t="str">
            <v>Property Taxes</v>
          </cell>
          <cell r="E290">
            <v>0</v>
          </cell>
          <cell r="F290">
            <v>0</v>
          </cell>
          <cell r="G290">
            <v>0</v>
          </cell>
          <cell r="H290">
            <v>0</v>
          </cell>
          <cell r="I290">
            <v>0</v>
          </cell>
          <cell r="J290">
            <v>0</v>
          </cell>
          <cell r="K290">
            <v>0</v>
          </cell>
          <cell r="L290">
            <v>0</v>
          </cell>
          <cell r="M290">
            <v>0</v>
          </cell>
          <cell r="N290">
            <v>0</v>
          </cell>
          <cell r="O290">
            <v>0</v>
          </cell>
          <cell r="P290">
            <v>0</v>
          </cell>
          <cell r="Q290">
            <v>0</v>
          </cell>
        </row>
        <row r="291">
          <cell r="A291">
            <v>52335</v>
          </cell>
          <cell r="B291" t="str">
            <v>Miscellaneous</v>
          </cell>
          <cell r="E291">
            <v>27</v>
          </cell>
          <cell r="F291">
            <v>0</v>
          </cell>
          <cell r="G291">
            <v>13.5</v>
          </cell>
          <cell r="H291">
            <v>0</v>
          </cell>
          <cell r="I291">
            <v>0</v>
          </cell>
          <cell r="J291">
            <v>0</v>
          </cell>
          <cell r="K291">
            <v>0</v>
          </cell>
          <cell r="L291">
            <v>0</v>
          </cell>
          <cell r="M291">
            <v>0</v>
          </cell>
          <cell r="N291">
            <v>0</v>
          </cell>
          <cell r="O291">
            <v>0</v>
          </cell>
          <cell r="P291">
            <v>0</v>
          </cell>
          <cell r="Q291">
            <v>40.5</v>
          </cell>
        </row>
        <row r="292">
          <cell r="A292">
            <v>52900</v>
          </cell>
          <cell r="B292" t="str">
            <v>Capitalized Costs</v>
          </cell>
          <cell r="E292">
            <v>0</v>
          </cell>
          <cell r="F292">
            <v>0</v>
          </cell>
          <cell r="G292">
            <v>0</v>
          </cell>
          <cell r="H292">
            <v>0</v>
          </cell>
          <cell r="I292">
            <v>0</v>
          </cell>
          <cell r="J292">
            <v>0</v>
          </cell>
          <cell r="K292">
            <v>0</v>
          </cell>
          <cell r="L292">
            <v>0</v>
          </cell>
          <cell r="M292">
            <v>0</v>
          </cell>
          <cell r="N292">
            <v>0</v>
          </cell>
          <cell r="O292">
            <v>0</v>
          </cell>
          <cell r="P292">
            <v>0</v>
          </cell>
          <cell r="Q292">
            <v>0</v>
          </cell>
        </row>
        <row r="293">
          <cell r="A293">
            <v>52901</v>
          </cell>
          <cell r="B293" t="str">
            <v>Costs Awaiting Capitilization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A294">
            <v>52998</v>
          </cell>
          <cell r="B294" t="str">
            <v>Allocation Out - District</v>
          </cell>
          <cell r="E294">
            <v>0</v>
          </cell>
          <cell r="F294">
            <v>0</v>
          </cell>
          <cell r="G294">
            <v>0</v>
          </cell>
          <cell r="H294">
            <v>0</v>
          </cell>
          <cell r="I294">
            <v>0</v>
          </cell>
          <cell r="J294">
            <v>0</v>
          </cell>
          <cell r="K294">
            <v>0</v>
          </cell>
          <cell r="L294">
            <v>0</v>
          </cell>
          <cell r="M294">
            <v>0</v>
          </cell>
          <cell r="N294">
            <v>0</v>
          </cell>
          <cell r="O294">
            <v>0</v>
          </cell>
          <cell r="P294">
            <v>0</v>
          </cell>
          <cell r="Q294">
            <v>0</v>
          </cell>
        </row>
        <row r="295">
          <cell r="A295">
            <v>52999</v>
          </cell>
          <cell r="B295" t="str">
            <v>Allocation Out - Out District</v>
          </cell>
          <cell r="E295">
            <v>-8839.42</v>
          </cell>
          <cell r="F295">
            <v>-11223.85</v>
          </cell>
          <cell r="G295">
            <v>-12345.57</v>
          </cell>
          <cell r="H295">
            <v>-17818.71</v>
          </cell>
          <cell r="I295">
            <v>-8260.7000000000007</v>
          </cell>
          <cell r="J295">
            <v>-18104.939999999999</v>
          </cell>
          <cell r="K295">
            <v>-8429.56</v>
          </cell>
          <cell r="L295">
            <v>-12829.3</v>
          </cell>
          <cell r="M295">
            <v>-6149.56</v>
          </cell>
          <cell r="N295">
            <v>-5808.26</v>
          </cell>
          <cell r="O295">
            <v>-5947.92</v>
          </cell>
          <cell r="P295">
            <v>-45343.87</v>
          </cell>
          <cell r="Q295">
            <v>-161101.66</v>
          </cell>
        </row>
        <row r="296">
          <cell r="A296" t="str">
            <v>Total Truck Variable</v>
          </cell>
          <cell r="E296">
            <v>228977.27999999997</v>
          </cell>
          <cell r="F296">
            <v>205622.06000000003</v>
          </cell>
          <cell r="G296">
            <v>219279.73999999996</v>
          </cell>
          <cell r="H296">
            <v>210675.40000000005</v>
          </cell>
          <cell r="I296">
            <v>225803.05999999997</v>
          </cell>
          <cell r="J296">
            <v>201182.51</v>
          </cell>
          <cell r="K296">
            <v>241614.46</v>
          </cell>
          <cell r="L296">
            <v>225220.32000000004</v>
          </cell>
          <cell r="M296">
            <v>262765.23</v>
          </cell>
          <cell r="N296">
            <v>211264.55</v>
          </cell>
          <cell r="O296">
            <v>238591.60999999996</v>
          </cell>
          <cell r="P296">
            <v>240660.66999999993</v>
          </cell>
          <cell r="Q296">
            <v>2711656.8899999997</v>
          </cell>
        </row>
        <row r="298">
          <cell r="A298" t="str">
            <v>Container</v>
          </cell>
        </row>
        <row r="299">
          <cell r="A299">
            <v>54148</v>
          </cell>
          <cell r="B299" t="str">
            <v>Allocation In - District</v>
          </cell>
          <cell r="E299">
            <v>0</v>
          </cell>
          <cell r="F299">
            <v>0</v>
          </cell>
          <cell r="G299">
            <v>0</v>
          </cell>
          <cell r="H299">
            <v>0</v>
          </cell>
          <cell r="I299">
            <v>0</v>
          </cell>
          <cell r="J299">
            <v>0</v>
          </cell>
          <cell r="K299">
            <v>0</v>
          </cell>
          <cell r="L299">
            <v>0</v>
          </cell>
          <cell r="M299">
            <v>0</v>
          </cell>
          <cell r="N299">
            <v>0</v>
          </cell>
          <cell r="O299">
            <v>0</v>
          </cell>
          <cell r="P299">
            <v>0</v>
          </cell>
          <cell r="Q299">
            <v>0</v>
          </cell>
        </row>
        <row r="300">
          <cell r="A300">
            <v>54149</v>
          </cell>
          <cell r="B300" t="str">
            <v>Allocation In - Out District</v>
          </cell>
          <cell r="E300">
            <v>0</v>
          </cell>
          <cell r="F300">
            <v>0</v>
          </cell>
          <cell r="G300">
            <v>0</v>
          </cell>
          <cell r="H300">
            <v>0</v>
          </cell>
          <cell r="I300">
            <v>0</v>
          </cell>
          <cell r="J300">
            <v>0</v>
          </cell>
          <cell r="K300">
            <v>0</v>
          </cell>
          <cell r="L300">
            <v>0</v>
          </cell>
          <cell r="M300">
            <v>0</v>
          </cell>
          <cell r="N300">
            <v>0</v>
          </cell>
          <cell r="O300">
            <v>0</v>
          </cell>
          <cell r="P300">
            <v>0</v>
          </cell>
          <cell r="Q300">
            <v>0</v>
          </cell>
        </row>
        <row r="301">
          <cell r="A301">
            <v>54175</v>
          </cell>
          <cell r="B301" t="str">
            <v>Equipment/Vehicle Rental</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v>54275</v>
          </cell>
          <cell r="B302" t="str">
            <v>Property Taxes</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v>54335</v>
          </cell>
          <cell r="B303" t="str">
            <v>Miscellaneous</v>
          </cell>
          <cell r="E303">
            <v>0</v>
          </cell>
          <cell r="F303">
            <v>0</v>
          </cell>
          <cell r="G303">
            <v>0</v>
          </cell>
          <cell r="H303">
            <v>0</v>
          </cell>
          <cell r="I303">
            <v>0</v>
          </cell>
          <cell r="J303">
            <v>0</v>
          </cell>
          <cell r="K303">
            <v>0</v>
          </cell>
          <cell r="L303">
            <v>0</v>
          </cell>
          <cell r="M303">
            <v>0</v>
          </cell>
          <cell r="N303">
            <v>0</v>
          </cell>
          <cell r="O303">
            <v>0</v>
          </cell>
          <cell r="P303">
            <v>0</v>
          </cell>
          <cell r="Q303">
            <v>0</v>
          </cell>
        </row>
        <row r="304">
          <cell r="A304">
            <v>54998</v>
          </cell>
          <cell r="B304" t="str">
            <v>Allocation Out - District</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A305">
            <v>54999</v>
          </cell>
          <cell r="B305" t="str">
            <v>Allocation Out - Out District</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v>55010</v>
          </cell>
          <cell r="B306" t="str">
            <v>Salaries</v>
          </cell>
          <cell r="E306">
            <v>0</v>
          </cell>
          <cell r="F306">
            <v>0</v>
          </cell>
          <cell r="G306">
            <v>0</v>
          </cell>
          <cell r="H306">
            <v>0</v>
          </cell>
          <cell r="I306">
            <v>0</v>
          </cell>
          <cell r="J306">
            <v>0</v>
          </cell>
          <cell r="K306">
            <v>0</v>
          </cell>
          <cell r="L306">
            <v>0</v>
          </cell>
          <cell r="M306">
            <v>0</v>
          </cell>
          <cell r="N306">
            <v>0</v>
          </cell>
          <cell r="O306">
            <v>0</v>
          </cell>
          <cell r="P306">
            <v>0</v>
          </cell>
          <cell r="Q306">
            <v>0</v>
          </cell>
        </row>
        <row r="307">
          <cell r="A307">
            <v>55020</v>
          </cell>
          <cell r="B307" t="str">
            <v>Wages Regular</v>
          </cell>
          <cell r="E307">
            <v>4237.87</v>
          </cell>
          <cell r="F307">
            <v>3645.1</v>
          </cell>
          <cell r="G307">
            <v>5053.71</v>
          </cell>
          <cell r="H307">
            <v>3782.98</v>
          </cell>
          <cell r="I307">
            <v>4116.55</v>
          </cell>
          <cell r="J307">
            <v>4866.5600000000004</v>
          </cell>
          <cell r="K307">
            <v>3450.41</v>
          </cell>
          <cell r="L307">
            <v>-895.79</v>
          </cell>
          <cell r="M307">
            <v>2790.36</v>
          </cell>
          <cell r="N307">
            <v>2211.17</v>
          </cell>
          <cell r="O307">
            <v>1382.48</v>
          </cell>
          <cell r="P307">
            <v>2606.41</v>
          </cell>
          <cell r="Q307">
            <v>37247.81</v>
          </cell>
        </row>
        <row r="308">
          <cell r="A308">
            <v>55025</v>
          </cell>
          <cell r="B308" t="str">
            <v>Wages O.T.</v>
          </cell>
          <cell r="E308">
            <v>207.52</v>
          </cell>
          <cell r="F308">
            <v>12.82</v>
          </cell>
          <cell r="G308">
            <v>38.619999999999997</v>
          </cell>
          <cell r="H308">
            <v>37.99</v>
          </cell>
          <cell r="I308">
            <v>485</v>
          </cell>
          <cell r="J308">
            <v>319.70999999999998</v>
          </cell>
          <cell r="K308">
            <v>215.61</v>
          </cell>
          <cell r="L308">
            <v>-99.64</v>
          </cell>
          <cell r="M308">
            <v>16.27</v>
          </cell>
          <cell r="N308">
            <v>59.9</v>
          </cell>
          <cell r="O308">
            <v>192.29</v>
          </cell>
          <cell r="P308">
            <v>-41.94</v>
          </cell>
          <cell r="Q308">
            <v>1444.1499999999999</v>
          </cell>
        </row>
        <row r="309">
          <cell r="A309">
            <v>55035</v>
          </cell>
          <cell r="B309" t="str">
            <v>Safety Bonuses</v>
          </cell>
          <cell r="E309">
            <v>0</v>
          </cell>
          <cell r="F309">
            <v>0</v>
          </cell>
          <cell r="G309">
            <v>0</v>
          </cell>
          <cell r="H309">
            <v>0</v>
          </cell>
          <cell r="I309">
            <v>0</v>
          </cell>
          <cell r="J309">
            <v>0</v>
          </cell>
          <cell r="K309">
            <v>0</v>
          </cell>
          <cell r="L309">
            <v>0</v>
          </cell>
          <cell r="M309">
            <v>0</v>
          </cell>
          <cell r="N309">
            <v>0</v>
          </cell>
          <cell r="O309">
            <v>0</v>
          </cell>
          <cell r="P309">
            <v>0</v>
          </cell>
          <cell r="Q309">
            <v>0</v>
          </cell>
        </row>
        <row r="310">
          <cell r="A310">
            <v>55036</v>
          </cell>
          <cell r="B310" t="str">
            <v>Other Bonus/Commission - Non-Safety</v>
          </cell>
          <cell r="E310">
            <v>0</v>
          </cell>
          <cell r="F310">
            <v>0</v>
          </cell>
          <cell r="G310">
            <v>0</v>
          </cell>
          <cell r="H310">
            <v>0</v>
          </cell>
          <cell r="I310">
            <v>0</v>
          </cell>
          <cell r="J310">
            <v>0</v>
          </cell>
          <cell r="K310">
            <v>0</v>
          </cell>
          <cell r="L310">
            <v>0</v>
          </cell>
          <cell r="M310">
            <v>0</v>
          </cell>
          <cell r="N310">
            <v>0</v>
          </cell>
          <cell r="O310">
            <v>0</v>
          </cell>
          <cell r="P310">
            <v>0</v>
          </cell>
          <cell r="Q310">
            <v>0</v>
          </cell>
        </row>
        <row r="311">
          <cell r="A311">
            <v>55045</v>
          </cell>
          <cell r="B311" t="str">
            <v>Contract Labor</v>
          </cell>
          <cell r="E311">
            <v>0</v>
          </cell>
          <cell r="F311">
            <v>0</v>
          </cell>
          <cell r="G311">
            <v>0</v>
          </cell>
          <cell r="H311">
            <v>0</v>
          </cell>
          <cell r="I311">
            <v>0</v>
          </cell>
          <cell r="J311">
            <v>0</v>
          </cell>
          <cell r="K311">
            <v>0</v>
          </cell>
          <cell r="L311">
            <v>0</v>
          </cell>
          <cell r="M311">
            <v>0</v>
          </cell>
          <cell r="N311">
            <v>0</v>
          </cell>
          <cell r="O311">
            <v>0</v>
          </cell>
          <cell r="P311">
            <v>0</v>
          </cell>
          <cell r="Q311">
            <v>0</v>
          </cell>
        </row>
        <row r="312">
          <cell r="A312">
            <v>55050</v>
          </cell>
          <cell r="B312" t="str">
            <v>Payroll Taxes</v>
          </cell>
          <cell r="E312">
            <v>526.11</v>
          </cell>
          <cell r="F312">
            <v>376.89</v>
          </cell>
          <cell r="G312">
            <v>487.16</v>
          </cell>
          <cell r="H312">
            <v>433.36</v>
          </cell>
          <cell r="I312">
            <v>441.95</v>
          </cell>
          <cell r="J312">
            <v>479.57</v>
          </cell>
          <cell r="K312">
            <v>386.21</v>
          </cell>
          <cell r="L312">
            <v>296.14999999999998</v>
          </cell>
          <cell r="M312">
            <v>200.44</v>
          </cell>
          <cell r="N312">
            <v>209.02</v>
          </cell>
          <cell r="O312">
            <v>287.25</v>
          </cell>
          <cell r="P312">
            <v>160.52000000000001</v>
          </cell>
          <cell r="Q312">
            <v>4284.630000000001</v>
          </cell>
        </row>
        <row r="313">
          <cell r="A313">
            <v>55060</v>
          </cell>
          <cell r="B313" t="str">
            <v>Group Insurance</v>
          </cell>
          <cell r="E313">
            <v>592</v>
          </cell>
          <cell r="F313">
            <v>592</v>
          </cell>
          <cell r="G313">
            <v>488</v>
          </cell>
          <cell r="H313">
            <v>696</v>
          </cell>
          <cell r="I313">
            <v>592</v>
          </cell>
          <cell r="J313">
            <v>592</v>
          </cell>
          <cell r="K313">
            <v>592</v>
          </cell>
          <cell r="L313">
            <v>592</v>
          </cell>
          <cell r="M313">
            <v>589</v>
          </cell>
          <cell r="N313">
            <v>693</v>
          </cell>
          <cell r="O313">
            <v>641</v>
          </cell>
          <cell r="P313">
            <v>641</v>
          </cell>
          <cell r="Q313">
            <v>7300</v>
          </cell>
        </row>
        <row r="314">
          <cell r="A314">
            <v>55065</v>
          </cell>
          <cell r="B314" t="str">
            <v>Vacation Pay</v>
          </cell>
          <cell r="E314">
            <v>1530.51</v>
          </cell>
          <cell r="F314">
            <v>299.68</v>
          </cell>
          <cell r="G314">
            <v>-333.52</v>
          </cell>
          <cell r="H314">
            <v>791.16</v>
          </cell>
          <cell r="I314">
            <v>342.62</v>
          </cell>
          <cell r="J314">
            <v>95.96</v>
          </cell>
          <cell r="K314">
            <v>412.42</v>
          </cell>
          <cell r="L314">
            <v>663.21</v>
          </cell>
          <cell r="M314">
            <v>-476.38</v>
          </cell>
          <cell r="N314">
            <v>100.96</v>
          </cell>
          <cell r="O314">
            <v>-21.16</v>
          </cell>
          <cell r="P314">
            <v>202.89</v>
          </cell>
          <cell r="Q314">
            <v>3608.35</v>
          </cell>
        </row>
        <row r="315">
          <cell r="A315">
            <v>55070</v>
          </cell>
          <cell r="B315" t="str">
            <v>Sick Pay</v>
          </cell>
          <cell r="E315">
            <v>0</v>
          </cell>
          <cell r="F315">
            <v>106.8</v>
          </cell>
          <cell r="G315">
            <v>0</v>
          </cell>
          <cell r="H315">
            <v>207</v>
          </cell>
          <cell r="I315">
            <v>107.64</v>
          </cell>
          <cell r="J315">
            <v>-66.239999999999995</v>
          </cell>
          <cell r="K315">
            <v>386.4</v>
          </cell>
          <cell r="L315">
            <v>0</v>
          </cell>
          <cell r="M315">
            <v>0</v>
          </cell>
          <cell r="N315">
            <v>0</v>
          </cell>
          <cell r="O315">
            <v>1048.8</v>
          </cell>
          <cell r="P315">
            <v>-386.4</v>
          </cell>
          <cell r="Q315">
            <v>1404</v>
          </cell>
        </row>
        <row r="316">
          <cell r="A316">
            <v>55086</v>
          </cell>
          <cell r="B316" t="str">
            <v>Safety and Training</v>
          </cell>
          <cell r="E316">
            <v>0</v>
          </cell>
          <cell r="F316">
            <v>0</v>
          </cell>
          <cell r="G316">
            <v>0</v>
          </cell>
          <cell r="H316">
            <v>102.92</v>
          </cell>
          <cell r="I316">
            <v>87.01</v>
          </cell>
          <cell r="J316">
            <v>0</v>
          </cell>
          <cell r="K316">
            <v>0</v>
          </cell>
          <cell r="L316">
            <v>0</v>
          </cell>
          <cell r="M316">
            <v>0</v>
          </cell>
          <cell r="N316">
            <v>25</v>
          </cell>
          <cell r="O316">
            <v>0</v>
          </cell>
          <cell r="P316">
            <v>0</v>
          </cell>
          <cell r="Q316">
            <v>214.93</v>
          </cell>
        </row>
        <row r="317">
          <cell r="A317">
            <v>55090</v>
          </cell>
          <cell r="B317" t="str">
            <v>Uniforms</v>
          </cell>
          <cell r="E317">
            <v>150.38</v>
          </cell>
          <cell r="F317">
            <v>176.83</v>
          </cell>
          <cell r="G317">
            <v>194.81</v>
          </cell>
          <cell r="H317">
            <v>160.08000000000001</v>
          </cell>
          <cell r="I317">
            <v>148.47</v>
          </cell>
          <cell r="J317">
            <v>225.16</v>
          </cell>
          <cell r="K317">
            <v>214.31</v>
          </cell>
          <cell r="L317">
            <v>616.44000000000005</v>
          </cell>
          <cell r="M317">
            <v>125.04</v>
          </cell>
          <cell r="N317">
            <v>178.98</v>
          </cell>
          <cell r="O317">
            <v>138.13999999999999</v>
          </cell>
          <cell r="P317">
            <v>154.04</v>
          </cell>
          <cell r="Q317">
            <v>2482.6799999999998</v>
          </cell>
        </row>
        <row r="318">
          <cell r="A318">
            <v>55115</v>
          </cell>
          <cell r="B318" t="str">
            <v>Pension and Profit Sharing</v>
          </cell>
          <cell r="E318">
            <v>0</v>
          </cell>
          <cell r="F318">
            <v>0</v>
          </cell>
          <cell r="G318">
            <v>0</v>
          </cell>
          <cell r="H318">
            <v>0</v>
          </cell>
          <cell r="I318">
            <v>0</v>
          </cell>
          <cell r="J318">
            <v>0</v>
          </cell>
          <cell r="K318">
            <v>0</v>
          </cell>
          <cell r="L318">
            <v>0</v>
          </cell>
          <cell r="M318">
            <v>0</v>
          </cell>
          <cell r="N318">
            <v>0</v>
          </cell>
          <cell r="O318">
            <v>0</v>
          </cell>
          <cell r="P318">
            <v>0</v>
          </cell>
          <cell r="Q318">
            <v>0</v>
          </cell>
        </row>
        <row r="319">
          <cell r="A319">
            <v>55116</v>
          </cell>
          <cell r="B319" t="str">
            <v>Union Benefit Expense</v>
          </cell>
          <cell r="E319">
            <v>0</v>
          </cell>
          <cell r="F319">
            <v>0</v>
          </cell>
          <cell r="G319">
            <v>0</v>
          </cell>
          <cell r="H319">
            <v>0</v>
          </cell>
          <cell r="I319">
            <v>0</v>
          </cell>
          <cell r="J319">
            <v>0</v>
          </cell>
          <cell r="K319">
            <v>0</v>
          </cell>
          <cell r="L319">
            <v>0</v>
          </cell>
          <cell r="M319">
            <v>0</v>
          </cell>
          <cell r="N319">
            <v>0</v>
          </cell>
          <cell r="O319">
            <v>0</v>
          </cell>
          <cell r="P319">
            <v>0</v>
          </cell>
          <cell r="Q319">
            <v>0</v>
          </cell>
        </row>
        <row r="320">
          <cell r="A320">
            <v>55117</v>
          </cell>
          <cell r="B320" t="str">
            <v>Union Pension</v>
          </cell>
          <cell r="E320">
            <v>0</v>
          </cell>
          <cell r="F320">
            <v>0</v>
          </cell>
          <cell r="G320">
            <v>0</v>
          </cell>
          <cell r="H320">
            <v>0</v>
          </cell>
          <cell r="I320">
            <v>0</v>
          </cell>
          <cell r="J320">
            <v>0</v>
          </cell>
          <cell r="K320">
            <v>0</v>
          </cell>
          <cell r="L320">
            <v>0</v>
          </cell>
          <cell r="M320">
            <v>0</v>
          </cell>
          <cell r="N320">
            <v>0</v>
          </cell>
          <cell r="O320">
            <v>0</v>
          </cell>
          <cell r="P320">
            <v>0</v>
          </cell>
          <cell r="Q320">
            <v>0</v>
          </cell>
        </row>
        <row r="321">
          <cell r="A321">
            <v>55120</v>
          </cell>
          <cell r="B321" t="str">
            <v>Parts and Materials</v>
          </cell>
          <cell r="E321">
            <v>8487.7999999999993</v>
          </cell>
          <cell r="F321">
            <v>7446.84</v>
          </cell>
          <cell r="G321">
            <v>15850.27</v>
          </cell>
          <cell r="H321">
            <v>18201.75</v>
          </cell>
          <cell r="I321">
            <v>9184.14</v>
          </cell>
          <cell r="J321">
            <v>13165.81</v>
          </cell>
          <cell r="K321">
            <v>11588.02</v>
          </cell>
          <cell r="L321">
            <v>15366.43</v>
          </cell>
          <cell r="M321">
            <v>-29929.23</v>
          </cell>
          <cell r="N321">
            <v>8572.4699999999993</v>
          </cell>
          <cell r="O321">
            <v>2939.21</v>
          </cell>
          <cell r="P321">
            <v>7744.74</v>
          </cell>
          <cell r="Q321">
            <v>88618.250000000015</v>
          </cell>
        </row>
        <row r="322">
          <cell r="A322">
            <v>55125</v>
          </cell>
          <cell r="B322" t="str">
            <v>Operating Supplies</v>
          </cell>
          <cell r="E322">
            <v>625.29999999999995</v>
          </cell>
          <cell r="F322">
            <v>287.99</v>
          </cell>
          <cell r="G322">
            <v>0</v>
          </cell>
          <cell r="H322">
            <v>809.74</v>
          </cell>
          <cell r="I322">
            <v>404.7</v>
          </cell>
          <cell r="J322">
            <v>0</v>
          </cell>
          <cell r="K322">
            <v>0</v>
          </cell>
          <cell r="L322">
            <v>0</v>
          </cell>
          <cell r="M322">
            <v>0</v>
          </cell>
          <cell r="N322">
            <v>0</v>
          </cell>
          <cell r="O322">
            <v>64.819999999999993</v>
          </cell>
          <cell r="P322">
            <v>0</v>
          </cell>
          <cell r="Q322">
            <v>2192.5500000000002</v>
          </cell>
        </row>
        <row r="323">
          <cell r="A323">
            <v>55135</v>
          </cell>
          <cell r="B323" t="str">
            <v>Equipment and Maint Repair</v>
          </cell>
          <cell r="E323">
            <v>0</v>
          </cell>
          <cell r="F323">
            <v>321.35000000000002</v>
          </cell>
          <cell r="G323">
            <v>309.18</v>
          </cell>
          <cell r="H323">
            <v>826.48</v>
          </cell>
          <cell r="I323">
            <v>87.89</v>
          </cell>
          <cell r="J323">
            <v>0</v>
          </cell>
          <cell r="K323">
            <v>0</v>
          </cell>
          <cell r="L323">
            <v>0</v>
          </cell>
          <cell r="M323">
            <v>531.54999999999995</v>
          </cell>
          <cell r="N323">
            <v>172.24</v>
          </cell>
          <cell r="O323">
            <v>0</v>
          </cell>
          <cell r="P323">
            <v>250.34</v>
          </cell>
          <cell r="Q323">
            <v>2499.0299999999997</v>
          </cell>
        </row>
        <row r="324">
          <cell r="A324">
            <v>55140</v>
          </cell>
          <cell r="B324" t="str">
            <v>Tires</v>
          </cell>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A325">
            <v>55142</v>
          </cell>
          <cell r="B325" t="str">
            <v>Fuel Expense</v>
          </cell>
          <cell r="E325">
            <v>0</v>
          </cell>
          <cell r="F325">
            <v>0</v>
          </cell>
          <cell r="G325">
            <v>0</v>
          </cell>
          <cell r="H325">
            <v>0</v>
          </cell>
          <cell r="I325">
            <v>0</v>
          </cell>
          <cell r="J325">
            <v>0</v>
          </cell>
          <cell r="K325">
            <v>0</v>
          </cell>
          <cell r="L325">
            <v>0</v>
          </cell>
          <cell r="M325">
            <v>0</v>
          </cell>
          <cell r="N325">
            <v>0</v>
          </cell>
          <cell r="O325">
            <v>0</v>
          </cell>
          <cell r="P325">
            <v>0</v>
          </cell>
          <cell r="Q325">
            <v>0</v>
          </cell>
        </row>
        <row r="326">
          <cell r="A326">
            <v>55143</v>
          </cell>
          <cell r="B326" t="str">
            <v>Corporate Medical Waste Supplies</v>
          </cell>
          <cell r="E326">
            <v>0</v>
          </cell>
          <cell r="F326">
            <v>0</v>
          </cell>
          <cell r="G326">
            <v>0</v>
          </cell>
          <cell r="H326">
            <v>0</v>
          </cell>
          <cell r="I326">
            <v>0</v>
          </cell>
          <cell r="J326">
            <v>0</v>
          </cell>
          <cell r="K326">
            <v>0</v>
          </cell>
          <cell r="L326">
            <v>0</v>
          </cell>
          <cell r="M326">
            <v>0</v>
          </cell>
          <cell r="N326">
            <v>0</v>
          </cell>
          <cell r="O326">
            <v>0</v>
          </cell>
          <cell r="P326">
            <v>0</v>
          </cell>
          <cell r="Q326">
            <v>0</v>
          </cell>
        </row>
        <row r="327">
          <cell r="A327">
            <v>55146</v>
          </cell>
          <cell r="B327" t="str">
            <v>Oil and Grease</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A328">
            <v>55147</v>
          </cell>
          <cell r="B328" t="str">
            <v>Outside Repairs</v>
          </cell>
          <cell r="E328">
            <v>0</v>
          </cell>
          <cell r="F328">
            <v>292.57</v>
          </cell>
          <cell r="G328">
            <v>0</v>
          </cell>
          <cell r="H328">
            <v>0</v>
          </cell>
          <cell r="I328">
            <v>0</v>
          </cell>
          <cell r="J328">
            <v>0</v>
          </cell>
          <cell r="K328">
            <v>0</v>
          </cell>
          <cell r="L328">
            <v>0</v>
          </cell>
          <cell r="M328">
            <v>0</v>
          </cell>
          <cell r="N328">
            <v>0</v>
          </cell>
          <cell r="O328">
            <v>0</v>
          </cell>
          <cell r="P328">
            <v>0</v>
          </cell>
          <cell r="Q328">
            <v>292.57</v>
          </cell>
        </row>
        <row r="329">
          <cell r="A329">
            <v>55148</v>
          </cell>
          <cell r="B329" t="str">
            <v>Allocated Exp In - District</v>
          </cell>
          <cell r="E329">
            <v>0</v>
          </cell>
          <cell r="F329">
            <v>116.52</v>
          </cell>
          <cell r="G329">
            <v>0</v>
          </cell>
          <cell r="H329">
            <v>0</v>
          </cell>
          <cell r="I329">
            <v>0</v>
          </cell>
          <cell r="J329">
            <v>0</v>
          </cell>
          <cell r="K329">
            <v>0</v>
          </cell>
          <cell r="L329">
            <v>0</v>
          </cell>
          <cell r="M329">
            <v>0</v>
          </cell>
          <cell r="N329">
            <v>0</v>
          </cell>
          <cell r="O329">
            <v>0</v>
          </cell>
          <cell r="P329">
            <v>0</v>
          </cell>
          <cell r="Q329">
            <v>116.52</v>
          </cell>
        </row>
        <row r="330">
          <cell r="A330">
            <v>55149</v>
          </cell>
          <cell r="B330" t="str">
            <v>Allocated Exp In Out - District</v>
          </cell>
          <cell r="E330">
            <v>0</v>
          </cell>
          <cell r="F330">
            <v>0</v>
          </cell>
          <cell r="G330">
            <v>0</v>
          </cell>
          <cell r="H330">
            <v>0</v>
          </cell>
          <cell r="I330">
            <v>0</v>
          </cell>
          <cell r="J330">
            <v>0</v>
          </cell>
          <cell r="K330">
            <v>0</v>
          </cell>
          <cell r="L330">
            <v>0</v>
          </cell>
          <cell r="M330">
            <v>0</v>
          </cell>
          <cell r="N330">
            <v>0</v>
          </cell>
          <cell r="O330">
            <v>0</v>
          </cell>
          <cell r="P330">
            <v>0</v>
          </cell>
          <cell r="Q330">
            <v>0</v>
          </cell>
        </row>
        <row r="331">
          <cell r="A331">
            <v>55150</v>
          </cell>
          <cell r="B331" t="str">
            <v>Utilities</v>
          </cell>
          <cell r="E331">
            <v>437.73</v>
          </cell>
          <cell r="F331">
            <v>510</v>
          </cell>
          <cell r="G331">
            <v>480.44</v>
          </cell>
          <cell r="H331">
            <v>460.73</v>
          </cell>
          <cell r="I331">
            <v>398.31</v>
          </cell>
          <cell r="J331">
            <v>372.03</v>
          </cell>
          <cell r="K331">
            <v>329.33</v>
          </cell>
          <cell r="L331">
            <v>0</v>
          </cell>
          <cell r="M331">
            <v>370.51</v>
          </cell>
          <cell r="N331">
            <v>344.08</v>
          </cell>
          <cell r="O331">
            <v>368.05</v>
          </cell>
          <cell r="P331">
            <v>368.05</v>
          </cell>
          <cell r="Q331">
            <v>4439.26</v>
          </cell>
        </row>
        <row r="332">
          <cell r="A332">
            <v>55181</v>
          </cell>
          <cell r="B332" t="str">
            <v>Freight</v>
          </cell>
          <cell r="E332">
            <v>0</v>
          </cell>
          <cell r="F332">
            <v>0</v>
          </cell>
          <cell r="G332">
            <v>0</v>
          </cell>
          <cell r="H332">
            <v>0</v>
          </cell>
          <cell r="I332">
            <v>0</v>
          </cell>
          <cell r="J332">
            <v>0</v>
          </cell>
          <cell r="K332">
            <v>0</v>
          </cell>
          <cell r="L332">
            <v>0</v>
          </cell>
          <cell r="M332">
            <v>0</v>
          </cell>
          <cell r="N332">
            <v>0</v>
          </cell>
          <cell r="O332">
            <v>0</v>
          </cell>
          <cell r="P332">
            <v>0</v>
          </cell>
          <cell r="Q332">
            <v>0</v>
          </cell>
        </row>
        <row r="333">
          <cell r="A333">
            <v>55335</v>
          </cell>
          <cell r="B333" t="str">
            <v>Miscellaneous</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v>55900</v>
          </cell>
          <cell r="B334" t="str">
            <v>Capitalized Costs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v>55998</v>
          </cell>
          <cell r="B335" t="str">
            <v>Allocation Out - District</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v>55999</v>
          </cell>
          <cell r="B336" t="str">
            <v>Allocation Out - Out District</v>
          </cell>
          <cell r="E336">
            <v>-3211.72</v>
          </cell>
          <cell r="F336">
            <v>-1377.44</v>
          </cell>
          <cell r="G336">
            <v>-15514.36</v>
          </cell>
          <cell r="H336">
            <v>-20245.62</v>
          </cell>
          <cell r="I336">
            <v>-8044.68</v>
          </cell>
          <cell r="J336">
            <v>-1309.6400000000001</v>
          </cell>
          <cell r="K336">
            <v>-416.83</v>
          </cell>
          <cell r="L336">
            <v>-3864.87</v>
          </cell>
          <cell r="M336">
            <v>-3105</v>
          </cell>
          <cell r="N336">
            <v>-3070</v>
          </cell>
          <cell r="O336">
            <v>-7561.32</v>
          </cell>
          <cell r="P336">
            <v>-4472.33</v>
          </cell>
          <cell r="Q336">
            <v>-72193.810000000012</v>
          </cell>
        </row>
        <row r="337">
          <cell r="A337" t="str">
            <v>Total Container</v>
          </cell>
          <cell r="E337">
            <v>13583.499999999998</v>
          </cell>
          <cell r="F337">
            <v>12807.949999999999</v>
          </cell>
          <cell r="G337">
            <v>7054.3099999999977</v>
          </cell>
          <cell r="H337">
            <v>6264.57</v>
          </cell>
          <cell r="I337">
            <v>8351.6000000000022</v>
          </cell>
          <cell r="J337">
            <v>18740.919999999998</v>
          </cell>
          <cell r="K337">
            <v>17157.88</v>
          </cell>
          <cell r="L337">
            <v>12673.93</v>
          </cell>
          <cell r="M337">
            <v>-28887.440000000002</v>
          </cell>
          <cell r="N337">
            <v>9496.82</v>
          </cell>
          <cell r="O337">
            <v>-520.4399999999996</v>
          </cell>
          <cell r="P337">
            <v>7227.3199999999979</v>
          </cell>
          <cell r="Q337">
            <v>83950.92</v>
          </cell>
        </row>
        <row r="339">
          <cell r="A339" t="str">
            <v>Supervisor</v>
          </cell>
        </row>
        <row r="340">
          <cell r="A340">
            <v>56010</v>
          </cell>
          <cell r="B340" t="str">
            <v>Salaries</v>
          </cell>
          <cell r="E340">
            <v>8076.93</v>
          </cell>
          <cell r="F340">
            <v>7692.32</v>
          </cell>
          <cell r="G340">
            <v>8846.17</v>
          </cell>
          <cell r="H340">
            <v>8461.56</v>
          </cell>
          <cell r="I340">
            <v>8176.05</v>
          </cell>
          <cell r="J340">
            <v>8565.3799999999992</v>
          </cell>
          <cell r="K340">
            <v>8565.39</v>
          </cell>
          <cell r="L340">
            <v>8565.39</v>
          </cell>
          <cell r="M340">
            <v>8565.39</v>
          </cell>
          <cell r="N340">
            <v>8176.07</v>
          </cell>
          <cell r="O340">
            <v>8565.39</v>
          </cell>
          <cell r="P340">
            <v>8954.7199999999993</v>
          </cell>
          <cell r="Q340">
            <v>101210.76</v>
          </cell>
        </row>
        <row r="341">
          <cell r="A341">
            <v>56020</v>
          </cell>
          <cell r="B341" t="str">
            <v>Wages Regular</v>
          </cell>
          <cell r="E341">
            <v>2832.84</v>
          </cell>
          <cell r="F341">
            <v>5053.68</v>
          </cell>
          <cell r="G341">
            <v>4774.8999999999996</v>
          </cell>
          <cell r="H341">
            <v>4762.42</v>
          </cell>
          <cell r="I341">
            <v>2680.17</v>
          </cell>
          <cell r="J341">
            <v>3378.56</v>
          </cell>
          <cell r="K341">
            <v>5325.53</v>
          </cell>
          <cell r="L341">
            <v>3835.06</v>
          </cell>
          <cell r="M341">
            <v>4435.92</v>
          </cell>
          <cell r="N341">
            <v>4522.72</v>
          </cell>
          <cell r="O341">
            <v>4731.6499999999996</v>
          </cell>
          <cell r="P341">
            <v>4844.54</v>
          </cell>
          <cell r="Q341">
            <v>51177.990000000005</v>
          </cell>
        </row>
        <row r="342">
          <cell r="A342">
            <v>56025</v>
          </cell>
          <cell r="B342" t="str">
            <v>Wages O.T.</v>
          </cell>
          <cell r="E342">
            <v>274.88</v>
          </cell>
          <cell r="F342">
            <v>259.24</v>
          </cell>
          <cell r="G342">
            <v>649.44000000000005</v>
          </cell>
          <cell r="H342">
            <v>504.21</v>
          </cell>
          <cell r="I342">
            <v>341.07</v>
          </cell>
          <cell r="J342">
            <v>196.68</v>
          </cell>
          <cell r="K342">
            <v>716.35</v>
          </cell>
          <cell r="L342">
            <v>71.97</v>
          </cell>
          <cell r="M342">
            <v>716.15</v>
          </cell>
          <cell r="N342">
            <v>388.74</v>
          </cell>
          <cell r="O342">
            <v>560.69000000000005</v>
          </cell>
          <cell r="P342">
            <v>692.62</v>
          </cell>
          <cell r="Q342">
            <v>5372.04</v>
          </cell>
        </row>
        <row r="343">
          <cell r="A343">
            <v>56035</v>
          </cell>
          <cell r="B343" t="str">
            <v>Safety Bonuses</v>
          </cell>
          <cell r="E343">
            <v>0</v>
          </cell>
          <cell r="F343">
            <v>0</v>
          </cell>
          <cell r="G343">
            <v>0</v>
          </cell>
          <cell r="H343">
            <v>0</v>
          </cell>
          <cell r="I343">
            <v>0</v>
          </cell>
          <cell r="J343">
            <v>0</v>
          </cell>
          <cell r="K343">
            <v>0</v>
          </cell>
          <cell r="L343">
            <v>0</v>
          </cell>
          <cell r="M343">
            <v>0</v>
          </cell>
          <cell r="N343">
            <v>0</v>
          </cell>
          <cell r="O343">
            <v>0</v>
          </cell>
          <cell r="P343">
            <v>0</v>
          </cell>
          <cell r="Q343">
            <v>0</v>
          </cell>
        </row>
        <row r="344">
          <cell r="A344">
            <v>56036</v>
          </cell>
          <cell r="B344" t="str">
            <v>Other Bonus/Commission - Non-Safety</v>
          </cell>
          <cell r="E344">
            <v>0</v>
          </cell>
          <cell r="F344">
            <v>0</v>
          </cell>
          <cell r="G344">
            <v>0</v>
          </cell>
          <cell r="H344">
            <v>0</v>
          </cell>
          <cell r="I344">
            <v>0</v>
          </cell>
          <cell r="J344">
            <v>0</v>
          </cell>
          <cell r="K344">
            <v>0</v>
          </cell>
          <cell r="L344">
            <v>0</v>
          </cell>
          <cell r="M344">
            <v>0</v>
          </cell>
          <cell r="N344">
            <v>0</v>
          </cell>
          <cell r="O344">
            <v>0</v>
          </cell>
          <cell r="P344">
            <v>0</v>
          </cell>
          <cell r="Q344">
            <v>0</v>
          </cell>
        </row>
        <row r="345">
          <cell r="A345">
            <v>56037</v>
          </cell>
          <cell r="B345" t="str">
            <v>Termination Pay</v>
          </cell>
          <cell r="E345">
            <v>0</v>
          </cell>
          <cell r="F345">
            <v>0</v>
          </cell>
          <cell r="G345">
            <v>0</v>
          </cell>
          <cell r="H345">
            <v>0</v>
          </cell>
          <cell r="I345">
            <v>0</v>
          </cell>
          <cell r="J345">
            <v>0</v>
          </cell>
          <cell r="K345">
            <v>0</v>
          </cell>
          <cell r="L345">
            <v>0</v>
          </cell>
          <cell r="M345">
            <v>0</v>
          </cell>
          <cell r="N345">
            <v>0</v>
          </cell>
          <cell r="O345">
            <v>0</v>
          </cell>
          <cell r="P345">
            <v>0</v>
          </cell>
          <cell r="Q345">
            <v>0</v>
          </cell>
        </row>
        <row r="346">
          <cell r="A346">
            <v>56045</v>
          </cell>
          <cell r="B346" t="str">
            <v>Contract Labor</v>
          </cell>
          <cell r="E346">
            <v>0</v>
          </cell>
          <cell r="F346">
            <v>0</v>
          </cell>
          <cell r="G346">
            <v>0</v>
          </cell>
          <cell r="H346">
            <v>0</v>
          </cell>
          <cell r="I346">
            <v>2127.6</v>
          </cell>
          <cell r="J346">
            <v>283.68</v>
          </cell>
          <cell r="K346">
            <v>0</v>
          </cell>
          <cell r="L346">
            <v>0</v>
          </cell>
          <cell r="M346">
            <v>0</v>
          </cell>
          <cell r="N346">
            <v>0</v>
          </cell>
          <cell r="O346">
            <v>0</v>
          </cell>
          <cell r="P346">
            <v>0</v>
          </cell>
          <cell r="Q346">
            <v>2411.2799999999997</v>
          </cell>
        </row>
        <row r="347">
          <cell r="A347">
            <v>56050</v>
          </cell>
          <cell r="B347" t="str">
            <v>Payroll Taxes</v>
          </cell>
          <cell r="E347">
            <v>1457.13</v>
          </cell>
          <cell r="F347">
            <v>1086.04</v>
          </cell>
          <cell r="G347">
            <v>1432.76</v>
          </cell>
          <cell r="H347">
            <v>1237.58</v>
          </cell>
          <cell r="I347">
            <v>1015.69</v>
          </cell>
          <cell r="J347">
            <v>1252.47</v>
          </cell>
          <cell r="K347">
            <v>1534.22</v>
          </cell>
          <cell r="L347">
            <v>1138.26</v>
          </cell>
          <cell r="M347">
            <v>1122.4100000000001</v>
          </cell>
          <cell r="N347">
            <v>1083.83</v>
          </cell>
          <cell r="O347">
            <v>1262.81</v>
          </cell>
          <cell r="P347">
            <v>1237.03</v>
          </cell>
          <cell r="Q347">
            <v>14860.230000000001</v>
          </cell>
        </row>
        <row r="348">
          <cell r="A348">
            <v>56060</v>
          </cell>
          <cell r="B348" t="str">
            <v>Group Insurance</v>
          </cell>
          <cell r="E348">
            <v>2260</v>
          </cell>
          <cell r="F348">
            <v>2260</v>
          </cell>
          <cell r="G348">
            <v>2015</v>
          </cell>
          <cell r="H348">
            <v>2505</v>
          </cell>
          <cell r="I348">
            <v>2286.75</v>
          </cell>
          <cell r="J348">
            <v>2260</v>
          </cell>
          <cell r="K348">
            <v>2233.2399999999998</v>
          </cell>
          <cell r="L348">
            <v>2260</v>
          </cell>
          <cell r="M348">
            <v>2015</v>
          </cell>
          <cell r="N348">
            <v>2505</v>
          </cell>
          <cell r="O348">
            <v>2260</v>
          </cell>
          <cell r="P348">
            <v>2260</v>
          </cell>
          <cell r="Q348">
            <v>27119.989999999998</v>
          </cell>
        </row>
        <row r="349">
          <cell r="A349">
            <v>56065</v>
          </cell>
          <cell r="B349" t="str">
            <v>Vacation Pay</v>
          </cell>
          <cell r="E349">
            <v>1525.21</v>
          </cell>
          <cell r="F349">
            <v>-107.25</v>
          </cell>
          <cell r="G349">
            <v>686</v>
          </cell>
          <cell r="H349">
            <v>651.78</v>
          </cell>
          <cell r="I349">
            <v>5006.99</v>
          </cell>
          <cell r="J349">
            <v>-77.53</v>
          </cell>
          <cell r="K349">
            <v>1031.8800000000001</v>
          </cell>
          <cell r="L349">
            <v>1229.18</v>
          </cell>
          <cell r="M349">
            <v>-193.57</v>
          </cell>
          <cell r="N349">
            <v>1097.0899999999999</v>
          </cell>
          <cell r="O349">
            <v>647.59</v>
          </cell>
          <cell r="P349">
            <v>92.16</v>
          </cell>
          <cell r="Q349">
            <v>11589.53</v>
          </cell>
        </row>
        <row r="350">
          <cell r="A350">
            <v>56070</v>
          </cell>
          <cell r="B350" t="str">
            <v>Sick Pay</v>
          </cell>
          <cell r="E350">
            <v>197.6</v>
          </cell>
          <cell r="F350">
            <v>-54.84</v>
          </cell>
          <cell r="G350">
            <v>58.3</v>
          </cell>
          <cell r="H350">
            <v>30.87</v>
          </cell>
          <cell r="I350">
            <v>0</v>
          </cell>
          <cell r="J350">
            <v>421.35</v>
          </cell>
          <cell r="K350">
            <v>0</v>
          </cell>
          <cell r="L350">
            <v>0</v>
          </cell>
          <cell r="M350">
            <v>371.67</v>
          </cell>
          <cell r="N350">
            <v>-106.19</v>
          </cell>
          <cell r="O350">
            <v>333.34</v>
          </cell>
          <cell r="P350">
            <v>-137.26</v>
          </cell>
          <cell r="Q350">
            <v>1114.8399999999999</v>
          </cell>
        </row>
        <row r="351">
          <cell r="A351">
            <v>56086</v>
          </cell>
          <cell r="B351" t="str">
            <v>Safety and Training</v>
          </cell>
          <cell r="E351">
            <v>259.02</v>
          </cell>
          <cell r="F351">
            <v>48.7</v>
          </cell>
          <cell r="G351">
            <v>93.68</v>
          </cell>
          <cell r="H351">
            <v>64.45</v>
          </cell>
          <cell r="I351">
            <v>0</v>
          </cell>
          <cell r="J351">
            <v>194.76</v>
          </cell>
          <cell r="K351">
            <v>1077.77</v>
          </cell>
          <cell r="L351">
            <v>241.93</v>
          </cell>
          <cell r="M351">
            <v>798.35</v>
          </cell>
          <cell r="N351">
            <v>821.91</v>
          </cell>
          <cell r="O351">
            <v>200.16</v>
          </cell>
          <cell r="P351">
            <v>135.97999999999999</v>
          </cell>
          <cell r="Q351">
            <v>3936.7099999999996</v>
          </cell>
        </row>
        <row r="352">
          <cell r="A352">
            <v>56090</v>
          </cell>
          <cell r="B352" t="str">
            <v>Uniforms</v>
          </cell>
          <cell r="E352">
            <v>1795.66</v>
          </cell>
          <cell r="F352">
            <v>143.75</v>
          </cell>
          <cell r="G352">
            <v>1117.68</v>
          </cell>
          <cell r="H352">
            <v>663</v>
          </cell>
          <cell r="I352">
            <v>503.29</v>
          </cell>
          <cell r="J352">
            <v>889.18</v>
          </cell>
          <cell r="K352">
            <v>1081.28</v>
          </cell>
          <cell r="L352">
            <v>680.36</v>
          </cell>
          <cell r="M352">
            <v>906.86</v>
          </cell>
          <cell r="N352">
            <v>144.98000000000002</v>
          </cell>
          <cell r="O352">
            <v>1093.78</v>
          </cell>
          <cell r="P352">
            <v>477.8</v>
          </cell>
          <cell r="Q352">
            <v>9497.619999999999</v>
          </cell>
        </row>
        <row r="353">
          <cell r="A353">
            <v>56095</v>
          </cell>
          <cell r="B353" t="str">
            <v>Empl &amp; Commun Activ</v>
          </cell>
          <cell r="E353">
            <v>727.54</v>
          </cell>
          <cell r="F353">
            <v>-266.95</v>
          </cell>
          <cell r="G353">
            <v>0</v>
          </cell>
          <cell r="H353">
            <v>92.48</v>
          </cell>
          <cell r="I353">
            <v>485.76</v>
          </cell>
          <cell r="J353">
            <v>463.36</v>
          </cell>
          <cell r="K353">
            <v>0</v>
          </cell>
          <cell r="L353">
            <v>0</v>
          </cell>
          <cell r="M353">
            <v>293.06</v>
          </cell>
          <cell r="N353">
            <v>28.73</v>
          </cell>
          <cell r="O353">
            <v>-181.04</v>
          </cell>
          <cell r="P353">
            <v>0</v>
          </cell>
          <cell r="Q353">
            <v>1642.94</v>
          </cell>
        </row>
        <row r="354">
          <cell r="A354">
            <v>56105</v>
          </cell>
          <cell r="B354" t="str">
            <v>Employee Relocation</v>
          </cell>
          <cell r="E354">
            <v>0</v>
          </cell>
          <cell r="F354">
            <v>0</v>
          </cell>
          <cell r="G354">
            <v>0</v>
          </cell>
          <cell r="H354">
            <v>0</v>
          </cell>
          <cell r="I354">
            <v>0</v>
          </cell>
          <cell r="J354">
            <v>0</v>
          </cell>
          <cell r="K354">
            <v>0</v>
          </cell>
          <cell r="L354">
            <v>0</v>
          </cell>
          <cell r="M354">
            <v>0</v>
          </cell>
          <cell r="N354">
            <v>0</v>
          </cell>
          <cell r="O354">
            <v>0</v>
          </cell>
          <cell r="P354">
            <v>0</v>
          </cell>
          <cell r="Q354">
            <v>0</v>
          </cell>
        </row>
        <row r="355">
          <cell r="A355">
            <v>56108</v>
          </cell>
          <cell r="B355" t="str">
            <v>School Tuition</v>
          </cell>
          <cell r="E355">
            <v>0</v>
          </cell>
          <cell r="F355">
            <v>0</v>
          </cell>
          <cell r="G355">
            <v>0</v>
          </cell>
          <cell r="H355">
            <v>0</v>
          </cell>
          <cell r="I355">
            <v>0</v>
          </cell>
          <cell r="J355">
            <v>0</v>
          </cell>
          <cell r="K355">
            <v>0</v>
          </cell>
          <cell r="L355">
            <v>0</v>
          </cell>
          <cell r="M355">
            <v>0</v>
          </cell>
          <cell r="N355">
            <v>0</v>
          </cell>
          <cell r="O355">
            <v>0</v>
          </cell>
          <cell r="P355">
            <v>0</v>
          </cell>
          <cell r="Q355">
            <v>0</v>
          </cell>
        </row>
        <row r="356">
          <cell r="A356">
            <v>56115</v>
          </cell>
          <cell r="B356" t="str">
            <v>Pension and Profit Sharing</v>
          </cell>
          <cell r="E356">
            <v>226.28</v>
          </cell>
          <cell r="F356">
            <v>217.62</v>
          </cell>
          <cell r="G356">
            <v>333.09</v>
          </cell>
          <cell r="H356">
            <v>220.44</v>
          </cell>
          <cell r="I356">
            <v>189.47</v>
          </cell>
          <cell r="J356">
            <v>211.84</v>
          </cell>
          <cell r="K356">
            <v>270.73</v>
          </cell>
          <cell r="L356">
            <v>224.38</v>
          </cell>
          <cell r="M356">
            <v>228.09</v>
          </cell>
          <cell r="N356">
            <v>329.68</v>
          </cell>
          <cell r="O356">
            <v>224.86</v>
          </cell>
          <cell r="P356">
            <v>246.21</v>
          </cell>
          <cell r="Q356">
            <v>2922.69</v>
          </cell>
        </row>
        <row r="357">
          <cell r="A357">
            <v>56116</v>
          </cell>
          <cell r="B357" t="str">
            <v>Union Benefit Expense</v>
          </cell>
          <cell r="E357">
            <v>0</v>
          </cell>
          <cell r="F357">
            <v>0</v>
          </cell>
          <cell r="G357">
            <v>0</v>
          </cell>
          <cell r="H357">
            <v>0</v>
          </cell>
          <cell r="I357">
            <v>0</v>
          </cell>
          <cell r="J357">
            <v>0</v>
          </cell>
          <cell r="K357">
            <v>0</v>
          </cell>
          <cell r="L357">
            <v>0</v>
          </cell>
          <cell r="M357">
            <v>0</v>
          </cell>
          <cell r="N357">
            <v>0</v>
          </cell>
          <cell r="O357">
            <v>0</v>
          </cell>
          <cell r="P357">
            <v>0</v>
          </cell>
          <cell r="Q357">
            <v>0</v>
          </cell>
        </row>
        <row r="358">
          <cell r="A358">
            <v>56117</v>
          </cell>
          <cell r="B358" t="str">
            <v>Union Pension</v>
          </cell>
          <cell r="E358">
            <v>0</v>
          </cell>
          <cell r="F358">
            <v>0</v>
          </cell>
          <cell r="G358">
            <v>0</v>
          </cell>
          <cell r="H358">
            <v>0</v>
          </cell>
          <cell r="I358">
            <v>0</v>
          </cell>
          <cell r="J358">
            <v>0</v>
          </cell>
          <cell r="K358">
            <v>0</v>
          </cell>
          <cell r="L358">
            <v>0</v>
          </cell>
          <cell r="M358">
            <v>0</v>
          </cell>
          <cell r="N358">
            <v>0</v>
          </cell>
          <cell r="O358">
            <v>0</v>
          </cell>
          <cell r="P358">
            <v>0</v>
          </cell>
          <cell r="Q358">
            <v>0</v>
          </cell>
        </row>
        <row r="359">
          <cell r="A359">
            <v>56125</v>
          </cell>
          <cell r="B359" t="str">
            <v>Operating Supplies</v>
          </cell>
          <cell r="E359">
            <v>1415.21</v>
          </cell>
          <cell r="F359">
            <v>1483.02</v>
          </cell>
          <cell r="G359">
            <v>1740.94</v>
          </cell>
          <cell r="H359">
            <v>445.37</v>
          </cell>
          <cell r="I359">
            <v>804.72</v>
          </cell>
          <cell r="J359">
            <v>164.82</v>
          </cell>
          <cell r="K359">
            <v>658.52</v>
          </cell>
          <cell r="L359">
            <v>1100.71</v>
          </cell>
          <cell r="M359">
            <v>1250.03</v>
          </cell>
          <cell r="N359">
            <v>1674.36</v>
          </cell>
          <cell r="O359">
            <v>765.8</v>
          </cell>
          <cell r="P359">
            <v>382.82</v>
          </cell>
          <cell r="Q359">
            <v>11886.32</v>
          </cell>
        </row>
        <row r="360">
          <cell r="A360">
            <v>56140</v>
          </cell>
          <cell r="B360" t="str">
            <v>Tires</v>
          </cell>
          <cell r="E360">
            <v>0</v>
          </cell>
          <cell r="F360">
            <v>0</v>
          </cell>
          <cell r="G360">
            <v>0</v>
          </cell>
          <cell r="H360">
            <v>0</v>
          </cell>
          <cell r="I360">
            <v>0</v>
          </cell>
          <cell r="J360">
            <v>0</v>
          </cell>
          <cell r="K360">
            <v>0</v>
          </cell>
          <cell r="L360">
            <v>0</v>
          </cell>
          <cell r="M360">
            <v>0</v>
          </cell>
          <cell r="N360">
            <v>0</v>
          </cell>
          <cell r="O360">
            <v>0</v>
          </cell>
          <cell r="P360">
            <v>0</v>
          </cell>
          <cell r="Q360">
            <v>0</v>
          </cell>
        </row>
        <row r="361">
          <cell r="A361">
            <v>56142</v>
          </cell>
          <cell r="B361" t="str">
            <v>Fuel Expense</v>
          </cell>
          <cell r="E361">
            <v>0</v>
          </cell>
          <cell r="F361">
            <v>0</v>
          </cell>
          <cell r="G361">
            <v>0</v>
          </cell>
          <cell r="H361">
            <v>0</v>
          </cell>
          <cell r="I361">
            <v>0</v>
          </cell>
          <cell r="J361">
            <v>0</v>
          </cell>
          <cell r="K361">
            <v>0</v>
          </cell>
          <cell r="L361">
            <v>0</v>
          </cell>
          <cell r="M361">
            <v>0</v>
          </cell>
          <cell r="N361">
            <v>0</v>
          </cell>
          <cell r="O361">
            <v>0</v>
          </cell>
          <cell r="P361">
            <v>20</v>
          </cell>
          <cell r="Q361">
            <v>20</v>
          </cell>
        </row>
        <row r="362">
          <cell r="A362">
            <v>56148</v>
          </cell>
          <cell r="B362" t="str">
            <v>Allocated Exp In - District</v>
          </cell>
          <cell r="E362">
            <v>0</v>
          </cell>
          <cell r="F362">
            <v>0</v>
          </cell>
          <cell r="G362">
            <v>0</v>
          </cell>
          <cell r="H362">
            <v>0</v>
          </cell>
          <cell r="I362">
            <v>0</v>
          </cell>
          <cell r="J362">
            <v>0</v>
          </cell>
          <cell r="K362">
            <v>0</v>
          </cell>
          <cell r="L362">
            <v>0</v>
          </cell>
          <cell r="M362">
            <v>0</v>
          </cell>
          <cell r="N362">
            <v>0</v>
          </cell>
          <cell r="O362">
            <v>0</v>
          </cell>
          <cell r="P362">
            <v>0</v>
          </cell>
          <cell r="Q362">
            <v>0</v>
          </cell>
        </row>
        <row r="363">
          <cell r="A363">
            <v>56149</v>
          </cell>
          <cell r="B363" t="str">
            <v>Allocated Exp In Out - District</v>
          </cell>
          <cell r="E363">
            <v>0</v>
          </cell>
          <cell r="F363">
            <v>0</v>
          </cell>
          <cell r="G363">
            <v>0</v>
          </cell>
          <cell r="H363">
            <v>0</v>
          </cell>
          <cell r="I363">
            <v>0</v>
          </cell>
          <cell r="J363">
            <v>0</v>
          </cell>
          <cell r="K363">
            <v>0</v>
          </cell>
          <cell r="L363">
            <v>0</v>
          </cell>
          <cell r="M363">
            <v>0</v>
          </cell>
          <cell r="N363">
            <v>0</v>
          </cell>
          <cell r="O363">
            <v>0</v>
          </cell>
          <cell r="P363">
            <v>0</v>
          </cell>
          <cell r="Q363">
            <v>0</v>
          </cell>
        </row>
        <row r="364">
          <cell r="A364">
            <v>56165</v>
          </cell>
          <cell r="B364" t="str">
            <v>Communications</v>
          </cell>
          <cell r="E364">
            <v>4606.6000000000004</v>
          </cell>
          <cell r="F364">
            <v>4350.2299999999996</v>
          </cell>
          <cell r="G364">
            <v>4615.41</v>
          </cell>
          <cell r="H364">
            <v>1003.34</v>
          </cell>
          <cell r="I364">
            <v>7555.03</v>
          </cell>
          <cell r="J364">
            <v>4491</v>
          </cell>
          <cell r="K364">
            <v>4590.99</v>
          </cell>
          <cell r="L364">
            <v>470.11</v>
          </cell>
          <cell r="M364">
            <v>4254.96</v>
          </cell>
          <cell r="N364">
            <v>4208.18</v>
          </cell>
          <cell r="O364">
            <v>512.84</v>
          </cell>
          <cell r="P364">
            <v>4070.45</v>
          </cell>
          <cell r="Q364">
            <v>44729.139999999992</v>
          </cell>
        </row>
        <row r="365">
          <cell r="A365">
            <v>56200</v>
          </cell>
          <cell r="B365" t="str">
            <v>Travel</v>
          </cell>
          <cell r="E365">
            <v>0</v>
          </cell>
          <cell r="F365">
            <v>69</v>
          </cell>
          <cell r="G365">
            <v>98.25</v>
          </cell>
          <cell r="H365">
            <v>52.88</v>
          </cell>
          <cell r="I365">
            <v>0</v>
          </cell>
          <cell r="J365">
            <v>0</v>
          </cell>
          <cell r="K365">
            <v>0</v>
          </cell>
          <cell r="L365">
            <v>0</v>
          </cell>
          <cell r="M365">
            <v>0</v>
          </cell>
          <cell r="N365">
            <v>5.62</v>
          </cell>
          <cell r="O365">
            <v>0</v>
          </cell>
          <cell r="P365">
            <v>0</v>
          </cell>
          <cell r="Q365">
            <v>225.75</v>
          </cell>
        </row>
        <row r="366">
          <cell r="A366">
            <v>56201</v>
          </cell>
          <cell r="B366" t="str">
            <v>Meal and Entertainment</v>
          </cell>
          <cell r="E366">
            <v>0</v>
          </cell>
          <cell r="F366">
            <v>0</v>
          </cell>
          <cell r="G366">
            <v>0</v>
          </cell>
          <cell r="H366">
            <v>0</v>
          </cell>
          <cell r="I366">
            <v>0</v>
          </cell>
          <cell r="J366">
            <v>103.1</v>
          </cell>
          <cell r="K366">
            <v>0</v>
          </cell>
          <cell r="L366">
            <v>0</v>
          </cell>
          <cell r="M366">
            <v>0</v>
          </cell>
          <cell r="N366">
            <v>44.52</v>
          </cell>
          <cell r="O366">
            <v>90.55</v>
          </cell>
          <cell r="P366">
            <v>110.62</v>
          </cell>
          <cell r="Q366">
            <v>348.79</v>
          </cell>
        </row>
        <row r="367">
          <cell r="A367">
            <v>56210</v>
          </cell>
          <cell r="B367" t="str">
            <v>Office Supply and Equip</v>
          </cell>
          <cell r="E367">
            <v>907.9</v>
          </cell>
          <cell r="F367">
            <v>1266.8599999999999</v>
          </cell>
          <cell r="G367">
            <v>1175.05</v>
          </cell>
          <cell r="H367">
            <v>2018.74</v>
          </cell>
          <cell r="I367">
            <v>1340.75</v>
          </cell>
          <cell r="J367">
            <v>1056.72</v>
          </cell>
          <cell r="K367">
            <v>1348.09</v>
          </cell>
          <cell r="L367">
            <v>2224.39</v>
          </cell>
          <cell r="M367">
            <v>1094.46</v>
          </cell>
          <cell r="N367">
            <v>1045.8699999999999</v>
          </cell>
          <cell r="O367">
            <v>1613.32</v>
          </cell>
          <cell r="P367">
            <v>1365.17</v>
          </cell>
          <cell r="Q367">
            <v>16457.32</v>
          </cell>
        </row>
        <row r="368">
          <cell r="A368">
            <v>56335</v>
          </cell>
          <cell r="B368" t="str">
            <v>Miscellaneous</v>
          </cell>
          <cell r="E368">
            <v>0</v>
          </cell>
          <cell r="F368">
            <v>0</v>
          </cell>
          <cell r="G368">
            <v>0</v>
          </cell>
          <cell r="H368">
            <v>0</v>
          </cell>
          <cell r="I368">
            <v>0</v>
          </cell>
          <cell r="J368">
            <v>0</v>
          </cell>
          <cell r="K368">
            <v>0</v>
          </cell>
          <cell r="L368">
            <v>0</v>
          </cell>
          <cell r="M368">
            <v>0</v>
          </cell>
          <cell r="N368">
            <v>0</v>
          </cell>
          <cell r="O368">
            <v>0</v>
          </cell>
          <cell r="P368">
            <v>0</v>
          </cell>
          <cell r="Q368">
            <v>0</v>
          </cell>
        </row>
        <row r="369">
          <cell r="A369">
            <v>56998</v>
          </cell>
          <cell r="B369" t="str">
            <v>Allocation Out - District</v>
          </cell>
          <cell r="E369">
            <v>0</v>
          </cell>
          <cell r="F369">
            <v>0</v>
          </cell>
          <cell r="G369">
            <v>0</v>
          </cell>
          <cell r="H369">
            <v>0</v>
          </cell>
          <cell r="I369">
            <v>0</v>
          </cell>
          <cell r="J369">
            <v>0</v>
          </cell>
          <cell r="K369">
            <v>0</v>
          </cell>
          <cell r="L369">
            <v>0</v>
          </cell>
          <cell r="M369">
            <v>0</v>
          </cell>
          <cell r="N369">
            <v>0</v>
          </cell>
          <cell r="O369">
            <v>0</v>
          </cell>
          <cell r="P369">
            <v>0</v>
          </cell>
          <cell r="Q369">
            <v>0</v>
          </cell>
        </row>
        <row r="370">
          <cell r="A370">
            <v>56999</v>
          </cell>
          <cell r="B370" t="str">
            <v>Allocation Out - Out District</v>
          </cell>
          <cell r="E370">
            <v>0</v>
          </cell>
          <cell r="F370">
            <v>0</v>
          </cell>
          <cell r="G370">
            <v>0</v>
          </cell>
          <cell r="H370">
            <v>0</v>
          </cell>
          <cell r="I370">
            <v>0</v>
          </cell>
          <cell r="J370">
            <v>0</v>
          </cell>
          <cell r="K370">
            <v>0</v>
          </cell>
          <cell r="L370">
            <v>0</v>
          </cell>
          <cell r="M370">
            <v>0</v>
          </cell>
          <cell r="N370">
            <v>0</v>
          </cell>
          <cell r="O370">
            <v>0</v>
          </cell>
          <cell r="P370">
            <v>0</v>
          </cell>
          <cell r="Q370">
            <v>0</v>
          </cell>
        </row>
        <row r="371">
          <cell r="A371" t="str">
            <v>Total Supervisor</v>
          </cell>
          <cell r="E371">
            <v>26562.799999999996</v>
          </cell>
          <cell r="F371">
            <v>23501.42</v>
          </cell>
          <cell r="G371">
            <v>27636.67</v>
          </cell>
          <cell r="H371">
            <v>22714.119999999995</v>
          </cell>
          <cell r="I371">
            <v>32513.34</v>
          </cell>
          <cell r="J371">
            <v>23855.37</v>
          </cell>
          <cell r="K371">
            <v>28433.989999999994</v>
          </cell>
          <cell r="L371">
            <v>22041.739999999998</v>
          </cell>
          <cell r="M371">
            <v>25858.779999999995</v>
          </cell>
          <cell r="N371">
            <v>25971.11</v>
          </cell>
          <cell r="O371">
            <v>22681.739999999998</v>
          </cell>
          <cell r="P371">
            <v>24752.86</v>
          </cell>
          <cell r="Q371">
            <v>306523.94</v>
          </cell>
        </row>
        <row r="373">
          <cell r="A373" t="str">
            <v>Other Operating Expense</v>
          </cell>
        </row>
        <row r="374">
          <cell r="A374">
            <v>46020</v>
          </cell>
          <cell r="B374" t="str">
            <v>Post Closure Amortization</v>
          </cell>
          <cell r="E374">
            <v>0</v>
          </cell>
          <cell r="F374">
            <v>0</v>
          </cell>
          <cell r="G374">
            <v>0</v>
          </cell>
          <cell r="H374">
            <v>0</v>
          </cell>
          <cell r="I374">
            <v>0</v>
          </cell>
          <cell r="J374">
            <v>0</v>
          </cell>
          <cell r="K374">
            <v>0</v>
          </cell>
          <cell r="L374">
            <v>0</v>
          </cell>
          <cell r="M374">
            <v>0</v>
          </cell>
          <cell r="N374">
            <v>0</v>
          </cell>
          <cell r="O374">
            <v>0</v>
          </cell>
          <cell r="P374">
            <v>0</v>
          </cell>
          <cell r="Q374">
            <v>0</v>
          </cell>
        </row>
        <row r="375">
          <cell r="A375">
            <v>57051</v>
          </cell>
          <cell r="B375" t="str">
            <v>AA Premiums</v>
          </cell>
          <cell r="E375">
            <v>0</v>
          </cell>
          <cell r="F375">
            <v>0</v>
          </cell>
          <cell r="G375">
            <v>0</v>
          </cell>
          <cell r="H375">
            <v>0</v>
          </cell>
          <cell r="I375">
            <v>0</v>
          </cell>
          <cell r="J375">
            <v>0</v>
          </cell>
          <cell r="K375">
            <v>0</v>
          </cell>
          <cell r="L375">
            <v>0</v>
          </cell>
          <cell r="M375">
            <v>0</v>
          </cell>
          <cell r="N375">
            <v>0</v>
          </cell>
          <cell r="O375">
            <v>0</v>
          </cell>
          <cell r="P375">
            <v>0</v>
          </cell>
          <cell r="Q375">
            <v>0</v>
          </cell>
        </row>
        <row r="376">
          <cell r="A376">
            <v>57125</v>
          </cell>
          <cell r="B376" t="str">
            <v>Operating Supplies</v>
          </cell>
          <cell r="E376">
            <v>0</v>
          </cell>
          <cell r="F376">
            <v>0</v>
          </cell>
          <cell r="G376">
            <v>0</v>
          </cell>
          <cell r="H376">
            <v>427.66</v>
          </cell>
          <cell r="I376">
            <v>0</v>
          </cell>
          <cell r="J376">
            <v>0</v>
          </cell>
          <cell r="K376">
            <v>0</v>
          </cell>
          <cell r="L376">
            <v>0</v>
          </cell>
          <cell r="M376">
            <v>0</v>
          </cell>
          <cell r="N376">
            <v>224.45</v>
          </cell>
          <cell r="O376">
            <v>3002.92</v>
          </cell>
          <cell r="P376">
            <v>0</v>
          </cell>
          <cell r="Q376">
            <v>3655.03</v>
          </cell>
        </row>
        <row r="377">
          <cell r="A377">
            <v>57147</v>
          </cell>
          <cell r="B377" t="str">
            <v>Bldg &amp; Property</v>
          </cell>
          <cell r="E377">
            <v>8063.84</v>
          </cell>
          <cell r="F377">
            <v>8169.88</v>
          </cell>
          <cell r="G377">
            <v>6041.82</v>
          </cell>
          <cell r="H377">
            <v>6588.54</v>
          </cell>
          <cell r="I377">
            <v>4365.71</v>
          </cell>
          <cell r="J377">
            <v>4713.99</v>
          </cell>
          <cell r="K377">
            <v>10806.84</v>
          </cell>
          <cell r="L377">
            <v>9251.0400000000009</v>
          </cell>
          <cell r="M377">
            <v>6193.48</v>
          </cell>
          <cell r="N377">
            <v>8759.64</v>
          </cell>
          <cell r="O377">
            <v>5195.24</v>
          </cell>
          <cell r="P377">
            <v>16632.82</v>
          </cell>
          <cell r="Q377">
            <v>94782.84</v>
          </cell>
        </row>
        <row r="378">
          <cell r="A378">
            <v>57148</v>
          </cell>
          <cell r="B378" t="str">
            <v>Allocated In - District</v>
          </cell>
          <cell r="E378">
            <v>0</v>
          </cell>
          <cell r="F378">
            <v>0</v>
          </cell>
          <cell r="G378">
            <v>0</v>
          </cell>
          <cell r="H378">
            <v>0</v>
          </cell>
          <cell r="I378">
            <v>0</v>
          </cell>
          <cell r="J378">
            <v>0</v>
          </cell>
          <cell r="K378">
            <v>0</v>
          </cell>
          <cell r="L378">
            <v>0</v>
          </cell>
          <cell r="M378">
            <v>0</v>
          </cell>
          <cell r="N378">
            <v>0</v>
          </cell>
          <cell r="O378">
            <v>0</v>
          </cell>
          <cell r="P378">
            <v>0</v>
          </cell>
          <cell r="Q378">
            <v>0</v>
          </cell>
        </row>
        <row r="379">
          <cell r="A379">
            <v>57149</v>
          </cell>
          <cell r="B379" t="str">
            <v>Allocated In - Out District</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v>57150</v>
          </cell>
          <cell r="B380" t="str">
            <v>Utilities</v>
          </cell>
          <cell r="E380">
            <v>1384.3</v>
          </cell>
          <cell r="F380">
            <v>289.72000000000003</v>
          </cell>
          <cell r="G380">
            <v>352.8</v>
          </cell>
          <cell r="H380">
            <v>250.3</v>
          </cell>
          <cell r="I380">
            <v>272.69</v>
          </cell>
          <cell r="J380">
            <v>171.46</v>
          </cell>
          <cell r="K380">
            <v>268.27</v>
          </cell>
          <cell r="L380">
            <v>157.77000000000001</v>
          </cell>
          <cell r="M380">
            <v>921.26</v>
          </cell>
          <cell r="N380">
            <v>178.68</v>
          </cell>
          <cell r="O380">
            <v>1625.08</v>
          </cell>
          <cell r="P380">
            <v>312.62</v>
          </cell>
          <cell r="Q380">
            <v>6184.95</v>
          </cell>
        </row>
        <row r="381">
          <cell r="A381">
            <v>57165</v>
          </cell>
          <cell r="B381" t="str">
            <v>Communications</v>
          </cell>
          <cell r="E381">
            <v>0</v>
          </cell>
          <cell r="F381">
            <v>0</v>
          </cell>
          <cell r="G381">
            <v>0</v>
          </cell>
          <cell r="H381">
            <v>0</v>
          </cell>
          <cell r="I381">
            <v>0</v>
          </cell>
          <cell r="J381">
            <v>0</v>
          </cell>
          <cell r="K381">
            <v>0</v>
          </cell>
          <cell r="L381">
            <v>0</v>
          </cell>
          <cell r="M381">
            <v>0</v>
          </cell>
          <cell r="N381">
            <v>0</v>
          </cell>
          <cell r="O381">
            <v>0</v>
          </cell>
          <cell r="P381">
            <v>0</v>
          </cell>
          <cell r="Q381">
            <v>0</v>
          </cell>
        </row>
        <row r="382">
          <cell r="A382">
            <v>57166</v>
          </cell>
          <cell r="B382" t="str">
            <v>Leachate Treatment</v>
          </cell>
          <cell r="E382">
            <v>0</v>
          </cell>
          <cell r="F382">
            <v>0</v>
          </cell>
          <cell r="G382">
            <v>0</v>
          </cell>
          <cell r="H382">
            <v>0</v>
          </cell>
          <cell r="I382">
            <v>0</v>
          </cell>
          <cell r="J382">
            <v>0</v>
          </cell>
          <cell r="K382">
            <v>0</v>
          </cell>
          <cell r="L382">
            <v>0</v>
          </cell>
          <cell r="M382">
            <v>0</v>
          </cell>
          <cell r="N382">
            <v>0</v>
          </cell>
          <cell r="O382">
            <v>0</v>
          </cell>
          <cell r="P382">
            <v>0</v>
          </cell>
          <cell r="Q382">
            <v>0</v>
          </cell>
        </row>
        <row r="383">
          <cell r="A383">
            <v>57170</v>
          </cell>
          <cell r="B383" t="str">
            <v>Real Estate Rentals</v>
          </cell>
          <cell r="E383">
            <v>17643.07</v>
          </cell>
          <cell r="F383">
            <v>17035.48</v>
          </cell>
          <cell r="G383">
            <v>17673.07</v>
          </cell>
          <cell r="H383">
            <v>17402.849999999999</v>
          </cell>
          <cell r="I383">
            <v>17402.849999999999</v>
          </cell>
          <cell r="J383">
            <v>17402.849999999999</v>
          </cell>
          <cell r="K383">
            <v>17402.849999999999</v>
          </cell>
          <cell r="L383">
            <v>17402.849999999999</v>
          </cell>
          <cell r="M383">
            <v>18791.8</v>
          </cell>
          <cell r="N383">
            <v>17402.849999999999</v>
          </cell>
          <cell r="O383">
            <v>18791.8</v>
          </cell>
          <cell r="P383">
            <v>2852.62</v>
          </cell>
          <cell r="Q383">
            <v>197204.94</v>
          </cell>
        </row>
        <row r="384">
          <cell r="A384">
            <v>57175</v>
          </cell>
          <cell r="B384" t="str">
            <v>Equipment Vehicle Rental</v>
          </cell>
          <cell r="E384">
            <v>328.66</v>
          </cell>
          <cell r="F384">
            <v>0</v>
          </cell>
          <cell r="G384">
            <v>0</v>
          </cell>
          <cell r="H384">
            <v>0</v>
          </cell>
          <cell r="I384">
            <v>0</v>
          </cell>
          <cell r="J384">
            <v>0</v>
          </cell>
          <cell r="K384">
            <v>0</v>
          </cell>
          <cell r="L384">
            <v>0</v>
          </cell>
          <cell r="M384">
            <v>0</v>
          </cell>
          <cell r="N384">
            <v>0</v>
          </cell>
          <cell r="O384">
            <v>2091.2399999999998</v>
          </cell>
          <cell r="P384">
            <v>397.36</v>
          </cell>
          <cell r="Q384">
            <v>2817.2599999999998</v>
          </cell>
        </row>
        <row r="385">
          <cell r="A385">
            <v>57185</v>
          </cell>
          <cell r="B385" t="str">
            <v>Postage</v>
          </cell>
          <cell r="E385">
            <v>0</v>
          </cell>
          <cell r="F385">
            <v>0</v>
          </cell>
          <cell r="G385">
            <v>0</v>
          </cell>
          <cell r="H385">
            <v>0</v>
          </cell>
          <cell r="I385">
            <v>0</v>
          </cell>
          <cell r="J385">
            <v>0</v>
          </cell>
          <cell r="K385">
            <v>0</v>
          </cell>
          <cell r="L385">
            <v>0</v>
          </cell>
          <cell r="M385">
            <v>0</v>
          </cell>
          <cell r="N385">
            <v>0</v>
          </cell>
          <cell r="O385">
            <v>0</v>
          </cell>
          <cell r="P385">
            <v>0</v>
          </cell>
          <cell r="Q385">
            <v>0</v>
          </cell>
        </row>
        <row r="386">
          <cell r="A386">
            <v>57252</v>
          </cell>
          <cell r="B386" t="str">
            <v>Subcontract Expense</v>
          </cell>
          <cell r="E386">
            <v>0</v>
          </cell>
          <cell r="F386">
            <v>0</v>
          </cell>
          <cell r="G386">
            <v>0</v>
          </cell>
          <cell r="H386">
            <v>0</v>
          </cell>
          <cell r="I386">
            <v>0</v>
          </cell>
          <cell r="J386">
            <v>0</v>
          </cell>
          <cell r="K386">
            <v>0</v>
          </cell>
          <cell r="L386">
            <v>0</v>
          </cell>
          <cell r="M386">
            <v>0</v>
          </cell>
          <cell r="N386">
            <v>0</v>
          </cell>
          <cell r="O386">
            <v>0</v>
          </cell>
          <cell r="P386">
            <v>0</v>
          </cell>
          <cell r="Q386">
            <v>0</v>
          </cell>
        </row>
        <row r="387">
          <cell r="A387">
            <v>57254</v>
          </cell>
          <cell r="B387" t="str">
            <v>Drive Cam Fees</v>
          </cell>
          <cell r="E387">
            <v>5737.5</v>
          </cell>
          <cell r="F387">
            <v>5737.5</v>
          </cell>
          <cell r="G387">
            <v>5737.5</v>
          </cell>
          <cell r="H387">
            <v>5737.5</v>
          </cell>
          <cell r="I387">
            <v>3780</v>
          </cell>
          <cell r="J387">
            <v>3780</v>
          </cell>
          <cell r="K387">
            <v>3780</v>
          </cell>
          <cell r="L387">
            <v>3780</v>
          </cell>
          <cell r="M387">
            <v>3780</v>
          </cell>
          <cell r="N387">
            <v>3780</v>
          </cell>
          <cell r="O387">
            <v>3780</v>
          </cell>
          <cell r="P387">
            <v>3780</v>
          </cell>
          <cell r="Q387">
            <v>53190</v>
          </cell>
        </row>
        <row r="388">
          <cell r="A388">
            <v>57255</v>
          </cell>
          <cell r="B388" t="str">
            <v>Other Prof Fees</v>
          </cell>
          <cell r="E388">
            <v>0</v>
          </cell>
          <cell r="F388">
            <v>0</v>
          </cell>
          <cell r="G388">
            <v>13.5</v>
          </cell>
          <cell r="H388">
            <v>13.5</v>
          </cell>
          <cell r="I388">
            <v>13.5</v>
          </cell>
          <cell r="J388">
            <v>13.5</v>
          </cell>
          <cell r="K388">
            <v>0</v>
          </cell>
          <cell r="L388">
            <v>13.5</v>
          </cell>
          <cell r="M388">
            <v>13.5</v>
          </cell>
          <cell r="N388">
            <v>13.5</v>
          </cell>
          <cell r="O388">
            <v>13.5</v>
          </cell>
          <cell r="P388">
            <v>0</v>
          </cell>
          <cell r="Q388">
            <v>108</v>
          </cell>
        </row>
        <row r="389">
          <cell r="A389">
            <v>57256</v>
          </cell>
          <cell r="B389" t="str">
            <v>Laboratory Fees</v>
          </cell>
          <cell r="E389">
            <v>0</v>
          </cell>
          <cell r="F389">
            <v>0</v>
          </cell>
          <cell r="G389">
            <v>0</v>
          </cell>
          <cell r="H389">
            <v>0</v>
          </cell>
          <cell r="I389">
            <v>0</v>
          </cell>
          <cell r="J389">
            <v>0</v>
          </cell>
          <cell r="K389">
            <v>0</v>
          </cell>
          <cell r="L389">
            <v>0</v>
          </cell>
          <cell r="M389">
            <v>0</v>
          </cell>
          <cell r="N389">
            <v>0</v>
          </cell>
          <cell r="O389">
            <v>0</v>
          </cell>
          <cell r="P389">
            <v>0</v>
          </cell>
          <cell r="Q389">
            <v>0</v>
          </cell>
        </row>
        <row r="390">
          <cell r="A390">
            <v>57257</v>
          </cell>
          <cell r="B390" t="str">
            <v>Engineering Fees</v>
          </cell>
          <cell r="E390">
            <v>0</v>
          </cell>
          <cell r="F390">
            <v>0</v>
          </cell>
          <cell r="G390">
            <v>0</v>
          </cell>
          <cell r="H390">
            <v>0</v>
          </cell>
          <cell r="I390">
            <v>0</v>
          </cell>
          <cell r="J390">
            <v>54300.08</v>
          </cell>
          <cell r="K390">
            <v>3763.13</v>
          </cell>
          <cell r="L390">
            <v>4344.38</v>
          </cell>
          <cell r="M390">
            <v>0</v>
          </cell>
          <cell r="N390">
            <v>0</v>
          </cell>
          <cell r="O390">
            <v>0</v>
          </cell>
          <cell r="P390">
            <v>0</v>
          </cell>
          <cell r="Q390">
            <v>62407.59</v>
          </cell>
        </row>
        <row r="391">
          <cell r="A391">
            <v>57275</v>
          </cell>
          <cell r="B391" t="str">
            <v>Property Taxes</v>
          </cell>
          <cell r="E391">
            <v>648.66999999999996</v>
          </cell>
          <cell r="F391">
            <v>748.26</v>
          </cell>
          <cell r="G391">
            <v>748.26</v>
          </cell>
          <cell r="H391">
            <v>931.59</v>
          </cell>
          <cell r="I391">
            <v>931.59</v>
          </cell>
          <cell r="J391">
            <v>931.61</v>
          </cell>
          <cell r="K391">
            <v>676.33</v>
          </cell>
          <cell r="L391">
            <v>676.33</v>
          </cell>
          <cell r="M391">
            <v>676.33</v>
          </cell>
          <cell r="N391">
            <v>676.33</v>
          </cell>
          <cell r="O391">
            <v>676.33</v>
          </cell>
          <cell r="P391">
            <v>676.33</v>
          </cell>
          <cell r="Q391">
            <v>8997.9599999999991</v>
          </cell>
        </row>
        <row r="392">
          <cell r="A392">
            <v>57280</v>
          </cell>
          <cell r="B392" t="str">
            <v>Other Taxes</v>
          </cell>
          <cell r="E392">
            <v>0</v>
          </cell>
          <cell r="F392">
            <v>0</v>
          </cell>
          <cell r="G392">
            <v>0</v>
          </cell>
          <cell r="H392">
            <v>0</v>
          </cell>
          <cell r="I392">
            <v>0</v>
          </cell>
          <cell r="J392">
            <v>0</v>
          </cell>
          <cell r="K392">
            <v>0</v>
          </cell>
          <cell r="L392">
            <v>0</v>
          </cell>
          <cell r="M392">
            <v>0</v>
          </cell>
          <cell r="N392">
            <v>0</v>
          </cell>
          <cell r="O392">
            <v>0</v>
          </cell>
          <cell r="P392">
            <v>0</v>
          </cell>
          <cell r="Q392">
            <v>0</v>
          </cell>
        </row>
        <row r="393">
          <cell r="A393">
            <v>57324</v>
          </cell>
          <cell r="B393" t="str">
            <v>Penalties and Violations</v>
          </cell>
          <cell r="E393">
            <v>0</v>
          </cell>
          <cell r="F393">
            <v>0</v>
          </cell>
          <cell r="G393">
            <v>0</v>
          </cell>
          <cell r="H393">
            <v>0</v>
          </cell>
          <cell r="I393">
            <v>0</v>
          </cell>
          <cell r="J393">
            <v>0</v>
          </cell>
          <cell r="K393">
            <v>0</v>
          </cell>
          <cell r="L393">
            <v>0</v>
          </cell>
          <cell r="M393">
            <v>0</v>
          </cell>
          <cell r="N393">
            <v>266.95</v>
          </cell>
          <cell r="O393">
            <v>266.95</v>
          </cell>
          <cell r="P393">
            <v>0</v>
          </cell>
          <cell r="Q393">
            <v>533.9</v>
          </cell>
        </row>
        <row r="394">
          <cell r="A394">
            <v>57335</v>
          </cell>
          <cell r="B394" t="str">
            <v>Miscellaneous</v>
          </cell>
          <cell r="E394">
            <v>0</v>
          </cell>
          <cell r="F394">
            <v>0</v>
          </cell>
          <cell r="G394">
            <v>0</v>
          </cell>
          <cell r="H394">
            <v>0</v>
          </cell>
          <cell r="I394">
            <v>0</v>
          </cell>
          <cell r="J394">
            <v>-33322.47</v>
          </cell>
          <cell r="K394">
            <v>33322.47</v>
          </cell>
          <cell r="L394">
            <v>0</v>
          </cell>
          <cell r="M394">
            <v>0</v>
          </cell>
          <cell r="N394">
            <v>0</v>
          </cell>
          <cell r="O394">
            <v>0</v>
          </cell>
          <cell r="P394">
            <v>0</v>
          </cell>
          <cell r="Q394">
            <v>0</v>
          </cell>
        </row>
        <row r="395">
          <cell r="A395">
            <v>57345</v>
          </cell>
          <cell r="B395" t="str">
            <v>Secruity Services</v>
          </cell>
          <cell r="E395">
            <v>187.5</v>
          </cell>
          <cell r="F395">
            <v>187.5</v>
          </cell>
          <cell r="G395">
            <v>187.5</v>
          </cell>
          <cell r="H395">
            <v>187.5</v>
          </cell>
          <cell r="I395">
            <v>187.5</v>
          </cell>
          <cell r="J395">
            <v>187.5</v>
          </cell>
          <cell r="K395">
            <v>187.5</v>
          </cell>
          <cell r="L395">
            <v>187.5</v>
          </cell>
          <cell r="M395">
            <v>187.5</v>
          </cell>
          <cell r="N395">
            <v>187.5</v>
          </cell>
          <cell r="O395">
            <v>187.5</v>
          </cell>
          <cell r="P395">
            <v>250</v>
          </cell>
          <cell r="Q395">
            <v>2312.5</v>
          </cell>
        </row>
        <row r="396">
          <cell r="A396">
            <v>57353</v>
          </cell>
          <cell r="B396" t="str">
            <v>Monitoring and Maint</v>
          </cell>
          <cell r="E396">
            <v>0</v>
          </cell>
          <cell r="F396">
            <v>0</v>
          </cell>
          <cell r="G396">
            <v>0</v>
          </cell>
          <cell r="H396">
            <v>0</v>
          </cell>
          <cell r="I396">
            <v>0</v>
          </cell>
          <cell r="J396">
            <v>0</v>
          </cell>
          <cell r="K396">
            <v>0</v>
          </cell>
          <cell r="L396">
            <v>0</v>
          </cell>
          <cell r="M396">
            <v>0</v>
          </cell>
          <cell r="N396">
            <v>0</v>
          </cell>
          <cell r="O396">
            <v>0</v>
          </cell>
          <cell r="P396">
            <v>0</v>
          </cell>
          <cell r="Q396">
            <v>0</v>
          </cell>
        </row>
        <row r="397">
          <cell r="A397">
            <v>57356</v>
          </cell>
          <cell r="B397" t="str">
            <v>Cover Cost</v>
          </cell>
          <cell r="E397">
            <v>0</v>
          </cell>
          <cell r="F397">
            <v>0</v>
          </cell>
          <cell r="G397">
            <v>0</v>
          </cell>
          <cell r="H397">
            <v>0</v>
          </cell>
          <cell r="I397">
            <v>0</v>
          </cell>
          <cell r="J397">
            <v>0</v>
          </cell>
          <cell r="K397">
            <v>0</v>
          </cell>
          <cell r="L397">
            <v>0</v>
          </cell>
          <cell r="M397">
            <v>0</v>
          </cell>
          <cell r="N397">
            <v>0</v>
          </cell>
          <cell r="O397">
            <v>0</v>
          </cell>
          <cell r="P397">
            <v>0</v>
          </cell>
          <cell r="Q397">
            <v>0</v>
          </cell>
        </row>
        <row r="398">
          <cell r="A398">
            <v>57357</v>
          </cell>
          <cell r="B398" t="str">
            <v>Permits</v>
          </cell>
          <cell r="E398">
            <v>65</v>
          </cell>
          <cell r="F398">
            <v>0</v>
          </cell>
          <cell r="G398">
            <v>132.5</v>
          </cell>
          <cell r="H398">
            <v>0</v>
          </cell>
          <cell r="I398">
            <v>0</v>
          </cell>
          <cell r="J398">
            <v>132.5</v>
          </cell>
          <cell r="K398">
            <v>0</v>
          </cell>
          <cell r="L398">
            <v>0</v>
          </cell>
          <cell r="M398">
            <v>132.5</v>
          </cell>
          <cell r="N398">
            <v>1975</v>
          </cell>
          <cell r="O398">
            <v>0</v>
          </cell>
          <cell r="P398">
            <v>132.5</v>
          </cell>
          <cell r="Q398">
            <v>2570</v>
          </cell>
        </row>
        <row r="399">
          <cell r="A399">
            <v>57360</v>
          </cell>
          <cell r="B399" t="str">
            <v>Royalties</v>
          </cell>
          <cell r="E399">
            <v>0</v>
          </cell>
          <cell r="F399">
            <v>0</v>
          </cell>
          <cell r="G399">
            <v>0</v>
          </cell>
          <cell r="H399">
            <v>0</v>
          </cell>
          <cell r="I399">
            <v>0</v>
          </cell>
          <cell r="J399">
            <v>0</v>
          </cell>
          <cell r="K399">
            <v>0</v>
          </cell>
          <cell r="L399">
            <v>0</v>
          </cell>
          <cell r="M399">
            <v>0</v>
          </cell>
          <cell r="N399">
            <v>0</v>
          </cell>
          <cell r="O399">
            <v>0</v>
          </cell>
          <cell r="P399">
            <v>0</v>
          </cell>
          <cell r="Q399">
            <v>0</v>
          </cell>
        </row>
        <row r="400">
          <cell r="A400">
            <v>57370</v>
          </cell>
          <cell r="B400" t="str">
            <v>Bonds Expense</v>
          </cell>
          <cell r="E400">
            <v>4619.28</v>
          </cell>
          <cell r="F400">
            <v>6292.28</v>
          </cell>
          <cell r="G400">
            <v>6547.28</v>
          </cell>
          <cell r="H400">
            <v>5761.53</v>
          </cell>
          <cell r="I400">
            <v>5761.53</v>
          </cell>
          <cell r="J400">
            <v>5761.53</v>
          </cell>
          <cell r="K400">
            <v>5761.49</v>
          </cell>
          <cell r="L400">
            <v>5761.53</v>
          </cell>
          <cell r="M400">
            <v>5761.53</v>
          </cell>
          <cell r="N400">
            <v>5761.53</v>
          </cell>
          <cell r="O400">
            <v>6186.53</v>
          </cell>
          <cell r="P400">
            <v>4741.53</v>
          </cell>
          <cell r="Q400">
            <v>68717.569999999992</v>
          </cell>
        </row>
        <row r="401">
          <cell r="A401">
            <v>57900</v>
          </cell>
          <cell r="B401" t="str">
            <v>Capitalized Costs</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v>57998</v>
          </cell>
          <cell r="B402" t="str">
            <v>Allocation Out - District</v>
          </cell>
          <cell r="E402">
            <v>0</v>
          </cell>
          <cell r="F402">
            <v>0</v>
          </cell>
          <cell r="G402">
            <v>0</v>
          </cell>
          <cell r="H402">
            <v>0</v>
          </cell>
          <cell r="I402">
            <v>0</v>
          </cell>
          <cell r="J402">
            <v>0</v>
          </cell>
          <cell r="K402">
            <v>0</v>
          </cell>
          <cell r="L402">
            <v>0</v>
          </cell>
          <cell r="M402">
            <v>0</v>
          </cell>
          <cell r="N402">
            <v>0</v>
          </cell>
          <cell r="O402">
            <v>0</v>
          </cell>
          <cell r="P402">
            <v>0</v>
          </cell>
          <cell r="Q402">
            <v>0</v>
          </cell>
        </row>
        <row r="403">
          <cell r="A403">
            <v>57999</v>
          </cell>
          <cell r="B403" t="str">
            <v>Allocation Out - Out District</v>
          </cell>
          <cell r="E403">
            <v>0</v>
          </cell>
          <cell r="F403">
            <v>0</v>
          </cell>
          <cell r="G403">
            <v>0</v>
          </cell>
          <cell r="H403">
            <v>0</v>
          </cell>
          <cell r="I403">
            <v>0</v>
          </cell>
          <cell r="J403">
            <v>0</v>
          </cell>
          <cell r="K403">
            <v>0</v>
          </cell>
          <cell r="L403">
            <v>0</v>
          </cell>
          <cell r="M403">
            <v>0</v>
          </cell>
          <cell r="N403">
            <v>0</v>
          </cell>
          <cell r="O403">
            <v>0</v>
          </cell>
          <cell r="P403">
            <v>0</v>
          </cell>
          <cell r="Q403">
            <v>0</v>
          </cell>
        </row>
        <row r="404">
          <cell r="A404">
            <v>70265</v>
          </cell>
          <cell r="B404" t="str">
            <v>Amortization of Long Term Contracts</v>
          </cell>
          <cell r="E404">
            <v>0</v>
          </cell>
          <cell r="F404">
            <v>0</v>
          </cell>
          <cell r="G404">
            <v>0</v>
          </cell>
          <cell r="H404">
            <v>0</v>
          </cell>
          <cell r="I404">
            <v>0</v>
          </cell>
          <cell r="J404">
            <v>0</v>
          </cell>
          <cell r="K404">
            <v>0</v>
          </cell>
          <cell r="L404">
            <v>0</v>
          </cell>
          <cell r="M404">
            <v>0</v>
          </cell>
          <cell r="N404">
            <v>0</v>
          </cell>
          <cell r="O404">
            <v>0</v>
          </cell>
          <cell r="P404">
            <v>0</v>
          </cell>
          <cell r="Q404">
            <v>0</v>
          </cell>
        </row>
        <row r="405">
          <cell r="A405">
            <v>80050</v>
          </cell>
          <cell r="B405" t="str">
            <v>Interest Expense Closure/Post Closure</v>
          </cell>
          <cell r="E405">
            <v>0</v>
          </cell>
          <cell r="F405">
            <v>0</v>
          </cell>
          <cell r="G405">
            <v>0</v>
          </cell>
          <cell r="H405">
            <v>0</v>
          </cell>
          <cell r="I405">
            <v>0</v>
          </cell>
          <cell r="J405">
            <v>0</v>
          </cell>
          <cell r="K405">
            <v>0</v>
          </cell>
          <cell r="L405">
            <v>0</v>
          </cell>
          <cell r="M405">
            <v>0</v>
          </cell>
          <cell r="N405">
            <v>0</v>
          </cell>
          <cell r="O405">
            <v>0</v>
          </cell>
          <cell r="P405">
            <v>0</v>
          </cell>
          <cell r="Q405">
            <v>0</v>
          </cell>
        </row>
        <row r="406">
          <cell r="A406" t="str">
            <v>Total Other Operating Expense</v>
          </cell>
          <cell r="E406">
            <v>38677.819999999992</v>
          </cell>
          <cell r="F406">
            <v>38460.620000000003</v>
          </cell>
          <cell r="G406">
            <v>37434.229999999996</v>
          </cell>
          <cell r="H406">
            <v>37300.97</v>
          </cell>
          <cell r="I406">
            <v>32715.37</v>
          </cell>
          <cell r="J406">
            <v>54072.55</v>
          </cell>
          <cell r="K406">
            <v>75968.88</v>
          </cell>
          <cell r="L406">
            <v>41574.9</v>
          </cell>
          <cell r="M406">
            <v>36457.9</v>
          </cell>
          <cell r="N406">
            <v>39226.43</v>
          </cell>
          <cell r="O406">
            <v>41817.089999999997</v>
          </cell>
          <cell r="P406">
            <v>29775.78</v>
          </cell>
          <cell r="Q406">
            <v>503482.54000000004</v>
          </cell>
        </row>
        <row r="408">
          <cell r="A408" t="str">
            <v>Insurance</v>
          </cell>
        </row>
        <row r="409">
          <cell r="A409">
            <v>59148</v>
          </cell>
          <cell r="B409" t="str">
            <v>Allocation In - District</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v>59149</v>
          </cell>
          <cell r="B410" t="str">
            <v>Allocation In - Out District</v>
          </cell>
          <cell r="E410">
            <v>0</v>
          </cell>
          <cell r="F410">
            <v>0</v>
          </cell>
          <cell r="G410">
            <v>0</v>
          </cell>
          <cell r="H410">
            <v>0</v>
          </cell>
          <cell r="I410">
            <v>0</v>
          </cell>
          <cell r="J410">
            <v>0</v>
          </cell>
          <cell r="K410">
            <v>0</v>
          </cell>
          <cell r="L410">
            <v>0</v>
          </cell>
          <cell r="M410">
            <v>0</v>
          </cell>
          <cell r="N410">
            <v>0</v>
          </cell>
          <cell r="O410">
            <v>0</v>
          </cell>
          <cell r="P410">
            <v>0</v>
          </cell>
          <cell r="Q410">
            <v>0</v>
          </cell>
        </row>
        <row r="411">
          <cell r="A411">
            <v>59271</v>
          </cell>
          <cell r="B411" t="str">
            <v>Property and Liability Insurance</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v>59326</v>
          </cell>
          <cell r="B412" t="str">
            <v>Deductible - Current</v>
          </cell>
          <cell r="E412">
            <v>0</v>
          </cell>
          <cell r="F412">
            <v>0</v>
          </cell>
          <cell r="G412">
            <v>0</v>
          </cell>
          <cell r="H412">
            <v>0</v>
          </cell>
          <cell r="I412">
            <v>0</v>
          </cell>
          <cell r="J412">
            <v>0</v>
          </cell>
          <cell r="K412">
            <v>0</v>
          </cell>
          <cell r="L412">
            <v>0</v>
          </cell>
          <cell r="M412">
            <v>0</v>
          </cell>
          <cell r="N412">
            <v>0</v>
          </cell>
          <cell r="O412">
            <v>0</v>
          </cell>
          <cell r="P412">
            <v>0</v>
          </cell>
          <cell r="Q412">
            <v>0</v>
          </cell>
        </row>
        <row r="413">
          <cell r="A413">
            <v>59327</v>
          </cell>
          <cell r="B413" t="str">
            <v>Deductible - Damage</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v>59328</v>
          </cell>
          <cell r="B414" t="str">
            <v>Claim Recoveries</v>
          </cell>
          <cell r="E414">
            <v>0</v>
          </cell>
          <cell r="F414">
            <v>0</v>
          </cell>
          <cell r="G414">
            <v>0</v>
          </cell>
          <cell r="H414">
            <v>0</v>
          </cell>
          <cell r="I414">
            <v>0</v>
          </cell>
          <cell r="J414">
            <v>0</v>
          </cell>
          <cell r="K414">
            <v>0</v>
          </cell>
          <cell r="L414">
            <v>0</v>
          </cell>
          <cell r="M414">
            <v>0</v>
          </cell>
          <cell r="N414">
            <v>0</v>
          </cell>
          <cell r="O414">
            <v>0</v>
          </cell>
          <cell r="P414">
            <v>0</v>
          </cell>
          <cell r="Q414">
            <v>0</v>
          </cell>
        </row>
        <row r="415">
          <cell r="A415">
            <v>59330</v>
          </cell>
          <cell r="B415" t="str">
            <v>Deduct - Prior Year</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v>59331</v>
          </cell>
          <cell r="B416" t="str">
            <v>RM Fixed Costs</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v>59340</v>
          </cell>
          <cell r="B417" t="str">
            <v>Self Insurance Premium</v>
          </cell>
          <cell r="E417">
            <v>10091.379999999999</v>
          </cell>
          <cell r="F417">
            <v>10091.379999999999</v>
          </cell>
          <cell r="G417">
            <v>10091.379999999999</v>
          </cell>
          <cell r="H417">
            <v>10091.379999999999</v>
          </cell>
          <cell r="I417">
            <v>10091.379999999999</v>
          </cell>
          <cell r="J417">
            <v>10091.379999999999</v>
          </cell>
          <cell r="K417">
            <v>10091.379999999999</v>
          </cell>
          <cell r="L417">
            <v>10091.379999999999</v>
          </cell>
          <cell r="M417">
            <v>10091.379999999999</v>
          </cell>
          <cell r="N417">
            <v>10091.379999999999</v>
          </cell>
          <cell r="O417">
            <v>10091.379999999999</v>
          </cell>
          <cell r="P417">
            <v>10091.379999999999</v>
          </cell>
          <cell r="Q417">
            <v>121096.56000000001</v>
          </cell>
        </row>
        <row r="418">
          <cell r="A418">
            <v>59341</v>
          </cell>
          <cell r="B418" t="str">
            <v>A&amp;L - Current Year Claims</v>
          </cell>
          <cell r="E418">
            <v>-6142.07</v>
          </cell>
          <cell r="F418">
            <v>-2400</v>
          </cell>
          <cell r="G418">
            <v>400</v>
          </cell>
          <cell r="H418">
            <v>9853.9</v>
          </cell>
          <cell r="I418">
            <v>0</v>
          </cell>
          <cell r="J418">
            <v>0</v>
          </cell>
          <cell r="K418">
            <v>0</v>
          </cell>
          <cell r="L418">
            <v>4250</v>
          </cell>
          <cell r="M418">
            <v>8924.2000000000007</v>
          </cell>
          <cell r="N418">
            <v>751</v>
          </cell>
          <cell r="O418">
            <v>2071.27</v>
          </cell>
          <cell r="P418">
            <v>24430</v>
          </cell>
          <cell r="Q418">
            <v>42138.3</v>
          </cell>
        </row>
        <row r="419">
          <cell r="A419">
            <v>59342</v>
          </cell>
          <cell r="B419" t="str">
            <v>A&amp;L - Prior Year Claims</v>
          </cell>
          <cell r="E419">
            <v>0</v>
          </cell>
          <cell r="F419">
            <v>0</v>
          </cell>
          <cell r="G419">
            <v>0</v>
          </cell>
          <cell r="H419">
            <v>-10802.07</v>
          </cell>
          <cell r="I419">
            <v>-2004.25</v>
          </cell>
          <cell r="J419">
            <v>1249.05</v>
          </cell>
          <cell r="K419">
            <v>6999.75</v>
          </cell>
          <cell r="L419">
            <v>0</v>
          </cell>
          <cell r="M419">
            <v>0</v>
          </cell>
          <cell r="N419">
            <v>2499.5</v>
          </cell>
          <cell r="O419">
            <v>0</v>
          </cell>
          <cell r="P419">
            <v>0</v>
          </cell>
          <cell r="Q419">
            <v>-2058.0200000000004</v>
          </cell>
        </row>
        <row r="420">
          <cell r="A420">
            <v>59343</v>
          </cell>
          <cell r="B420" t="str">
            <v>WC - Current Year Claims</v>
          </cell>
          <cell r="E420">
            <v>7290.88</v>
          </cell>
          <cell r="F420">
            <v>-17465.98</v>
          </cell>
          <cell r="G420">
            <v>13819.28</v>
          </cell>
          <cell r="H420">
            <v>8553.6</v>
          </cell>
          <cell r="I420">
            <v>5696</v>
          </cell>
          <cell r="J420">
            <v>3275.7</v>
          </cell>
          <cell r="K420">
            <v>6448.16</v>
          </cell>
          <cell r="L420">
            <v>2722</v>
          </cell>
          <cell r="M420">
            <v>820</v>
          </cell>
          <cell r="N420">
            <v>-18388.02</v>
          </cell>
          <cell r="O420">
            <v>-1818.92</v>
          </cell>
          <cell r="P420">
            <v>2266.29</v>
          </cell>
          <cell r="Q420">
            <v>13218.990000000002</v>
          </cell>
        </row>
        <row r="421">
          <cell r="A421">
            <v>59344</v>
          </cell>
          <cell r="B421" t="str">
            <v>WC - Prior Year Claims</v>
          </cell>
          <cell r="E421">
            <v>0</v>
          </cell>
          <cell r="F421">
            <v>0</v>
          </cell>
          <cell r="G421">
            <v>0</v>
          </cell>
          <cell r="H421">
            <v>-9078.02</v>
          </cell>
          <cell r="I421">
            <v>16579.04</v>
          </cell>
          <cell r="J421">
            <v>98644.06</v>
          </cell>
          <cell r="K421">
            <v>-15344.09</v>
          </cell>
          <cell r="L421">
            <v>-28729.19</v>
          </cell>
          <cell r="M421">
            <v>17918.650000000001</v>
          </cell>
          <cell r="N421">
            <v>-103.64</v>
          </cell>
          <cell r="O421">
            <v>1197.08</v>
          </cell>
          <cell r="P421">
            <v>-19684.740000000002</v>
          </cell>
          <cell r="Q421">
            <v>61399.150000000009</v>
          </cell>
        </row>
        <row r="422">
          <cell r="A422">
            <v>59350</v>
          </cell>
          <cell r="B422" t="str">
            <v>Self Isurance IBNR Estimates</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v>59400</v>
          </cell>
          <cell r="B423" t="str">
            <v>Damages paid by District</v>
          </cell>
          <cell r="E423">
            <v>5142.99</v>
          </cell>
          <cell r="F423">
            <v>1000</v>
          </cell>
          <cell r="G423">
            <v>2757.56</v>
          </cell>
          <cell r="H423">
            <v>0</v>
          </cell>
          <cell r="I423">
            <v>1701.74</v>
          </cell>
          <cell r="J423">
            <v>6490.95</v>
          </cell>
          <cell r="K423">
            <v>104.97</v>
          </cell>
          <cell r="L423">
            <v>48.7</v>
          </cell>
          <cell r="M423">
            <v>0</v>
          </cell>
          <cell r="N423">
            <v>11054.22</v>
          </cell>
          <cell r="O423">
            <v>655.83</v>
          </cell>
          <cell r="P423">
            <v>11383.6</v>
          </cell>
          <cell r="Q423">
            <v>40340.559999999998</v>
          </cell>
        </row>
        <row r="424">
          <cell r="A424">
            <v>59401</v>
          </cell>
          <cell r="B424" t="str">
            <v>Insurance claim repairs</v>
          </cell>
          <cell r="E424">
            <v>0</v>
          </cell>
          <cell r="F424">
            <v>0</v>
          </cell>
          <cell r="G424">
            <v>0</v>
          </cell>
          <cell r="H424">
            <v>0</v>
          </cell>
          <cell r="I424">
            <v>0</v>
          </cell>
          <cell r="J424">
            <v>0</v>
          </cell>
          <cell r="K424">
            <v>0</v>
          </cell>
          <cell r="L424">
            <v>0</v>
          </cell>
          <cell r="M424">
            <v>0</v>
          </cell>
          <cell r="N424">
            <v>10000</v>
          </cell>
          <cell r="O424">
            <v>31.43</v>
          </cell>
          <cell r="P424">
            <v>-10904.79</v>
          </cell>
          <cell r="Q424">
            <v>-873.36000000000058</v>
          </cell>
        </row>
        <row r="425">
          <cell r="A425">
            <v>59500</v>
          </cell>
          <cell r="B425" t="str">
            <v>Workers Comp Prem</v>
          </cell>
          <cell r="E425">
            <v>4000</v>
          </cell>
          <cell r="F425">
            <v>2000</v>
          </cell>
          <cell r="G425">
            <v>2000</v>
          </cell>
          <cell r="H425">
            <v>2000</v>
          </cell>
          <cell r="I425">
            <v>1000</v>
          </cell>
          <cell r="J425">
            <v>2000</v>
          </cell>
          <cell r="K425">
            <v>2000</v>
          </cell>
          <cell r="L425">
            <v>2000</v>
          </cell>
          <cell r="M425">
            <v>3000</v>
          </cell>
          <cell r="N425">
            <v>3000</v>
          </cell>
          <cell r="O425">
            <v>3000</v>
          </cell>
          <cell r="P425">
            <v>0</v>
          </cell>
          <cell r="Q425">
            <v>26000</v>
          </cell>
        </row>
        <row r="426">
          <cell r="A426">
            <v>59998</v>
          </cell>
          <cell r="B426" t="str">
            <v>Allocation Out - District</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v>59999</v>
          </cell>
          <cell r="B427" t="str">
            <v>Allocation Out - Out District</v>
          </cell>
          <cell r="E427">
            <v>0</v>
          </cell>
          <cell r="F427">
            <v>0</v>
          </cell>
          <cell r="G427">
            <v>0</v>
          </cell>
          <cell r="H427">
            <v>0</v>
          </cell>
          <cell r="I427">
            <v>0</v>
          </cell>
          <cell r="J427">
            <v>0</v>
          </cell>
          <cell r="K427">
            <v>0</v>
          </cell>
          <cell r="L427">
            <v>0</v>
          </cell>
          <cell r="M427">
            <v>0</v>
          </cell>
          <cell r="N427">
            <v>0</v>
          </cell>
          <cell r="O427">
            <v>0</v>
          </cell>
          <cell r="P427">
            <v>0</v>
          </cell>
          <cell r="Q427">
            <v>0</v>
          </cell>
        </row>
        <row r="428">
          <cell r="A428" t="str">
            <v>Total Insurance</v>
          </cell>
          <cell r="E428">
            <v>20383.18</v>
          </cell>
          <cell r="F428">
            <v>-6774.6</v>
          </cell>
          <cell r="G428">
            <v>29068.22</v>
          </cell>
          <cell r="H428">
            <v>10618.789999999997</v>
          </cell>
          <cell r="I428">
            <v>33063.910000000003</v>
          </cell>
          <cell r="J428">
            <v>121751.14</v>
          </cell>
          <cell r="K428">
            <v>10300.169999999996</v>
          </cell>
          <cell r="L428">
            <v>-9617.11</v>
          </cell>
          <cell r="M428">
            <v>40754.230000000003</v>
          </cell>
          <cell r="N428">
            <v>18904.439999999999</v>
          </cell>
          <cell r="O428">
            <v>15228.07</v>
          </cell>
          <cell r="P428">
            <v>17581.739999999998</v>
          </cell>
          <cell r="Q428">
            <v>301262.18000000005</v>
          </cell>
        </row>
        <row r="430">
          <cell r="A430" t="str">
            <v>Disposal of Assets and Operations</v>
          </cell>
        </row>
        <row r="431">
          <cell r="A431">
            <v>72000</v>
          </cell>
          <cell r="B431" t="str">
            <v>Gain/Loss on Disposal of Operations</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v>91010</v>
          </cell>
          <cell r="B432" t="str">
            <v>Gain/Loss on Sale of Asset</v>
          </cell>
          <cell r="E432">
            <v>0</v>
          </cell>
          <cell r="F432">
            <v>0</v>
          </cell>
          <cell r="G432">
            <v>0</v>
          </cell>
          <cell r="H432">
            <v>1319.45</v>
          </cell>
          <cell r="I432">
            <v>0</v>
          </cell>
          <cell r="J432">
            <v>24949.35</v>
          </cell>
          <cell r="K432">
            <v>-33354.22</v>
          </cell>
          <cell r="L432">
            <v>-3080</v>
          </cell>
          <cell r="M432">
            <v>0</v>
          </cell>
          <cell r="N432">
            <v>0</v>
          </cell>
          <cell r="O432">
            <v>0</v>
          </cell>
          <cell r="P432">
            <v>0</v>
          </cell>
          <cell r="Q432">
            <v>-10165.420000000002</v>
          </cell>
        </row>
        <row r="433">
          <cell r="A433" t="str">
            <v>Total Disposal of Assets and Operations</v>
          </cell>
          <cell r="E433">
            <v>0</v>
          </cell>
          <cell r="F433">
            <v>0</v>
          </cell>
          <cell r="G433">
            <v>0</v>
          </cell>
          <cell r="H433">
            <v>1319.45</v>
          </cell>
          <cell r="I433">
            <v>0</v>
          </cell>
          <cell r="J433">
            <v>24949.35</v>
          </cell>
          <cell r="K433">
            <v>-33354.22</v>
          </cell>
          <cell r="L433">
            <v>-3080</v>
          </cell>
          <cell r="M433">
            <v>0</v>
          </cell>
          <cell r="N433">
            <v>0</v>
          </cell>
          <cell r="O433">
            <v>0</v>
          </cell>
          <cell r="P433">
            <v>0</v>
          </cell>
          <cell r="Q433">
            <v>-10165.420000000002</v>
          </cell>
        </row>
        <row r="435">
          <cell r="A435" t="str">
            <v>Total Operating Costs</v>
          </cell>
          <cell r="E435">
            <v>691108.55</v>
          </cell>
          <cell r="F435">
            <v>591691.37000000011</v>
          </cell>
          <cell r="G435">
            <v>679572.21999999986</v>
          </cell>
          <cell r="H435">
            <v>649398.42000000004</v>
          </cell>
          <cell r="I435">
            <v>715012.80999999994</v>
          </cell>
          <cell r="J435">
            <v>823534.92999999993</v>
          </cell>
          <cell r="K435">
            <v>725146.60999999987</v>
          </cell>
          <cell r="L435">
            <v>671623.93</v>
          </cell>
          <cell r="M435">
            <v>721331.92999999993</v>
          </cell>
          <cell r="N435">
            <v>675314.14999999991</v>
          </cell>
          <cell r="O435">
            <v>713873.94</v>
          </cell>
          <cell r="P435">
            <v>696947.79999999981</v>
          </cell>
          <cell r="Q435">
            <v>8354556.6600000001</v>
          </cell>
        </row>
        <row r="437">
          <cell r="A437" t="str">
            <v>Gross Profit</v>
          </cell>
          <cell r="E437">
            <v>958596.29999999981</v>
          </cell>
          <cell r="F437">
            <v>1078399.0499999998</v>
          </cell>
          <cell r="G437">
            <v>980681.78999999992</v>
          </cell>
          <cell r="H437">
            <v>1060013.06</v>
          </cell>
          <cell r="I437">
            <v>998324.67999999935</v>
          </cell>
          <cell r="J437">
            <v>884006.14000000036</v>
          </cell>
          <cell r="K437">
            <v>999176.6099999994</v>
          </cell>
          <cell r="L437">
            <v>1029352.5499999995</v>
          </cell>
          <cell r="M437">
            <v>1005221.45</v>
          </cell>
          <cell r="N437">
            <v>1062170.0200000005</v>
          </cell>
          <cell r="O437">
            <v>1010676.3699999996</v>
          </cell>
          <cell r="P437">
            <v>1011952.0500000003</v>
          </cell>
          <cell r="Q437">
            <v>12078570.07</v>
          </cell>
        </row>
        <row r="439">
          <cell r="A439" t="str">
            <v>SG&amp;A</v>
          </cell>
        </row>
        <row r="440">
          <cell r="A440" t="str">
            <v>Sales</v>
          </cell>
        </row>
        <row r="441">
          <cell r="A441">
            <v>60010</v>
          </cell>
          <cell r="B441" t="str">
            <v>Salaries</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v>60020</v>
          </cell>
          <cell r="B442" t="str">
            <v>Wages Regular</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v>60025</v>
          </cell>
          <cell r="B443" t="str">
            <v>Wages O.T.</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v>60030</v>
          </cell>
          <cell r="B444" t="str">
            <v>Bonuses and Commissions</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v>60035</v>
          </cell>
          <cell r="B445" t="str">
            <v>Safety Bonuses</v>
          </cell>
          <cell r="E445">
            <v>0</v>
          </cell>
          <cell r="F445">
            <v>0</v>
          </cell>
          <cell r="G445">
            <v>0</v>
          </cell>
          <cell r="H445">
            <v>0</v>
          </cell>
          <cell r="I445">
            <v>0</v>
          </cell>
          <cell r="J445">
            <v>0</v>
          </cell>
          <cell r="K445">
            <v>0</v>
          </cell>
          <cell r="L445">
            <v>0</v>
          </cell>
          <cell r="M445">
            <v>0</v>
          </cell>
          <cell r="N445">
            <v>0</v>
          </cell>
          <cell r="O445">
            <v>0</v>
          </cell>
          <cell r="P445">
            <v>0</v>
          </cell>
          <cell r="Q445">
            <v>0</v>
          </cell>
        </row>
        <row r="446">
          <cell r="A446">
            <v>60037</v>
          </cell>
          <cell r="B446" t="str">
            <v>Termination Pay</v>
          </cell>
          <cell r="E446">
            <v>0</v>
          </cell>
          <cell r="F446">
            <v>0</v>
          </cell>
          <cell r="G446">
            <v>0</v>
          </cell>
          <cell r="H446">
            <v>0</v>
          </cell>
          <cell r="I446">
            <v>0</v>
          </cell>
          <cell r="J446">
            <v>0</v>
          </cell>
          <cell r="K446">
            <v>0</v>
          </cell>
          <cell r="L446">
            <v>0</v>
          </cell>
          <cell r="M446">
            <v>0</v>
          </cell>
          <cell r="N446">
            <v>0</v>
          </cell>
          <cell r="O446">
            <v>0</v>
          </cell>
          <cell r="P446">
            <v>0</v>
          </cell>
          <cell r="Q446">
            <v>0</v>
          </cell>
        </row>
        <row r="447">
          <cell r="A447">
            <v>60045</v>
          </cell>
          <cell r="B447" t="str">
            <v>Contract Labor</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v>60050</v>
          </cell>
          <cell r="B448" t="str">
            <v>Payroll Taxes</v>
          </cell>
          <cell r="E448">
            <v>0</v>
          </cell>
          <cell r="F448">
            <v>0</v>
          </cell>
          <cell r="G448">
            <v>0</v>
          </cell>
          <cell r="H448">
            <v>0</v>
          </cell>
          <cell r="I448">
            <v>0</v>
          </cell>
          <cell r="J448">
            <v>0</v>
          </cell>
          <cell r="K448">
            <v>0</v>
          </cell>
          <cell r="L448">
            <v>0</v>
          </cell>
          <cell r="M448">
            <v>0</v>
          </cell>
          <cell r="N448">
            <v>0</v>
          </cell>
          <cell r="O448">
            <v>0</v>
          </cell>
          <cell r="P448">
            <v>0</v>
          </cell>
          <cell r="Q448">
            <v>0</v>
          </cell>
        </row>
        <row r="449">
          <cell r="A449">
            <v>60060</v>
          </cell>
          <cell r="B449" t="str">
            <v>Group Insurance</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v>60065</v>
          </cell>
          <cell r="B450" t="str">
            <v>Vacation Pay</v>
          </cell>
          <cell r="E450">
            <v>0</v>
          </cell>
          <cell r="F450">
            <v>0</v>
          </cell>
          <cell r="G450">
            <v>0</v>
          </cell>
          <cell r="H450">
            <v>0</v>
          </cell>
          <cell r="I450">
            <v>0</v>
          </cell>
          <cell r="J450">
            <v>0</v>
          </cell>
          <cell r="K450">
            <v>0</v>
          </cell>
          <cell r="L450">
            <v>8.23</v>
          </cell>
          <cell r="M450">
            <v>-8.23</v>
          </cell>
          <cell r="N450">
            <v>0</v>
          </cell>
          <cell r="O450">
            <v>0</v>
          </cell>
          <cell r="P450">
            <v>0</v>
          </cell>
          <cell r="Q450">
            <v>0</v>
          </cell>
        </row>
        <row r="451">
          <cell r="A451">
            <v>60070</v>
          </cell>
          <cell r="B451" t="str">
            <v>Sick Pay</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v>60086</v>
          </cell>
          <cell r="B452" t="str">
            <v>Safety and Training</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v>60095</v>
          </cell>
          <cell r="B453" t="str">
            <v>Empl &amp; Commun Activ</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v>60105</v>
          </cell>
          <cell r="B454" t="str">
            <v>Employee Relocation</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v>60115</v>
          </cell>
          <cell r="B455" t="str">
            <v>School Tuition</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v>60116</v>
          </cell>
          <cell r="B456" t="str">
            <v>Pension and Profit Sharing</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A457">
            <v>60117</v>
          </cell>
          <cell r="B457" t="str">
            <v>Union Pension</v>
          </cell>
          <cell r="E457">
            <v>0</v>
          </cell>
          <cell r="F457">
            <v>0</v>
          </cell>
          <cell r="G457">
            <v>0</v>
          </cell>
          <cell r="H457">
            <v>0</v>
          </cell>
          <cell r="I457">
            <v>0</v>
          </cell>
          <cell r="J457">
            <v>0</v>
          </cell>
          <cell r="K457">
            <v>0</v>
          </cell>
          <cell r="L457">
            <v>0</v>
          </cell>
          <cell r="M457">
            <v>0</v>
          </cell>
          <cell r="N457">
            <v>0</v>
          </cell>
          <cell r="O457">
            <v>0</v>
          </cell>
          <cell r="P457">
            <v>0</v>
          </cell>
          <cell r="Q457">
            <v>0</v>
          </cell>
        </row>
        <row r="458">
          <cell r="A458">
            <v>60148</v>
          </cell>
          <cell r="B458" t="str">
            <v>Allocated Exp In - District</v>
          </cell>
          <cell r="E458">
            <v>2300</v>
          </cell>
          <cell r="F458">
            <v>2448</v>
          </cell>
          <cell r="G458">
            <v>2391</v>
          </cell>
          <cell r="H458">
            <v>2584.5</v>
          </cell>
          <cell r="I458">
            <v>2565</v>
          </cell>
          <cell r="J458">
            <v>3535</v>
          </cell>
          <cell r="K458">
            <v>2899</v>
          </cell>
          <cell r="L458">
            <v>2443</v>
          </cell>
          <cell r="M458">
            <v>1800</v>
          </cell>
          <cell r="N458">
            <v>2326</v>
          </cell>
          <cell r="O458">
            <v>2339</v>
          </cell>
          <cell r="P458">
            <v>0</v>
          </cell>
          <cell r="Q458">
            <v>27630.5</v>
          </cell>
        </row>
        <row r="459">
          <cell r="A459">
            <v>60149</v>
          </cell>
          <cell r="B459" t="str">
            <v>Allocated Exp In Out - District</v>
          </cell>
          <cell r="E459">
            <v>0</v>
          </cell>
          <cell r="F459">
            <v>0</v>
          </cell>
          <cell r="G459">
            <v>0</v>
          </cell>
          <cell r="H459">
            <v>0</v>
          </cell>
          <cell r="I459">
            <v>0</v>
          </cell>
          <cell r="J459">
            <v>0</v>
          </cell>
          <cell r="K459">
            <v>0</v>
          </cell>
          <cell r="L459">
            <v>0</v>
          </cell>
          <cell r="M459">
            <v>0</v>
          </cell>
          <cell r="N459">
            <v>0</v>
          </cell>
          <cell r="O459">
            <v>0</v>
          </cell>
          <cell r="P459">
            <v>0</v>
          </cell>
          <cell r="Q459">
            <v>0</v>
          </cell>
        </row>
        <row r="460">
          <cell r="A460">
            <v>60165</v>
          </cell>
          <cell r="B460" t="str">
            <v>Communications</v>
          </cell>
          <cell r="E460">
            <v>0</v>
          </cell>
          <cell r="F460">
            <v>0</v>
          </cell>
          <cell r="G460">
            <v>0</v>
          </cell>
          <cell r="H460">
            <v>0</v>
          </cell>
          <cell r="I460">
            <v>0</v>
          </cell>
          <cell r="J460">
            <v>0</v>
          </cell>
          <cell r="K460">
            <v>0</v>
          </cell>
          <cell r="L460">
            <v>0</v>
          </cell>
          <cell r="M460">
            <v>0</v>
          </cell>
          <cell r="N460">
            <v>0</v>
          </cell>
          <cell r="O460">
            <v>0</v>
          </cell>
          <cell r="P460">
            <v>0</v>
          </cell>
          <cell r="Q460">
            <v>0</v>
          </cell>
        </row>
        <row r="461">
          <cell r="A461">
            <v>60170</v>
          </cell>
          <cell r="B461" t="str">
            <v>Real Estate Rentals</v>
          </cell>
          <cell r="E461">
            <v>0</v>
          </cell>
          <cell r="F461">
            <v>0</v>
          </cell>
          <cell r="G461">
            <v>0</v>
          </cell>
          <cell r="H461">
            <v>0</v>
          </cell>
          <cell r="I461">
            <v>0</v>
          </cell>
          <cell r="J461">
            <v>0</v>
          </cell>
          <cell r="K461">
            <v>0</v>
          </cell>
          <cell r="L461">
            <v>0</v>
          </cell>
          <cell r="M461">
            <v>0</v>
          </cell>
          <cell r="N461">
            <v>0</v>
          </cell>
          <cell r="O461">
            <v>0</v>
          </cell>
          <cell r="P461">
            <v>0</v>
          </cell>
          <cell r="Q461">
            <v>0</v>
          </cell>
        </row>
        <row r="462">
          <cell r="A462">
            <v>60175</v>
          </cell>
          <cell r="B462" t="str">
            <v>Equip/Vehicle Rental</v>
          </cell>
          <cell r="E462">
            <v>0</v>
          </cell>
          <cell r="F462">
            <v>0</v>
          </cell>
          <cell r="G462">
            <v>0</v>
          </cell>
          <cell r="H462">
            <v>0</v>
          </cell>
          <cell r="I462">
            <v>0</v>
          </cell>
          <cell r="J462">
            <v>0</v>
          </cell>
          <cell r="K462">
            <v>0</v>
          </cell>
          <cell r="L462">
            <v>0</v>
          </cell>
          <cell r="M462">
            <v>0</v>
          </cell>
          <cell r="N462">
            <v>0</v>
          </cell>
          <cell r="O462">
            <v>0</v>
          </cell>
          <cell r="P462">
            <v>0</v>
          </cell>
          <cell r="Q462">
            <v>0</v>
          </cell>
        </row>
        <row r="463">
          <cell r="A463">
            <v>60185</v>
          </cell>
          <cell r="B463" t="str">
            <v>Postage</v>
          </cell>
          <cell r="E463">
            <v>198.54</v>
          </cell>
          <cell r="F463">
            <v>0</v>
          </cell>
          <cell r="G463">
            <v>0</v>
          </cell>
          <cell r="H463">
            <v>0</v>
          </cell>
          <cell r="I463">
            <v>0</v>
          </cell>
          <cell r="J463">
            <v>0</v>
          </cell>
          <cell r="K463">
            <v>0</v>
          </cell>
          <cell r="L463">
            <v>0</v>
          </cell>
          <cell r="M463">
            <v>0</v>
          </cell>
          <cell r="N463">
            <v>0</v>
          </cell>
          <cell r="O463">
            <v>0</v>
          </cell>
          <cell r="P463">
            <v>0</v>
          </cell>
          <cell r="Q463">
            <v>198.54</v>
          </cell>
        </row>
        <row r="464">
          <cell r="A464">
            <v>60195</v>
          </cell>
          <cell r="B464" t="str">
            <v>Dues and Subscriptions</v>
          </cell>
          <cell r="E464">
            <v>0</v>
          </cell>
          <cell r="F464">
            <v>0</v>
          </cell>
          <cell r="G464">
            <v>0</v>
          </cell>
          <cell r="H464">
            <v>0</v>
          </cell>
          <cell r="I464">
            <v>0</v>
          </cell>
          <cell r="J464">
            <v>0</v>
          </cell>
          <cell r="K464">
            <v>0</v>
          </cell>
          <cell r="L464">
            <v>0</v>
          </cell>
          <cell r="M464">
            <v>0</v>
          </cell>
          <cell r="N464">
            <v>0</v>
          </cell>
          <cell r="O464">
            <v>0</v>
          </cell>
          <cell r="P464">
            <v>0</v>
          </cell>
          <cell r="Q464">
            <v>0</v>
          </cell>
        </row>
        <row r="465">
          <cell r="A465">
            <v>60196</v>
          </cell>
          <cell r="B465" t="str">
            <v>Club Dues</v>
          </cell>
          <cell r="E465">
            <v>0</v>
          </cell>
          <cell r="F465">
            <v>0</v>
          </cell>
          <cell r="G465">
            <v>0</v>
          </cell>
          <cell r="H465">
            <v>0</v>
          </cell>
          <cell r="I465">
            <v>0</v>
          </cell>
          <cell r="J465">
            <v>0</v>
          </cell>
          <cell r="K465">
            <v>0</v>
          </cell>
          <cell r="L465">
            <v>0</v>
          </cell>
          <cell r="M465">
            <v>0</v>
          </cell>
          <cell r="N465">
            <v>0</v>
          </cell>
          <cell r="O465">
            <v>0</v>
          </cell>
          <cell r="P465">
            <v>0</v>
          </cell>
          <cell r="Q465">
            <v>0</v>
          </cell>
        </row>
        <row r="466">
          <cell r="A466">
            <v>60200</v>
          </cell>
          <cell r="B466" t="str">
            <v>Travel</v>
          </cell>
          <cell r="E466">
            <v>0</v>
          </cell>
          <cell r="F466">
            <v>0</v>
          </cell>
          <cell r="G466">
            <v>0</v>
          </cell>
          <cell r="H466">
            <v>0</v>
          </cell>
          <cell r="I466">
            <v>0</v>
          </cell>
          <cell r="J466">
            <v>0</v>
          </cell>
          <cell r="K466">
            <v>0</v>
          </cell>
          <cell r="L466">
            <v>0</v>
          </cell>
          <cell r="M466">
            <v>0</v>
          </cell>
          <cell r="N466">
            <v>0</v>
          </cell>
          <cell r="O466">
            <v>0</v>
          </cell>
          <cell r="P466">
            <v>0</v>
          </cell>
          <cell r="Q466">
            <v>0</v>
          </cell>
        </row>
        <row r="467">
          <cell r="A467">
            <v>60201</v>
          </cell>
          <cell r="B467" t="str">
            <v>Entertainment</v>
          </cell>
          <cell r="E467">
            <v>0</v>
          </cell>
          <cell r="F467">
            <v>0</v>
          </cell>
          <cell r="G467">
            <v>0</v>
          </cell>
          <cell r="H467">
            <v>0</v>
          </cell>
          <cell r="I467">
            <v>0</v>
          </cell>
          <cell r="J467">
            <v>0</v>
          </cell>
          <cell r="K467">
            <v>0</v>
          </cell>
          <cell r="L467">
            <v>0</v>
          </cell>
          <cell r="M467">
            <v>0</v>
          </cell>
          <cell r="N467">
            <v>0</v>
          </cell>
          <cell r="O467">
            <v>0</v>
          </cell>
          <cell r="P467">
            <v>0</v>
          </cell>
          <cell r="Q467">
            <v>0</v>
          </cell>
        </row>
        <row r="468">
          <cell r="A468">
            <v>60205</v>
          </cell>
          <cell r="B468" t="str">
            <v>Travel - Auto</v>
          </cell>
          <cell r="E468">
            <v>0</v>
          </cell>
          <cell r="F468">
            <v>0</v>
          </cell>
          <cell r="G468">
            <v>0</v>
          </cell>
          <cell r="H468">
            <v>0</v>
          </cell>
          <cell r="I468">
            <v>0</v>
          </cell>
          <cell r="J468">
            <v>0</v>
          </cell>
          <cell r="K468">
            <v>58.5</v>
          </cell>
          <cell r="L468">
            <v>177.74</v>
          </cell>
          <cell r="M468">
            <v>-77.739999999999995</v>
          </cell>
          <cell r="N468">
            <v>0</v>
          </cell>
          <cell r="O468">
            <v>75.52</v>
          </cell>
          <cell r="P468">
            <v>23.74</v>
          </cell>
          <cell r="Q468">
            <v>257.76</v>
          </cell>
        </row>
        <row r="469">
          <cell r="A469">
            <v>60210</v>
          </cell>
          <cell r="B469" t="str">
            <v>Office Supplies and Equip</v>
          </cell>
          <cell r="E469">
            <v>0</v>
          </cell>
          <cell r="F469">
            <v>0</v>
          </cell>
          <cell r="G469">
            <v>0</v>
          </cell>
          <cell r="H469">
            <v>0</v>
          </cell>
          <cell r="I469">
            <v>0</v>
          </cell>
          <cell r="J469">
            <v>0</v>
          </cell>
          <cell r="K469">
            <v>0</v>
          </cell>
          <cell r="L469">
            <v>0</v>
          </cell>
          <cell r="M469">
            <v>0</v>
          </cell>
          <cell r="N469">
            <v>0</v>
          </cell>
          <cell r="O469">
            <v>0</v>
          </cell>
          <cell r="P469">
            <v>0</v>
          </cell>
          <cell r="Q469">
            <v>0</v>
          </cell>
        </row>
        <row r="470">
          <cell r="A470">
            <v>60225</v>
          </cell>
          <cell r="B470" t="str">
            <v>Advertising and Promotions</v>
          </cell>
          <cell r="E470">
            <v>12977.33</v>
          </cell>
          <cell r="F470">
            <v>949.64</v>
          </cell>
          <cell r="G470">
            <v>5900.84</v>
          </cell>
          <cell r="H470">
            <v>4161.1099999999997</v>
          </cell>
          <cell r="I470">
            <v>3165.78</v>
          </cell>
          <cell r="J470">
            <v>4520.0600000000004</v>
          </cell>
          <cell r="K470">
            <v>1806.35</v>
          </cell>
          <cell r="L470">
            <v>955.59</v>
          </cell>
          <cell r="M470">
            <v>28827.18</v>
          </cell>
          <cell r="N470">
            <v>25999.119999999999</v>
          </cell>
          <cell r="O470">
            <v>1245.2</v>
          </cell>
          <cell r="P470">
            <v>38523.21</v>
          </cell>
          <cell r="Q470">
            <v>129031.41</v>
          </cell>
        </row>
        <row r="471">
          <cell r="A471">
            <v>60234</v>
          </cell>
          <cell r="B471" t="str">
            <v>O/S Sales Exp</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v>60255</v>
          </cell>
          <cell r="B472" t="str">
            <v>Other Prof Fees</v>
          </cell>
          <cell r="E472">
            <v>0</v>
          </cell>
          <cell r="F472">
            <v>0</v>
          </cell>
          <cell r="G472">
            <v>0</v>
          </cell>
          <cell r="H472">
            <v>0</v>
          </cell>
          <cell r="I472">
            <v>0</v>
          </cell>
          <cell r="J472">
            <v>0</v>
          </cell>
          <cell r="K472">
            <v>0</v>
          </cell>
          <cell r="L472">
            <v>0</v>
          </cell>
          <cell r="M472">
            <v>0</v>
          </cell>
          <cell r="N472">
            <v>0</v>
          </cell>
          <cell r="O472">
            <v>0</v>
          </cell>
          <cell r="P472">
            <v>0</v>
          </cell>
          <cell r="Q472">
            <v>0</v>
          </cell>
        </row>
        <row r="473">
          <cell r="A473">
            <v>60326</v>
          </cell>
          <cell r="B473" t="str">
            <v>Deduct - Current Yr</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A474">
            <v>60327</v>
          </cell>
          <cell r="B474" t="str">
            <v>Deduct - Damage</v>
          </cell>
          <cell r="E474">
            <v>0</v>
          </cell>
          <cell r="F474">
            <v>0</v>
          </cell>
          <cell r="G474">
            <v>0</v>
          </cell>
          <cell r="H474">
            <v>0</v>
          </cell>
          <cell r="I474">
            <v>0</v>
          </cell>
          <cell r="J474">
            <v>0</v>
          </cell>
          <cell r="K474">
            <v>0</v>
          </cell>
          <cell r="L474">
            <v>0</v>
          </cell>
          <cell r="M474">
            <v>0</v>
          </cell>
          <cell r="N474">
            <v>0</v>
          </cell>
          <cell r="O474">
            <v>0</v>
          </cell>
          <cell r="P474">
            <v>0</v>
          </cell>
          <cell r="Q474">
            <v>0</v>
          </cell>
        </row>
        <row r="475">
          <cell r="A475">
            <v>60328</v>
          </cell>
          <cell r="B475" t="str">
            <v>Claim Recoveries</v>
          </cell>
          <cell r="E475">
            <v>0</v>
          </cell>
          <cell r="F475">
            <v>0</v>
          </cell>
          <cell r="G475">
            <v>0</v>
          </cell>
          <cell r="H475">
            <v>0</v>
          </cell>
          <cell r="I475">
            <v>0</v>
          </cell>
          <cell r="J475">
            <v>0</v>
          </cell>
          <cell r="K475">
            <v>0</v>
          </cell>
          <cell r="L475">
            <v>0</v>
          </cell>
          <cell r="M475">
            <v>0</v>
          </cell>
          <cell r="N475">
            <v>0</v>
          </cell>
          <cell r="O475">
            <v>0</v>
          </cell>
          <cell r="P475">
            <v>0</v>
          </cell>
          <cell r="Q475">
            <v>0</v>
          </cell>
        </row>
        <row r="476">
          <cell r="A476">
            <v>60330</v>
          </cell>
          <cell r="B476" t="str">
            <v>Deduct Prior Year</v>
          </cell>
          <cell r="E476">
            <v>0</v>
          </cell>
          <cell r="F476">
            <v>0</v>
          </cell>
          <cell r="G476">
            <v>0</v>
          </cell>
          <cell r="H476">
            <v>0</v>
          </cell>
          <cell r="I476">
            <v>0</v>
          </cell>
          <cell r="J476">
            <v>0</v>
          </cell>
          <cell r="K476">
            <v>0</v>
          </cell>
          <cell r="L476">
            <v>0</v>
          </cell>
          <cell r="M476">
            <v>0</v>
          </cell>
          <cell r="N476">
            <v>0</v>
          </cell>
          <cell r="O476">
            <v>0</v>
          </cell>
          <cell r="P476">
            <v>0</v>
          </cell>
          <cell r="Q476">
            <v>0</v>
          </cell>
        </row>
        <row r="477">
          <cell r="A477">
            <v>60335</v>
          </cell>
          <cell r="B477" t="str">
            <v>Miscellaneous</v>
          </cell>
          <cell r="E477">
            <v>0</v>
          </cell>
          <cell r="F477">
            <v>0</v>
          </cell>
          <cell r="G477">
            <v>0</v>
          </cell>
          <cell r="H477">
            <v>0</v>
          </cell>
          <cell r="I477">
            <v>0</v>
          </cell>
          <cell r="J477">
            <v>0</v>
          </cell>
          <cell r="K477">
            <v>0</v>
          </cell>
          <cell r="L477">
            <v>0</v>
          </cell>
          <cell r="M477">
            <v>0</v>
          </cell>
          <cell r="N477">
            <v>0</v>
          </cell>
          <cell r="O477">
            <v>0</v>
          </cell>
          <cell r="P477">
            <v>0</v>
          </cell>
          <cell r="Q477">
            <v>0</v>
          </cell>
        </row>
        <row r="478">
          <cell r="A478">
            <v>60998</v>
          </cell>
          <cell r="B478" t="str">
            <v>Allocation Out - District</v>
          </cell>
          <cell r="E478">
            <v>0</v>
          </cell>
          <cell r="F478">
            <v>0</v>
          </cell>
          <cell r="G478">
            <v>0</v>
          </cell>
          <cell r="H478">
            <v>0</v>
          </cell>
          <cell r="I478">
            <v>0</v>
          </cell>
          <cell r="J478">
            <v>0</v>
          </cell>
          <cell r="K478">
            <v>0</v>
          </cell>
          <cell r="L478">
            <v>0</v>
          </cell>
          <cell r="M478">
            <v>0</v>
          </cell>
          <cell r="N478">
            <v>0</v>
          </cell>
          <cell r="O478">
            <v>0</v>
          </cell>
          <cell r="P478">
            <v>0</v>
          </cell>
          <cell r="Q478">
            <v>0</v>
          </cell>
        </row>
        <row r="479">
          <cell r="A479">
            <v>60999</v>
          </cell>
          <cell r="B479" t="str">
            <v>Allocation Out - Out District</v>
          </cell>
          <cell r="E479">
            <v>0</v>
          </cell>
          <cell r="F479">
            <v>0</v>
          </cell>
          <cell r="G479">
            <v>0</v>
          </cell>
          <cell r="H479">
            <v>0</v>
          </cell>
          <cell r="I479">
            <v>0</v>
          </cell>
          <cell r="J479">
            <v>0</v>
          </cell>
          <cell r="K479">
            <v>0</v>
          </cell>
          <cell r="L479">
            <v>0</v>
          </cell>
          <cell r="M479">
            <v>0</v>
          </cell>
          <cell r="N479">
            <v>0</v>
          </cell>
          <cell r="O479">
            <v>0</v>
          </cell>
          <cell r="P479">
            <v>0</v>
          </cell>
          <cell r="Q479">
            <v>0</v>
          </cell>
        </row>
        <row r="480">
          <cell r="A480" t="str">
            <v>Total Sales</v>
          </cell>
          <cell r="E480">
            <v>15475.869999999999</v>
          </cell>
          <cell r="F480">
            <v>3397.64</v>
          </cell>
          <cell r="G480">
            <v>8291.84</v>
          </cell>
          <cell r="H480">
            <v>6745.61</v>
          </cell>
          <cell r="I480">
            <v>5730.7800000000007</v>
          </cell>
          <cell r="J480">
            <v>8055.06</v>
          </cell>
          <cell r="K480">
            <v>4763.8500000000004</v>
          </cell>
          <cell r="L480">
            <v>3584.5600000000004</v>
          </cell>
          <cell r="M480">
            <v>30541.21</v>
          </cell>
          <cell r="N480">
            <v>28325.119999999999</v>
          </cell>
          <cell r="O480">
            <v>3659.7200000000003</v>
          </cell>
          <cell r="P480">
            <v>38546.949999999997</v>
          </cell>
          <cell r="Q480">
            <v>157118.21</v>
          </cell>
        </row>
        <row r="482">
          <cell r="A482" t="str">
            <v>G&amp;A</v>
          </cell>
        </row>
        <row r="483">
          <cell r="A483">
            <v>70010</v>
          </cell>
          <cell r="B483" t="str">
            <v>Salaries</v>
          </cell>
          <cell r="E483">
            <v>31950.25</v>
          </cell>
          <cell r="F483">
            <v>29217.37</v>
          </cell>
          <cell r="G483">
            <v>34993.21</v>
          </cell>
          <cell r="H483">
            <v>32805.65</v>
          </cell>
          <cell r="I483">
            <v>33117.839999999997</v>
          </cell>
          <cell r="J483">
            <v>36102.11</v>
          </cell>
          <cell r="K483">
            <v>36862.230000000003</v>
          </cell>
          <cell r="L483">
            <v>32246.880000000001</v>
          </cell>
          <cell r="M483">
            <v>35474.660000000003</v>
          </cell>
          <cell r="N483">
            <v>34757.17</v>
          </cell>
          <cell r="O483">
            <v>34601.15</v>
          </cell>
          <cell r="P483">
            <v>36751.879999999997</v>
          </cell>
          <cell r="Q483">
            <v>408880.39999999997</v>
          </cell>
        </row>
        <row r="484">
          <cell r="A484">
            <v>70015</v>
          </cell>
          <cell r="B484" t="str">
            <v>Deferred Comp Earnings</v>
          </cell>
          <cell r="E484">
            <v>0</v>
          </cell>
          <cell r="F484">
            <v>0</v>
          </cell>
          <cell r="G484">
            <v>0</v>
          </cell>
          <cell r="H484">
            <v>0</v>
          </cell>
          <cell r="I484">
            <v>0</v>
          </cell>
          <cell r="J484">
            <v>0</v>
          </cell>
          <cell r="K484">
            <v>0</v>
          </cell>
          <cell r="L484">
            <v>0</v>
          </cell>
          <cell r="M484">
            <v>0</v>
          </cell>
          <cell r="N484">
            <v>0</v>
          </cell>
          <cell r="O484">
            <v>0</v>
          </cell>
          <cell r="P484">
            <v>0</v>
          </cell>
          <cell r="Q484">
            <v>0</v>
          </cell>
        </row>
        <row r="485">
          <cell r="A485">
            <v>70020</v>
          </cell>
          <cell r="B485" t="str">
            <v>Wages Regular</v>
          </cell>
          <cell r="E485">
            <v>39238.25</v>
          </cell>
          <cell r="F485">
            <v>41055.800000000003</v>
          </cell>
          <cell r="G485">
            <v>43441.67</v>
          </cell>
          <cell r="H485">
            <v>43159.68</v>
          </cell>
          <cell r="I485">
            <v>40707.99</v>
          </cell>
          <cell r="J485">
            <v>44340.75</v>
          </cell>
          <cell r="K485">
            <v>44034.15</v>
          </cell>
          <cell r="L485">
            <v>37123.65</v>
          </cell>
          <cell r="M485">
            <v>40606.129999999997</v>
          </cell>
          <cell r="N485">
            <v>42194.06</v>
          </cell>
          <cell r="O485">
            <v>45471.69</v>
          </cell>
          <cell r="P485">
            <v>48949.11</v>
          </cell>
          <cell r="Q485">
            <v>510322.93</v>
          </cell>
        </row>
        <row r="486">
          <cell r="A486">
            <v>70025</v>
          </cell>
          <cell r="B486" t="str">
            <v>Wages O.T.</v>
          </cell>
          <cell r="E486">
            <v>2096.58</v>
          </cell>
          <cell r="F486">
            <v>2256.92</v>
          </cell>
          <cell r="G486">
            <v>520.88</v>
          </cell>
          <cell r="H486">
            <v>1862.34</v>
          </cell>
          <cell r="I486">
            <v>3126.98</v>
          </cell>
          <cell r="J486">
            <v>1540.45</v>
          </cell>
          <cell r="K486">
            <v>2442.46</v>
          </cell>
          <cell r="L486">
            <v>2985.84</v>
          </cell>
          <cell r="M486">
            <v>1455.97</v>
          </cell>
          <cell r="N486">
            <v>1845.98</v>
          </cell>
          <cell r="O486">
            <v>2373.81</v>
          </cell>
          <cell r="P486">
            <v>1626.79</v>
          </cell>
          <cell r="Q486">
            <v>24135.000000000004</v>
          </cell>
        </row>
        <row r="487">
          <cell r="A487">
            <v>70030</v>
          </cell>
          <cell r="B487" t="str">
            <v>Corp Allocated Bonus</v>
          </cell>
          <cell r="E487">
            <v>0</v>
          </cell>
          <cell r="F487">
            <v>0</v>
          </cell>
          <cell r="G487">
            <v>0</v>
          </cell>
          <cell r="H487">
            <v>0</v>
          </cell>
          <cell r="I487">
            <v>0</v>
          </cell>
          <cell r="J487">
            <v>0</v>
          </cell>
          <cell r="K487">
            <v>0</v>
          </cell>
          <cell r="L487">
            <v>0</v>
          </cell>
          <cell r="M487">
            <v>0</v>
          </cell>
          <cell r="N487">
            <v>0</v>
          </cell>
          <cell r="O487">
            <v>0</v>
          </cell>
          <cell r="P487">
            <v>0</v>
          </cell>
          <cell r="Q487">
            <v>0</v>
          </cell>
        </row>
        <row r="488">
          <cell r="A488">
            <v>70035</v>
          </cell>
          <cell r="B488" t="str">
            <v>Safety Bonuses</v>
          </cell>
          <cell r="E488">
            <v>0</v>
          </cell>
          <cell r="F488">
            <v>0</v>
          </cell>
          <cell r="G488">
            <v>0</v>
          </cell>
          <cell r="H488">
            <v>0</v>
          </cell>
          <cell r="I488">
            <v>0</v>
          </cell>
          <cell r="J488">
            <v>0</v>
          </cell>
          <cell r="K488">
            <v>0</v>
          </cell>
          <cell r="L488">
            <v>0</v>
          </cell>
          <cell r="M488">
            <v>0</v>
          </cell>
          <cell r="N488">
            <v>0</v>
          </cell>
          <cell r="O488">
            <v>0</v>
          </cell>
          <cell r="P488">
            <v>0</v>
          </cell>
          <cell r="Q488">
            <v>0</v>
          </cell>
        </row>
        <row r="489">
          <cell r="A489">
            <v>70036</v>
          </cell>
          <cell r="B489" t="str">
            <v>Other Bonus/Commission - Non-Safety</v>
          </cell>
          <cell r="E489">
            <v>4809.7700000000004</v>
          </cell>
          <cell r="F489">
            <v>2140.23</v>
          </cell>
          <cell r="G489">
            <v>5107.6499999999996</v>
          </cell>
          <cell r="H489">
            <v>4226.5600000000004</v>
          </cell>
          <cell r="I489">
            <v>1425.85</v>
          </cell>
          <cell r="J489">
            <v>387.84</v>
          </cell>
          <cell r="K489">
            <v>100</v>
          </cell>
          <cell r="L489">
            <v>3426.61</v>
          </cell>
          <cell r="M489">
            <v>665.4</v>
          </cell>
          <cell r="N489">
            <v>-1015.84</v>
          </cell>
          <cell r="O489">
            <v>581.19000000000005</v>
          </cell>
          <cell r="P489">
            <v>5025.8500000000004</v>
          </cell>
          <cell r="Q489">
            <v>26881.11</v>
          </cell>
        </row>
        <row r="490">
          <cell r="A490">
            <v>70037</v>
          </cell>
          <cell r="B490" t="str">
            <v>Termination Pay</v>
          </cell>
          <cell r="E490">
            <v>0</v>
          </cell>
          <cell r="F490">
            <v>0</v>
          </cell>
          <cell r="G490">
            <v>0</v>
          </cell>
          <cell r="H490">
            <v>0</v>
          </cell>
          <cell r="I490">
            <v>0</v>
          </cell>
          <cell r="J490">
            <v>0</v>
          </cell>
          <cell r="K490">
            <v>0</v>
          </cell>
          <cell r="L490">
            <v>0</v>
          </cell>
          <cell r="M490">
            <v>0</v>
          </cell>
          <cell r="N490">
            <v>0</v>
          </cell>
          <cell r="O490">
            <v>0</v>
          </cell>
          <cell r="P490">
            <v>0</v>
          </cell>
          <cell r="Q490">
            <v>0</v>
          </cell>
        </row>
        <row r="491">
          <cell r="A491">
            <v>70045</v>
          </cell>
          <cell r="B491" t="str">
            <v>Contract Labor</v>
          </cell>
          <cell r="E491">
            <v>6680.67</v>
          </cell>
          <cell r="F491">
            <v>232.03</v>
          </cell>
          <cell r="G491">
            <v>0</v>
          </cell>
          <cell r="H491">
            <v>0</v>
          </cell>
          <cell r="I491">
            <v>0</v>
          </cell>
          <cell r="J491">
            <v>0</v>
          </cell>
          <cell r="K491">
            <v>0</v>
          </cell>
          <cell r="L491">
            <v>10440.92</v>
          </cell>
          <cell r="M491">
            <v>7401.37</v>
          </cell>
          <cell r="N491">
            <v>14152.75</v>
          </cell>
          <cell r="O491">
            <v>1820.49</v>
          </cell>
          <cell r="P491">
            <v>6453.68</v>
          </cell>
          <cell r="Q491">
            <v>47181.909999999996</v>
          </cell>
        </row>
        <row r="492">
          <cell r="A492">
            <v>70050</v>
          </cell>
          <cell r="B492" t="str">
            <v>Payroll Taxes</v>
          </cell>
          <cell r="E492">
            <v>9179.65</v>
          </cell>
          <cell r="F492">
            <v>6291.4</v>
          </cell>
          <cell r="G492">
            <v>7661.43</v>
          </cell>
          <cell r="H492">
            <v>6697.51</v>
          </cell>
          <cell r="I492">
            <v>6629.71</v>
          </cell>
          <cell r="J492">
            <v>7324.51</v>
          </cell>
          <cell r="K492">
            <v>5887.85</v>
          </cell>
          <cell r="L492">
            <v>5608.72</v>
          </cell>
          <cell r="M492">
            <v>5768.98</v>
          </cell>
          <cell r="N492">
            <v>5999.27</v>
          </cell>
          <cell r="O492">
            <v>6190.7</v>
          </cell>
          <cell r="P492">
            <v>6776.28</v>
          </cell>
          <cell r="Q492">
            <v>80016.009999999995</v>
          </cell>
        </row>
        <row r="493">
          <cell r="A493">
            <v>70060</v>
          </cell>
          <cell r="B493" t="str">
            <v>Group Insurance</v>
          </cell>
          <cell r="E493">
            <v>10365.61</v>
          </cell>
          <cell r="F493">
            <v>10230.65</v>
          </cell>
          <cell r="G493">
            <v>8851.43</v>
          </cell>
          <cell r="H493">
            <v>12049.32</v>
          </cell>
          <cell r="I493">
            <v>9943.51</v>
          </cell>
          <cell r="J493">
            <v>9742.43</v>
          </cell>
          <cell r="K493">
            <v>9734.74</v>
          </cell>
          <cell r="L493">
            <v>9561.06</v>
          </cell>
          <cell r="M493">
            <v>8494.4699999999993</v>
          </cell>
          <cell r="N493">
            <v>11177.83</v>
          </cell>
          <cell r="O493">
            <v>11411.65</v>
          </cell>
          <cell r="P493">
            <v>11731.69</v>
          </cell>
          <cell r="Q493">
            <v>123294.39</v>
          </cell>
        </row>
        <row r="494">
          <cell r="A494">
            <v>70065</v>
          </cell>
          <cell r="B494" t="str">
            <v>Vacation Pay</v>
          </cell>
          <cell r="E494">
            <v>5445.15</v>
          </cell>
          <cell r="F494">
            <v>2867.53</v>
          </cell>
          <cell r="G494">
            <v>2000.31</v>
          </cell>
          <cell r="H494">
            <v>3981.39</v>
          </cell>
          <cell r="I494">
            <v>4870.18</v>
          </cell>
          <cell r="J494">
            <v>3114.5</v>
          </cell>
          <cell r="K494">
            <v>4765.6099999999997</v>
          </cell>
          <cell r="L494">
            <v>2058.0100000000002</v>
          </cell>
          <cell r="M494">
            <v>3147.12</v>
          </cell>
          <cell r="N494">
            <v>4048.56</v>
          </cell>
          <cell r="O494">
            <v>2256.75</v>
          </cell>
          <cell r="P494">
            <v>3468.68</v>
          </cell>
          <cell r="Q494">
            <v>42023.79</v>
          </cell>
        </row>
        <row r="495">
          <cell r="A495">
            <v>70070</v>
          </cell>
          <cell r="B495" t="str">
            <v>Sick Pay</v>
          </cell>
          <cell r="E495">
            <v>334.55</v>
          </cell>
          <cell r="F495">
            <v>550.89</v>
          </cell>
          <cell r="G495">
            <v>1270.23</v>
          </cell>
          <cell r="H495">
            <v>745.77</v>
          </cell>
          <cell r="I495">
            <v>1246.57</v>
          </cell>
          <cell r="J495">
            <v>334.08</v>
          </cell>
          <cell r="K495">
            <v>365.29</v>
          </cell>
          <cell r="L495">
            <v>1258.6099999999999</v>
          </cell>
          <cell r="M495">
            <v>594.48</v>
          </cell>
          <cell r="N495">
            <v>799.28</v>
          </cell>
          <cell r="O495">
            <v>359.64</v>
          </cell>
          <cell r="P495">
            <v>428.72</v>
          </cell>
          <cell r="Q495">
            <v>8288.1099999999988</v>
          </cell>
        </row>
        <row r="496">
          <cell r="A496">
            <v>70086</v>
          </cell>
          <cell r="B496" t="str">
            <v>Safety and Training</v>
          </cell>
          <cell r="E496">
            <v>307.08999999999997</v>
          </cell>
          <cell r="F496">
            <v>-262.68</v>
          </cell>
          <cell r="G496">
            <v>0</v>
          </cell>
          <cell r="H496">
            <v>0</v>
          </cell>
          <cell r="I496">
            <v>0</v>
          </cell>
          <cell r="J496">
            <v>0</v>
          </cell>
          <cell r="K496">
            <v>0</v>
          </cell>
          <cell r="L496">
            <v>0</v>
          </cell>
          <cell r="M496">
            <v>146.11000000000001</v>
          </cell>
          <cell r="N496">
            <v>550</v>
          </cell>
          <cell r="O496">
            <v>70</v>
          </cell>
          <cell r="P496">
            <v>2091.2399999999998</v>
          </cell>
          <cell r="Q496">
            <v>2901.7599999999998</v>
          </cell>
        </row>
        <row r="497">
          <cell r="A497">
            <v>70090</v>
          </cell>
          <cell r="B497" t="str">
            <v>WCN Training</v>
          </cell>
          <cell r="E497">
            <v>0</v>
          </cell>
          <cell r="F497">
            <v>912.78</v>
          </cell>
          <cell r="G497">
            <v>0</v>
          </cell>
          <cell r="H497">
            <v>0</v>
          </cell>
          <cell r="I497">
            <v>0</v>
          </cell>
          <cell r="J497">
            <v>0</v>
          </cell>
          <cell r="K497">
            <v>0</v>
          </cell>
          <cell r="L497">
            <v>0</v>
          </cell>
          <cell r="M497">
            <v>0</v>
          </cell>
          <cell r="N497">
            <v>0</v>
          </cell>
          <cell r="O497">
            <v>0</v>
          </cell>
          <cell r="P497">
            <v>0</v>
          </cell>
          <cell r="Q497">
            <v>912.78</v>
          </cell>
        </row>
        <row r="498">
          <cell r="A498">
            <v>70095</v>
          </cell>
          <cell r="B498" t="str">
            <v>Empl &amp; Commun Activ</v>
          </cell>
          <cell r="E498">
            <v>14055.36</v>
          </cell>
          <cell r="F498">
            <v>3129.49</v>
          </cell>
          <cell r="G498">
            <v>-8366.42</v>
          </cell>
          <cell r="H498">
            <v>1482.03</v>
          </cell>
          <cell r="I498">
            <v>4740.3999999999996</v>
          </cell>
          <cell r="J498">
            <v>5688.11</v>
          </cell>
          <cell r="K498">
            <v>11283.12</v>
          </cell>
          <cell r="L498">
            <v>21266.09</v>
          </cell>
          <cell r="M498">
            <v>1553.42</v>
          </cell>
          <cell r="N498">
            <v>3453.38</v>
          </cell>
          <cell r="O498">
            <v>4558.05</v>
          </cell>
          <cell r="P498">
            <v>3947.63</v>
          </cell>
          <cell r="Q498">
            <v>66790.659999999989</v>
          </cell>
        </row>
        <row r="499">
          <cell r="A499">
            <v>70105</v>
          </cell>
          <cell r="B499" t="str">
            <v>Employee Relocation</v>
          </cell>
          <cell r="E499">
            <v>0</v>
          </cell>
          <cell r="F499">
            <v>0</v>
          </cell>
          <cell r="G499">
            <v>0</v>
          </cell>
          <cell r="H499">
            <v>0</v>
          </cell>
          <cell r="I499">
            <v>0</v>
          </cell>
          <cell r="J499">
            <v>0</v>
          </cell>
          <cell r="K499">
            <v>0</v>
          </cell>
          <cell r="L499">
            <v>0</v>
          </cell>
          <cell r="M499">
            <v>0</v>
          </cell>
          <cell r="N499">
            <v>0</v>
          </cell>
          <cell r="O499">
            <v>0</v>
          </cell>
          <cell r="P499">
            <v>0</v>
          </cell>
          <cell r="Q499">
            <v>0</v>
          </cell>
        </row>
        <row r="500">
          <cell r="A500">
            <v>70107</v>
          </cell>
          <cell r="B500" t="str">
            <v>Housing Subsidy</v>
          </cell>
          <cell r="E500">
            <v>0</v>
          </cell>
          <cell r="F500">
            <v>0</v>
          </cell>
          <cell r="G500">
            <v>0</v>
          </cell>
          <cell r="H500">
            <v>0</v>
          </cell>
          <cell r="I500">
            <v>0</v>
          </cell>
          <cell r="J500">
            <v>0</v>
          </cell>
          <cell r="K500">
            <v>0</v>
          </cell>
          <cell r="L500">
            <v>0</v>
          </cell>
          <cell r="M500">
            <v>0</v>
          </cell>
          <cell r="N500">
            <v>0</v>
          </cell>
          <cell r="O500">
            <v>0</v>
          </cell>
          <cell r="P500">
            <v>0</v>
          </cell>
          <cell r="Q500">
            <v>0</v>
          </cell>
        </row>
        <row r="501">
          <cell r="A501">
            <v>70108</v>
          </cell>
          <cell r="B501" t="str">
            <v>School Tuition</v>
          </cell>
          <cell r="E501">
            <v>0</v>
          </cell>
          <cell r="F501">
            <v>0</v>
          </cell>
          <cell r="G501">
            <v>0</v>
          </cell>
          <cell r="H501">
            <v>0</v>
          </cell>
          <cell r="I501">
            <v>0</v>
          </cell>
          <cell r="J501">
            <v>0</v>
          </cell>
          <cell r="K501">
            <v>0</v>
          </cell>
          <cell r="L501">
            <v>0</v>
          </cell>
          <cell r="M501">
            <v>0</v>
          </cell>
          <cell r="N501">
            <v>0</v>
          </cell>
          <cell r="O501">
            <v>0</v>
          </cell>
          <cell r="P501">
            <v>0</v>
          </cell>
          <cell r="Q501">
            <v>0</v>
          </cell>
        </row>
        <row r="502">
          <cell r="A502">
            <v>70110</v>
          </cell>
          <cell r="B502" t="str">
            <v>Contributions</v>
          </cell>
          <cell r="E502">
            <v>937.5</v>
          </cell>
          <cell r="F502">
            <v>-1250</v>
          </cell>
          <cell r="G502">
            <v>500</v>
          </cell>
          <cell r="H502">
            <v>2250</v>
          </cell>
          <cell r="I502">
            <v>250</v>
          </cell>
          <cell r="J502">
            <v>500</v>
          </cell>
          <cell r="K502">
            <v>1191.54</v>
          </cell>
          <cell r="L502">
            <v>500</v>
          </cell>
          <cell r="M502">
            <v>0</v>
          </cell>
          <cell r="N502">
            <v>0</v>
          </cell>
          <cell r="O502">
            <v>500</v>
          </cell>
          <cell r="P502">
            <v>0</v>
          </cell>
          <cell r="Q502">
            <v>5379.04</v>
          </cell>
        </row>
        <row r="503">
          <cell r="A503">
            <v>70111</v>
          </cell>
          <cell r="B503" t="str">
            <v>Non Cash Charitable</v>
          </cell>
          <cell r="E503">
            <v>0</v>
          </cell>
          <cell r="F503">
            <v>0</v>
          </cell>
          <cell r="G503">
            <v>0</v>
          </cell>
          <cell r="H503">
            <v>0</v>
          </cell>
          <cell r="I503">
            <v>0</v>
          </cell>
          <cell r="J503">
            <v>0</v>
          </cell>
          <cell r="K503">
            <v>0</v>
          </cell>
          <cell r="L503">
            <v>0</v>
          </cell>
          <cell r="M503">
            <v>0</v>
          </cell>
          <cell r="N503">
            <v>0</v>
          </cell>
          <cell r="O503">
            <v>0</v>
          </cell>
          <cell r="P503">
            <v>0</v>
          </cell>
          <cell r="Q503">
            <v>0</v>
          </cell>
        </row>
        <row r="504">
          <cell r="A504">
            <v>70112</v>
          </cell>
          <cell r="B504" t="str">
            <v>Political Contributions</v>
          </cell>
          <cell r="E504">
            <v>0</v>
          </cell>
          <cell r="F504">
            <v>0</v>
          </cell>
          <cell r="G504">
            <v>0</v>
          </cell>
          <cell r="H504">
            <v>1250</v>
          </cell>
          <cell r="I504">
            <v>0</v>
          </cell>
          <cell r="J504">
            <v>0</v>
          </cell>
          <cell r="K504">
            <v>1250</v>
          </cell>
          <cell r="L504">
            <v>0</v>
          </cell>
          <cell r="M504">
            <v>500</v>
          </cell>
          <cell r="N504">
            <v>250</v>
          </cell>
          <cell r="O504">
            <v>0</v>
          </cell>
          <cell r="P504">
            <v>0</v>
          </cell>
          <cell r="Q504">
            <v>3250</v>
          </cell>
        </row>
        <row r="505">
          <cell r="A505">
            <v>70116</v>
          </cell>
          <cell r="B505" t="str">
            <v>Pension and Profit Sharing</v>
          </cell>
          <cell r="E505">
            <v>991.8</v>
          </cell>
          <cell r="F505">
            <v>1061.8</v>
          </cell>
          <cell r="G505">
            <v>1561.6</v>
          </cell>
          <cell r="H505">
            <v>1001.55</v>
          </cell>
          <cell r="I505">
            <v>1064.48</v>
          </cell>
          <cell r="J505">
            <v>880.04</v>
          </cell>
          <cell r="K505">
            <v>837.46</v>
          </cell>
          <cell r="L505">
            <v>818.44</v>
          </cell>
          <cell r="M505">
            <v>814.08</v>
          </cell>
          <cell r="N505">
            <v>1291.5999999999999</v>
          </cell>
          <cell r="O505">
            <v>832.75</v>
          </cell>
          <cell r="P505">
            <v>978.78</v>
          </cell>
          <cell r="Q505">
            <v>12134.380000000001</v>
          </cell>
        </row>
        <row r="506">
          <cell r="A506">
            <v>70117</v>
          </cell>
          <cell r="B506" t="str">
            <v>Union Pension</v>
          </cell>
          <cell r="E506">
            <v>0</v>
          </cell>
          <cell r="F506">
            <v>0</v>
          </cell>
          <cell r="G506">
            <v>0</v>
          </cell>
          <cell r="H506">
            <v>0</v>
          </cell>
          <cell r="I506">
            <v>0</v>
          </cell>
          <cell r="J506">
            <v>0</v>
          </cell>
          <cell r="K506">
            <v>0</v>
          </cell>
          <cell r="L506">
            <v>0</v>
          </cell>
          <cell r="M506">
            <v>0</v>
          </cell>
          <cell r="N506">
            <v>0</v>
          </cell>
          <cell r="O506">
            <v>0</v>
          </cell>
          <cell r="P506">
            <v>0</v>
          </cell>
          <cell r="Q506">
            <v>0</v>
          </cell>
        </row>
        <row r="507">
          <cell r="A507">
            <v>70142</v>
          </cell>
          <cell r="B507" t="str">
            <v>Fuel Expense</v>
          </cell>
          <cell r="E507">
            <v>0</v>
          </cell>
          <cell r="F507">
            <v>0</v>
          </cell>
          <cell r="G507">
            <v>0</v>
          </cell>
          <cell r="H507">
            <v>0</v>
          </cell>
          <cell r="I507">
            <v>0</v>
          </cell>
          <cell r="J507">
            <v>0</v>
          </cell>
          <cell r="K507">
            <v>0</v>
          </cell>
          <cell r="L507">
            <v>0</v>
          </cell>
          <cell r="M507">
            <v>0</v>
          </cell>
          <cell r="N507">
            <v>0</v>
          </cell>
          <cell r="O507">
            <v>0</v>
          </cell>
          <cell r="P507">
            <v>0</v>
          </cell>
          <cell r="Q507">
            <v>0</v>
          </cell>
        </row>
        <row r="508">
          <cell r="A508">
            <v>70145</v>
          </cell>
          <cell r="B508" t="str">
            <v>Outside Repairs</v>
          </cell>
          <cell r="E508">
            <v>0</v>
          </cell>
          <cell r="F508">
            <v>0</v>
          </cell>
          <cell r="G508">
            <v>0</v>
          </cell>
          <cell r="H508">
            <v>0</v>
          </cell>
          <cell r="I508">
            <v>0</v>
          </cell>
          <cell r="J508">
            <v>0</v>
          </cell>
          <cell r="K508">
            <v>0</v>
          </cell>
          <cell r="L508">
            <v>0</v>
          </cell>
          <cell r="M508">
            <v>0</v>
          </cell>
          <cell r="N508">
            <v>0</v>
          </cell>
          <cell r="O508">
            <v>0</v>
          </cell>
          <cell r="P508">
            <v>0</v>
          </cell>
          <cell r="Q508">
            <v>0</v>
          </cell>
        </row>
        <row r="509">
          <cell r="A509">
            <v>70147</v>
          </cell>
          <cell r="B509" t="str">
            <v>Bldg &amp; Property Maint</v>
          </cell>
          <cell r="E509">
            <v>0</v>
          </cell>
          <cell r="F509">
            <v>0</v>
          </cell>
          <cell r="G509">
            <v>0</v>
          </cell>
          <cell r="H509">
            <v>0</v>
          </cell>
          <cell r="I509">
            <v>0</v>
          </cell>
          <cell r="J509">
            <v>0</v>
          </cell>
          <cell r="K509">
            <v>0</v>
          </cell>
          <cell r="L509">
            <v>0</v>
          </cell>
          <cell r="M509">
            <v>0</v>
          </cell>
          <cell r="N509">
            <v>0</v>
          </cell>
          <cell r="O509">
            <v>0</v>
          </cell>
          <cell r="P509">
            <v>0</v>
          </cell>
          <cell r="Q509">
            <v>0</v>
          </cell>
        </row>
        <row r="510">
          <cell r="A510">
            <v>70148</v>
          </cell>
          <cell r="B510" t="str">
            <v>Allocated Exp In - District</v>
          </cell>
          <cell r="E510">
            <v>9455.33</v>
          </cell>
          <cell r="F510">
            <v>10366.76</v>
          </cell>
          <cell r="G510">
            <v>12777.28</v>
          </cell>
          <cell r="H510">
            <v>9429.9599999999991</v>
          </cell>
          <cell r="I510">
            <v>4111.67</v>
          </cell>
          <cell r="J510">
            <v>13752.97</v>
          </cell>
          <cell r="K510">
            <v>28825.42</v>
          </cell>
          <cell r="L510">
            <v>23366.78</v>
          </cell>
          <cell r="M510">
            <v>-1234.82</v>
          </cell>
          <cell r="N510">
            <v>8735.3799999999992</v>
          </cell>
          <cell r="O510">
            <v>11153.09</v>
          </cell>
          <cell r="P510">
            <v>9005.61</v>
          </cell>
          <cell r="Q510">
            <v>139745.43</v>
          </cell>
        </row>
        <row r="511">
          <cell r="A511">
            <v>70150</v>
          </cell>
          <cell r="B511" t="str">
            <v>Utilities</v>
          </cell>
          <cell r="E511">
            <v>1142.2</v>
          </cell>
          <cell r="F511">
            <v>1092.4000000000001</v>
          </cell>
          <cell r="G511">
            <v>1092.57</v>
          </cell>
          <cell r="H511">
            <v>1056.2</v>
          </cell>
          <cell r="I511">
            <v>971.23</v>
          </cell>
          <cell r="J511">
            <v>927.16</v>
          </cell>
          <cell r="K511">
            <v>0</v>
          </cell>
          <cell r="L511">
            <v>869.77</v>
          </cell>
          <cell r="M511">
            <v>868.91</v>
          </cell>
          <cell r="N511">
            <v>878.75</v>
          </cell>
          <cell r="O511">
            <v>973.97</v>
          </cell>
          <cell r="P511">
            <v>1678.97</v>
          </cell>
          <cell r="Q511">
            <v>11552.13</v>
          </cell>
        </row>
        <row r="512">
          <cell r="A512">
            <v>70165</v>
          </cell>
          <cell r="B512" t="str">
            <v>Communications</v>
          </cell>
          <cell r="E512">
            <v>1837.34</v>
          </cell>
          <cell r="F512">
            <v>1811.33</v>
          </cell>
          <cell r="G512">
            <v>2247.1</v>
          </cell>
          <cell r="H512">
            <v>1908.93</v>
          </cell>
          <cell r="I512">
            <v>2066.65</v>
          </cell>
          <cell r="J512">
            <v>2198.11</v>
          </cell>
          <cell r="K512">
            <v>2042.44</v>
          </cell>
          <cell r="L512">
            <v>2129.4</v>
          </cell>
          <cell r="M512">
            <v>2270.06</v>
          </cell>
          <cell r="N512">
            <v>2682.39</v>
          </cell>
          <cell r="O512">
            <v>1762.11</v>
          </cell>
          <cell r="P512">
            <v>2834.19</v>
          </cell>
          <cell r="Q512">
            <v>25790.05</v>
          </cell>
        </row>
        <row r="513">
          <cell r="A513">
            <v>70166</v>
          </cell>
          <cell r="B513" t="str">
            <v>Office Telephone</v>
          </cell>
          <cell r="E513">
            <v>0</v>
          </cell>
          <cell r="F513">
            <v>0</v>
          </cell>
          <cell r="G513">
            <v>0</v>
          </cell>
          <cell r="H513">
            <v>0</v>
          </cell>
          <cell r="I513">
            <v>0</v>
          </cell>
          <cell r="J513">
            <v>0</v>
          </cell>
          <cell r="K513">
            <v>0</v>
          </cell>
          <cell r="L513">
            <v>0</v>
          </cell>
          <cell r="M513">
            <v>0</v>
          </cell>
          <cell r="N513">
            <v>0</v>
          </cell>
          <cell r="O513">
            <v>0</v>
          </cell>
          <cell r="P513">
            <v>0</v>
          </cell>
          <cell r="Q513">
            <v>0</v>
          </cell>
        </row>
        <row r="514">
          <cell r="A514">
            <v>70167</v>
          </cell>
          <cell r="B514" t="str">
            <v>Cellular Telephone</v>
          </cell>
          <cell r="E514">
            <v>156.94999999999999</v>
          </cell>
          <cell r="F514">
            <v>186.7</v>
          </cell>
          <cell r="G514">
            <v>355.41</v>
          </cell>
          <cell r="H514">
            <v>205.54</v>
          </cell>
          <cell r="I514">
            <v>168.04</v>
          </cell>
          <cell r="J514">
            <v>205.54</v>
          </cell>
          <cell r="K514">
            <v>356.92</v>
          </cell>
          <cell r="L514">
            <v>187.5</v>
          </cell>
          <cell r="M514">
            <v>75</v>
          </cell>
          <cell r="N514">
            <v>223.5</v>
          </cell>
          <cell r="O514">
            <v>226.5</v>
          </cell>
          <cell r="P514">
            <v>150</v>
          </cell>
          <cell r="Q514">
            <v>2497.6</v>
          </cell>
        </row>
        <row r="515">
          <cell r="A515">
            <v>70170</v>
          </cell>
          <cell r="B515" t="str">
            <v>Real Estate Rentals</v>
          </cell>
          <cell r="E515">
            <v>0</v>
          </cell>
          <cell r="F515">
            <v>0</v>
          </cell>
          <cell r="G515">
            <v>0</v>
          </cell>
          <cell r="H515">
            <v>0</v>
          </cell>
          <cell r="I515">
            <v>0</v>
          </cell>
          <cell r="J515">
            <v>0</v>
          </cell>
          <cell r="K515">
            <v>0</v>
          </cell>
          <cell r="L515">
            <v>0</v>
          </cell>
          <cell r="M515">
            <v>0</v>
          </cell>
          <cell r="N515">
            <v>0</v>
          </cell>
          <cell r="O515">
            <v>0</v>
          </cell>
          <cell r="P515">
            <v>0</v>
          </cell>
          <cell r="Q515">
            <v>0</v>
          </cell>
        </row>
        <row r="516">
          <cell r="A516">
            <v>70175</v>
          </cell>
          <cell r="B516" t="str">
            <v>Equip/Vehicle Rental</v>
          </cell>
          <cell r="E516">
            <v>0</v>
          </cell>
          <cell r="F516">
            <v>0</v>
          </cell>
          <cell r="G516">
            <v>0</v>
          </cell>
          <cell r="H516">
            <v>0</v>
          </cell>
          <cell r="I516">
            <v>0</v>
          </cell>
          <cell r="J516">
            <v>0</v>
          </cell>
          <cell r="K516">
            <v>0</v>
          </cell>
          <cell r="L516">
            <v>0</v>
          </cell>
          <cell r="M516">
            <v>0</v>
          </cell>
          <cell r="N516">
            <v>0</v>
          </cell>
          <cell r="O516">
            <v>0</v>
          </cell>
          <cell r="P516">
            <v>0</v>
          </cell>
          <cell r="Q516">
            <v>0</v>
          </cell>
        </row>
        <row r="517">
          <cell r="A517">
            <v>70185</v>
          </cell>
          <cell r="B517" t="str">
            <v>Postage</v>
          </cell>
          <cell r="E517">
            <v>1663.37</v>
          </cell>
          <cell r="F517">
            <v>1464.26</v>
          </cell>
          <cell r="G517">
            <v>492.87</v>
          </cell>
          <cell r="H517">
            <v>1792.31</v>
          </cell>
          <cell r="I517">
            <v>1736.3</v>
          </cell>
          <cell r="J517">
            <v>1600.37</v>
          </cell>
          <cell r="K517">
            <v>417.65</v>
          </cell>
          <cell r="L517">
            <v>1589.73</v>
          </cell>
          <cell r="M517">
            <v>1686.05</v>
          </cell>
          <cell r="N517">
            <v>1653.87</v>
          </cell>
          <cell r="O517">
            <v>1642.82</v>
          </cell>
          <cell r="P517">
            <v>1641.55</v>
          </cell>
          <cell r="Q517">
            <v>17381.149999999998</v>
          </cell>
        </row>
        <row r="518">
          <cell r="A518">
            <v>70190</v>
          </cell>
          <cell r="B518" t="str">
            <v>Registration Fees</v>
          </cell>
          <cell r="E518">
            <v>0</v>
          </cell>
          <cell r="F518">
            <v>0</v>
          </cell>
          <cell r="G518">
            <v>0</v>
          </cell>
          <cell r="H518">
            <v>0</v>
          </cell>
          <cell r="I518">
            <v>0</v>
          </cell>
          <cell r="J518">
            <v>244</v>
          </cell>
          <cell r="K518">
            <v>-244</v>
          </cell>
          <cell r="L518">
            <v>0</v>
          </cell>
          <cell r="M518">
            <v>0</v>
          </cell>
          <cell r="N518">
            <v>450</v>
          </cell>
          <cell r="O518">
            <v>80</v>
          </cell>
          <cell r="P518">
            <v>5</v>
          </cell>
          <cell r="Q518">
            <v>535</v>
          </cell>
        </row>
        <row r="519">
          <cell r="A519">
            <v>70195</v>
          </cell>
          <cell r="B519" t="str">
            <v>Dues and Subscriptions</v>
          </cell>
          <cell r="E519">
            <v>734.67</v>
          </cell>
          <cell r="F519">
            <v>3500</v>
          </cell>
          <cell r="G519">
            <v>654.66999999999996</v>
          </cell>
          <cell r="H519">
            <v>3788.33</v>
          </cell>
          <cell r="I519">
            <v>831.17</v>
          </cell>
          <cell r="J519">
            <v>2522.33</v>
          </cell>
          <cell r="K519">
            <v>3255.67</v>
          </cell>
          <cell r="L519">
            <v>3419.03</v>
          </cell>
          <cell r="M519">
            <v>1208.23</v>
          </cell>
          <cell r="N519">
            <v>2099.1799999999998</v>
          </cell>
          <cell r="O519">
            <v>3420.89</v>
          </cell>
          <cell r="P519">
            <v>1716.89</v>
          </cell>
          <cell r="Q519">
            <v>27151.059999999998</v>
          </cell>
        </row>
        <row r="520">
          <cell r="A520">
            <v>70196</v>
          </cell>
          <cell r="B520" t="str">
            <v>Club Dues</v>
          </cell>
          <cell r="E520">
            <v>0</v>
          </cell>
          <cell r="F520">
            <v>0</v>
          </cell>
          <cell r="G520">
            <v>0</v>
          </cell>
          <cell r="H520">
            <v>0</v>
          </cell>
          <cell r="I520">
            <v>0</v>
          </cell>
          <cell r="J520">
            <v>0</v>
          </cell>
          <cell r="K520">
            <v>0</v>
          </cell>
          <cell r="L520">
            <v>0</v>
          </cell>
          <cell r="M520">
            <v>0</v>
          </cell>
          <cell r="N520">
            <v>0</v>
          </cell>
          <cell r="O520">
            <v>0</v>
          </cell>
          <cell r="P520">
            <v>0</v>
          </cell>
          <cell r="Q520">
            <v>0</v>
          </cell>
        </row>
        <row r="521">
          <cell r="A521">
            <v>70200</v>
          </cell>
          <cell r="B521" t="str">
            <v>Travel</v>
          </cell>
          <cell r="E521">
            <v>225.54</v>
          </cell>
          <cell r="F521">
            <v>769.5</v>
          </cell>
          <cell r="G521">
            <v>907.05</v>
          </cell>
          <cell r="H521">
            <v>0</v>
          </cell>
          <cell r="I521">
            <v>627.9</v>
          </cell>
          <cell r="J521">
            <v>18.75</v>
          </cell>
          <cell r="K521">
            <v>51</v>
          </cell>
          <cell r="L521">
            <v>-46.5</v>
          </cell>
          <cell r="M521">
            <v>1021.88</v>
          </cell>
          <cell r="N521">
            <v>876</v>
          </cell>
          <cell r="O521">
            <v>92.25</v>
          </cell>
          <cell r="P521">
            <v>339.6</v>
          </cell>
          <cell r="Q521">
            <v>4882.97</v>
          </cell>
        </row>
        <row r="522">
          <cell r="A522">
            <v>70201</v>
          </cell>
          <cell r="B522" t="str">
            <v>Entertainment</v>
          </cell>
          <cell r="E522">
            <v>0</v>
          </cell>
          <cell r="F522">
            <v>23.53</v>
          </cell>
          <cell r="G522">
            <v>0</v>
          </cell>
          <cell r="H522">
            <v>321.41000000000003</v>
          </cell>
          <cell r="I522">
            <v>0</v>
          </cell>
          <cell r="J522">
            <v>341.1</v>
          </cell>
          <cell r="K522">
            <v>728.42</v>
          </cell>
          <cell r="L522">
            <v>-72.099999999999994</v>
          </cell>
          <cell r="M522">
            <v>0</v>
          </cell>
          <cell r="N522">
            <v>41.89</v>
          </cell>
          <cell r="O522">
            <v>0</v>
          </cell>
          <cell r="P522">
            <v>0</v>
          </cell>
          <cell r="Q522">
            <v>1384.2500000000002</v>
          </cell>
        </row>
        <row r="523">
          <cell r="A523">
            <v>70202</v>
          </cell>
          <cell r="B523" t="str">
            <v>Excursions Meetings</v>
          </cell>
          <cell r="E523">
            <v>300</v>
          </cell>
          <cell r="F523">
            <v>345.51</v>
          </cell>
          <cell r="G523">
            <v>0</v>
          </cell>
          <cell r="H523">
            <v>0</v>
          </cell>
          <cell r="I523">
            <v>485</v>
          </cell>
          <cell r="J523">
            <v>1248.75</v>
          </cell>
          <cell r="K523">
            <v>0</v>
          </cell>
          <cell r="L523">
            <v>288.39999999999998</v>
          </cell>
          <cell r="M523">
            <v>0</v>
          </cell>
          <cell r="N523">
            <v>0</v>
          </cell>
          <cell r="O523">
            <v>279</v>
          </cell>
          <cell r="P523">
            <v>0</v>
          </cell>
          <cell r="Q523">
            <v>2946.6600000000003</v>
          </cell>
        </row>
        <row r="524">
          <cell r="A524">
            <v>70203</v>
          </cell>
          <cell r="B524" t="str">
            <v>Lodging</v>
          </cell>
          <cell r="E524">
            <v>462.54</v>
          </cell>
          <cell r="F524">
            <v>0</v>
          </cell>
          <cell r="G524">
            <v>0</v>
          </cell>
          <cell r="H524">
            <v>653.4</v>
          </cell>
          <cell r="I524">
            <v>579</v>
          </cell>
          <cell r="J524">
            <v>0</v>
          </cell>
          <cell r="K524">
            <v>797.67</v>
          </cell>
          <cell r="L524">
            <v>618.57000000000005</v>
          </cell>
          <cell r="M524">
            <v>382.5</v>
          </cell>
          <cell r="N524">
            <v>140.19999999999999</v>
          </cell>
          <cell r="O524">
            <v>457.4</v>
          </cell>
          <cell r="P524">
            <v>1133.44</v>
          </cell>
          <cell r="Q524">
            <v>5224.72</v>
          </cell>
        </row>
        <row r="525">
          <cell r="A525">
            <v>70204</v>
          </cell>
          <cell r="B525" t="str">
            <v>Gifts to Customers</v>
          </cell>
          <cell r="E525">
            <v>0</v>
          </cell>
          <cell r="F525">
            <v>0</v>
          </cell>
          <cell r="G525">
            <v>0</v>
          </cell>
          <cell r="H525">
            <v>0</v>
          </cell>
          <cell r="I525">
            <v>0</v>
          </cell>
          <cell r="J525">
            <v>0</v>
          </cell>
          <cell r="K525">
            <v>0</v>
          </cell>
          <cell r="L525">
            <v>0</v>
          </cell>
          <cell r="M525">
            <v>0</v>
          </cell>
          <cell r="N525">
            <v>0</v>
          </cell>
          <cell r="O525">
            <v>0</v>
          </cell>
          <cell r="P525">
            <v>0</v>
          </cell>
          <cell r="Q525">
            <v>0</v>
          </cell>
        </row>
        <row r="526">
          <cell r="A526">
            <v>70205</v>
          </cell>
          <cell r="B526" t="str">
            <v>Travel - Auto</v>
          </cell>
          <cell r="E526">
            <v>592.16</v>
          </cell>
          <cell r="F526">
            <v>812.81</v>
          </cell>
          <cell r="G526">
            <v>372.79</v>
          </cell>
          <cell r="H526">
            <v>924.67</v>
          </cell>
          <cell r="I526">
            <v>591.26</v>
          </cell>
          <cell r="J526">
            <v>614.52</v>
          </cell>
          <cell r="K526">
            <v>370.59</v>
          </cell>
          <cell r="L526">
            <v>811.62</v>
          </cell>
          <cell r="M526">
            <v>291.60000000000002</v>
          </cell>
          <cell r="N526">
            <v>789.52</v>
          </cell>
          <cell r="O526">
            <v>730.2</v>
          </cell>
          <cell r="P526">
            <v>523.23</v>
          </cell>
          <cell r="Q526">
            <v>7424.9699999999993</v>
          </cell>
        </row>
        <row r="527">
          <cell r="A527">
            <v>70206</v>
          </cell>
          <cell r="B527" t="str">
            <v>Meals</v>
          </cell>
          <cell r="E527">
            <v>155.22</v>
          </cell>
          <cell r="F527">
            <v>199.8</v>
          </cell>
          <cell r="G527">
            <v>112.98</v>
          </cell>
          <cell r="H527">
            <v>115.92</v>
          </cell>
          <cell r="I527">
            <v>277.83</v>
          </cell>
          <cell r="J527">
            <v>270.38</v>
          </cell>
          <cell r="K527">
            <v>579.17999999999995</v>
          </cell>
          <cell r="L527">
            <v>-136.55000000000001</v>
          </cell>
          <cell r="M527">
            <v>50</v>
          </cell>
          <cell r="N527">
            <v>287</v>
          </cell>
          <cell r="O527">
            <v>150.02000000000001</v>
          </cell>
          <cell r="P527">
            <v>59.7</v>
          </cell>
          <cell r="Q527">
            <v>2121.48</v>
          </cell>
        </row>
        <row r="528">
          <cell r="A528">
            <v>70207</v>
          </cell>
          <cell r="B528" t="str">
            <v>Meals with Customers</v>
          </cell>
          <cell r="E528">
            <v>0</v>
          </cell>
          <cell r="F528">
            <v>0</v>
          </cell>
          <cell r="G528">
            <v>0</v>
          </cell>
          <cell r="H528">
            <v>0</v>
          </cell>
          <cell r="I528">
            <v>0</v>
          </cell>
          <cell r="J528">
            <v>0</v>
          </cell>
          <cell r="K528">
            <v>0</v>
          </cell>
          <cell r="L528">
            <v>0</v>
          </cell>
          <cell r="M528">
            <v>0</v>
          </cell>
          <cell r="N528">
            <v>3.75</v>
          </cell>
          <cell r="O528">
            <v>0</v>
          </cell>
          <cell r="P528">
            <v>0</v>
          </cell>
          <cell r="Q528">
            <v>3.75</v>
          </cell>
        </row>
        <row r="529">
          <cell r="A529">
            <v>70209</v>
          </cell>
          <cell r="B529" t="str">
            <v>Photo Supplies</v>
          </cell>
          <cell r="E529">
            <v>0</v>
          </cell>
          <cell r="F529">
            <v>0</v>
          </cell>
          <cell r="G529">
            <v>0</v>
          </cell>
          <cell r="H529">
            <v>0</v>
          </cell>
          <cell r="I529">
            <v>0</v>
          </cell>
          <cell r="J529">
            <v>0</v>
          </cell>
          <cell r="K529">
            <v>0</v>
          </cell>
          <cell r="L529">
            <v>0</v>
          </cell>
          <cell r="M529">
            <v>0</v>
          </cell>
          <cell r="N529">
            <v>0</v>
          </cell>
          <cell r="O529">
            <v>0</v>
          </cell>
          <cell r="P529">
            <v>0</v>
          </cell>
          <cell r="Q529">
            <v>0</v>
          </cell>
        </row>
        <row r="530">
          <cell r="A530">
            <v>70210</v>
          </cell>
          <cell r="B530" t="str">
            <v>Office Supplies and Equip</v>
          </cell>
          <cell r="E530">
            <v>7068.1</v>
          </cell>
          <cell r="F530">
            <v>6155.01</v>
          </cell>
          <cell r="G530">
            <v>3868.92</v>
          </cell>
          <cell r="H530">
            <v>3782.02</v>
          </cell>
          <cell r="I530">
            <v>2862.22</v>
          </cell>
          <cell r="J530">
            <v>4721.92</v>
          </cell>
          <cell r="K530">
            <v>5210.1099999999997</v>
          </cell>
          <cell r="L530">
            <v>4854.1400000000003</v>
          </cell>
          <cell r="M530">
            <v>4059.64</v>
          </cell>
          <cell r="N530">
            <v>7017.47</v>
          </cell>
          <cell r="O530">
            <v>1056.94</v>
          </cell>
          <cell r="P530">
            <v>7841.63</v>
          </cell>
          <cell r="Q530">
            <v>58498.12</v>
          </cell>
        </row>
        <row r="531">
          <cell r="A531">
            <v>70213</v>
          </cell>
          <cell r="B531" t="str">
            <v>P-Card Rebate</v>
          </cell>
          <cell r="E531">
            <v>0</v>
          </cell>
          <cell r="F531">
            <v>0</v>
          </cell>
          <cell r="G531">
            <v>0</v>
          </cell>
          <cell r="H531">
            <v>0</v>
          </cell>
          <cell r="I531">
            <v>0</v>
          </cell>
          <cell r="J531">
            <v>0</v>
          </cell>
          <cell r="K531">
            <v>0</v>
          </cell>
          <cell r="L531">
            <v>0</v>
          </cell>
          <cell r="M531">
            <v>0</v>
          </cell>
          <cell r="N531">
            <v>0</v>
          </cell>
          <cell r="O531">
            <v>0</v>
          </cell>
          <cell r="P531">
            <v>0</v>
          </cell>
          <cell r="Q531">
            <v>0</v>
          </cell>
        </row>
        <row r="532">
          <cell r="A532">
            <v>70214</v>
          </cell>
          <cell r="B532" t="str">
            <v>Credit Card Fees</v>
          </cell>
          <cell r="E532">
            <v>7453.96</v>
          </cell>
          <cell r="F532">
            <v>8072.47</v>
          </cell>
          <cell r="G532">
            <v>8471.26</v>
          </cell>
          <cell r="H532">
            <v>7487.53</v>
          </cell>
          <cell r="I532">
            <v>7402.35</v>
          </cell>
          <cell r="J532">
            <v>8604.07</v>
          </cell>
          <cell r="K532">
            <v>8742.07</v>
          </cell>
          <cell r="L532">
            <v>9298.84</v>
          </cell>
          <cell r="M532">
            <v>9731.43</v>
          </cell>
          <cell r="N532">
            <v>9257.65</v>
          </cell>
          <cell r="O532">
            <v>10120.43</v>
          </cell>
          <cell r="P532">
            <v>9008.27</v>
          </cell>
          <cell r="Q532">
            <v>103650.33</v>
          </cell>
        </row>
        <row r="533">
          <cell r="A533">
            <v>70215</v>
          </cell>
          <cell r="B533" t="str">
            <v>Bank Charges</v>
          </cell>
          <cell r="E533">
            <v>520.58000000000004</v>
          </cell>
          <cell r="F533">
            <v>527.17999999999995</v>
          </cell>
          <cell r="G533">
            <v>539.19000000000005</v>
          </cell>
          <cell r="H533">
            <v>530.33000000000004</v>
          </cell>
          <cell r="I533">
            <v>471.57</v>
          </cell>
          <cell r="J533">
            <v>491.42</v>
          </cell>
          <cell r="K533">
            <v>465.31</v>
          </cell>
          <cell r="L533">
            <v>559.30999999999995</v>
          </cell>
          <cell r="M533">
            <v>476.99</v>
          </cell>
          <cell r="N533">
            <v>385.37</v>
          </cell>
          <cell r="O533">
            <v>367.56</v>
          </cell>
          <cell r="P533">
            <v>638.20000000000005</v>
          </cell>
          <cell r="Q533">
            <v>5973.01</v>
          </cell>
        </row>
        <row r="534">
          <cell r="A534">
            <v>70216</v>
          </cell>
          <cell r="B534" t="str">
            <v>Outside Storages</v>
          </cell>
          <cell r="E534">
            <v>0</v>
          </cell>
          <cell r="F534">
            <v>0</v>
          </cell>
          <cell r="G534">
            <v>0</v>
          </cell>
          <cell r="H534">
            <v>0</v>
          </cell>
          <cell r="I534">
            <v>0</v>
          </cell>
          <cell r="J534">
            <v>0</v>
          </cell>
          <cell r="K534">
            <v>0</v>
          </cell>
          <cell r="L534">
            <v>0</v>
          </cell>
          <cell r="M534">
            <v>0</v>
          </cell>
          <cell r="N534">
            <v>0</v>
          </cell>
          <cell r="O534">
            <v>0</v>
          </cell>
          <cell r="P534">
            <v>0</v>
          </cell>
          <cell r="Q534">
            <v>0</v>
          </cell>
        </row>
        <row r="535">
          <cell r="A535">
            <v>70217</v>
          </cell>
          <cell r="B535" t="str">
            <v>Invoice Printing Costs</v>
          </cell>
          <cell r="E535">
            <v>0</v>
          </cell>
          <cell r="F535">
            <v>0</v>
          </cell>
          <cell r="G535">
            <v>0</v>
          </cell>
          <cell r="H535">
            <v>0</v>
          </cell>
          <cell r="I535">
            <v>0</v>
          </cell>
          <cell r="J535">
            <v>0</v>
          </cell>
          <cell r="K535">
            <v>0</v>
          </cell>
          <cell r="L535">
            <v>0</v>
          </cell>
          <cell r="M535">
            <v>0</v>
          </cell>
          <cell r="N535">
            <v>0</v>
          </cell>
          <cell r="O535">
            <v>0</v>
          </cell>
          <cell r="P535">
            <v>0</v>
          </cell>
          <cell r="Q535">
            <v>0</v>
          </cell>
        </row>
        <row r="536">
          <cell r="A536">
            <v>70225</v>
          </cell>
          <cell r="B536" t="str">
            <v>Advertising and Promotions</v>
          </cell>
          <cell r="E536">
            <v>2100</v>
          </cell>
          <cell r="F536">
            <v>-679.79</v>
          </cell>
          <cell r="G536">
            <v>0</v>
          </cell>
          <cell r="H536">
            <v>31.64</v>
          </cell>
          <cell r="I536">
            <v>0</v>
          </cell>
          <cell r="J536">
            <v>0</v>
          </cell>
          <cell r="K536">
            <v>500</v>
          </cell>
          <cell r="L536">
            <v>710.94</v>
          </cell>
          <cell r="M536">
            <v>0</v>
          </cell>
          <cell r="N536">
            <v>3049.29</v>
          </cell>
          <cell r="O536">
            <v>5336.83</v>
          </cell>
          <cell r="P536">
            <v>0</v>
          </cell>
          <cell r="Q536">
            <v>11048.91</v>
          </cell>
        </row>
        <row r="537">
          <cell r="A537">
            <v>70230</v>
          </cell>
          <cell r="B537" t="str">
            <v>External Recruiter Fees</v>
          </cell>
          <cell r="E537">
            <v>0</v>
          </cell>
          <cell r="F537">
            <v>0</v>
          </cell>
          <cell r="G537">
            <v>0</v>
          </cell>
          <cell r="H537">
            <v>0</v>
          </cell>
          <cell r="I537">
            <v>0</v>
          </cell>
          <cell r="J537">
            <v>0</v>
          </cell>
          <cell r="K537">
            <v>0</v>
          </cell>
          <cell r="L537">
            <v>0</v>
          </cell>
          <cell r="M537">
            <v>0</v>
          </cell>
          <cell r="N537">
            <v>0</v>
          </cell>
          <cell r="O537">
            <v>0</v>
          </cell>
          <cell r="P537">
            <v>0</v>
          </cell>
          <cell r="Q537">
            <v>0</v>
          </cell>
        </row>
        <row r="538">
          <cell r="A538">
            <v>70231</v>
          </cell>
          <cell r="B538" t="str">
            <v>Recruitment Advertising &amp; Expenses</v>
          </cell>
          <cell r="E538">
            <v>0</v>
          </cell>
          <cell r="F538">
            <v>0</v>
          </cell>
          <cell r="G538">
            <v>0</v>
          </cell>
          <cell r="H538">
            <v>0</v>
          </cell>
          <cell r="I538">
            <v>0</v>
          </cell>
          <cell r="J538">
            <v>0</v>
          </cell>
          <cell r="K538">
            <v>0</v>
          </cell>
          <cell r="L538">
            <v>25</v>
          </cell>
          <cell r="M538">
            <v>0</v>
          </cell>
          <cell r="N538">
            <v>0</v>
          </cell>
          <cell r="O538">
            <v>0</v>
          </cell>
          <cell r="P538">
            <v>0</v>
          </cell>
          <cell r="Q538">
            <v>25</v>
          </cell>
        </row>
        <row r="539">
          <cell r="A539">
            <v>70232</v>
          </cell>
          <cell r="B539" t="str">
            <v>Recruitment Travel Expenses</v>
          </cell>
          <cell r="E539">
            <v>0</v>
          </cell>
          <cell r="F539">
            <v>0</v>
          </cell>
          <cell r="G539">
            <v>0</v>
          </cell>
          <cell r="H539">
            <v>0</v>
          </cell>
          <cell r="I539">
            <v>0</v>
          </cell>
          <cell r="J539">
            <v>0</v>
          </cell>
          <cell r="K539">
            <v>0</v>
          </cell>
          <cell r="L539">
            <v>0</v>
          </cell>
          <cell r="M539">
            <v>0</v>
          </cell>
          <cell r="N539">
            <v>0</v>
          </cell>
          <cell r="O539">
            <v>0</v>
          </cell>
          <cell r="P539">
            <v>0</v>
          </cell>
          <cell r="Q539">
            <v>0</v>
          </cell>
        </row>
        <row r="540">
          <cell r="A540">
            <v>70235</v>
          </cell>
          <cell r="B540" t="str">
            <v>Legal</v>
          </cell>
          <cell r="E540">
            <v>134.16</v>
          </cell>
          <cell r="F540">
            <v>0</v>
          </cell>
          <cell r="G540">
            <v>198.36</v>
          </cell>
          <cell r="H540">
            <v>3699.71</v>
          </cell>
          <cell r="I540">
            <v>1056.02</v>
          </cell>
          <cell r="J540">
            <v>682.19</v>
          </cell>
          <cell r="K540">
            <v>3008.78</v>
          </cell>
          <cell r="L540">
            <v>-2300.2800000000002</v>
          </cell>
          <cell r="M540">
            <v>3301.28</v>
          </cell>
          <cell r="N540">
            <v>0.2</v>
          </cell>
          <cell r="O540">
            <v>-0.2</v>
          </cell>
          <cell r="P540">
            <v>1207.32</v>
          </cell>
          <cell r="Q540">
            <v>10987.54</v>
          </cell>
        </row>
        <row r="541">
          <cell r="A541">
            <v>70240</v>
          </cell>
          <cell r="B541" t="str">
            <v>Accounting Professional Fees</v>
          </cell>
          <cell r="E541">
            <v>0</v>
          </cell>
          <cell r="F541">
            <v>0</v>
          </cell>
          <cell r="G541">
            <v>0</v>
          </cell>
          <cell r="H541">
            <v>0</v>
          </cell>
          <cell r="I541">
            <v>0</v>
          </cell>
          <cell r="J541">
            <v>0</v>
          </cell>
          <cell r="K541">
            <v>0</v>
          </cell>
          <cell r="L541">
            <v>0</v>
          </cell>
          <cell r="M541">
            <v>0</v>
          </cell>
          <cell r="N541">
            <v>0</v>
          </cell>
          <cell r="O541">
            <v>0</v>
          </cell>
          <cell r="P541">
            <v>0</v>
          </cell>
          <cell r="Q541">
            <v>0</v>
          </cell>
        </row>
        <row r="542">
          <cell r="A542">
            <v>70245</v>
          </cell>
          <cell r="B542" t="str">
            <v>Payroll Processing Fees</v>
          </cell>
          <cell r="E542">
            <v>324.20999999999998</v>
          </cell>
          <cell r="F542">
            <v>333.23</v>
          </cell>
          <cell r="G542">
            <v>333.23</v>
          </cell>
          <cell r="H542">
            <v>333.23</v>
          </cell>
          <cell r="I542">
            <v>333.23</v>
          </cell>
          <cell r="J542">
            <v>333.23</v>
          </cell>
          <cell r="K542">
            <v>333.23</v>
          </cell>
          <cell r="L542">
            <v>300.73</v>
          </cell>
          <cell r="M542">
            <v>300.73</v>
          </cell>
          <cell r="N542">
            <v>300.73</v>
          </cell>
          <cell r="O542">
            <v>300.86</v>
          </cell>
          <cell r="P542">
            <v>300.86</v>
          </cell>
          <cell r="Q542">
            <v>3827.5000000000005</v>
          </cell>
        </row>
        <row r="543">
          <cell r="A543">
            <v>70250</v>
          </cell>
          <cell r="B543" t="str">
            <v>Acquisition Cost Write Off</v>
          </cell>
          <cell r="E543">
            <v>0</v>
          </cell>
          <cell r="F543">
            <v>0</v>
          </cell>
          <cell r="G543">
            <v>0</v>
          </cell>
          <cell r="H543">
            <v>0</v>
          </cell>
          <cell r="I543">
            <v>0</v>
          </cell>
          <cell r="J543">
            <v>0</v>
          </cell>
          <cell r="K543">
            <v>0</v>
          </cell>
          <cell r="L543">
            <v>0</v>
          </cell>
          <cell r="M543">
            <v>0</v>
          </cell>
          <cell r="N543">
            <v>0</v>
          </cell>
          <cell r="O543">
            <v>0</v>
          </cell>
          <cell r="P543">
            <v>0</v>
          </cell>
          <cell r="Q543">
            <v>0</v>
          </cell>
        </row>
        <row r="544">
          <cell r="A544">
            <v>70254</v>
          </cell>
          <cell r="B544" t="str">
            <v>Corporate Capitalized Expenses</v>
          </cell>
          <cell r="E544">
            <v>0</v>
          </cell>
          <cell r="F544">
            <v>0</v>
          </cell>
          <cell r="G544">
            <v>0</v>
          </cell>
          <cell r="H544">
            <v>0</v>
          </cell>
          <cell r="I544">
            <v>0</v>
          </cell>
          <cell r="J544">
            <v>0</v>
          </cell>
          <cell r="K544">
            <v>0</v>
          </cell>
          <cell r="L544">
            <v>0</v>
          </cell>
          <cell r="M544">
            <v>0</v>
          </cell>
          <cell r="N544">
            <v>0</v>
          </cell>
          <cell r="O544">
            <v>0</v>
          </cell>
          <cell r="P544">
            <v>0</v>
          </cell>
          <cell r="Q544">
            <v>0</v>
          </cell>
        </row>
        <row r="545">
          <cell r="A545">
            <v>70255</v>
          </cell>
          <cell r="B545" t="str">
            <v>Other Prof Fees</v>
          </cell>
          <cell r="E545">
            <v>0</v>
          </cell>
          <cell r="F545">
            <v>659.25</v>
          </cell>
          <cell r="G545">
            <v>168.64</v>
          </cell>
          <cell r="H545">
            <v>0</v>
          </cell>
          <cell r="I545">
            <v>900</v>
          </cell>
          <cell r="J545">
            <v>168.64</v>
          </cell>
          <cell r="K545">
            <v>-900</v>
          </cell>
          <cell r="L545">
            <v>0</v>
          </cell>
          <cell r="M545">
            <v>168.64</v>
          </cell>
          <cell r="N545">
            <v>0</v>
          </cell>
          <cell r="O545">
            <v>548.44000000000005</v>
          </cell>
          <cell r="P545">
            <v>243.29</v>
          </cell>
          <cell r="Q545">
            <v>1956.8999999999996</v>
          </cell>
        </row>
        <row r="546">
          <cell r="A546">
            <v>70271</v>
          </cell>
          <cell r="B546" t="str">
            <v>Property and Liability Insurance</v>
          </cell>
          <cell r="E546">
            <v>0</v>
          </cell>
          <cell r="F546">
            <v>0</v>
          </cell>
          <cell r="G546">
            <v>0</v>
          </cell>
          <cell r="H546">
            <v>0</v>
          </cell>
          <cell r="I546">
            <v>0</v>
          </cell>
          <cell r="J546">
            <v>0</v>
          </cell>
          <cell r="K546">
            <v>0</v>
          </cell>
          <cell r="L546">
            <v>0</v>
          </cell>
          <cell r="M546">
            <v>0</v>
          </cell>
          <cell r="N546">
            <v>0</v>
          </cell>
          <cell r="O546">
            <v>0</v>
          </cell>
          <cell r="P546">
            <v>0</v>
          </cell>
          <cell r="Q546">
            <v>0</v>
          </cell>
        </row>
        <row r="547">
          <cell r="A547">
            <v>70272</v>
          </cell>
          <cell r="B547" t="str">
            <v>Keyman Life Insurance</v>
          </cell>
          <cell r="E547">
            <v>0</v>
          </cell>
          <cell r="F547">
            <v>0</v>
          </cell>
          <cell r="G547">
            <v>0</v>
          </cell>
          <cell r="H547">
            <v>0</v>
          </cell>
          <cell r="I547">
            <v>0</v>
          </cell>
          <cell r="J547">
            <v>0</v>
          </cell>
          <cell r="K547">
            <v>0</v>
          </cell>
          <cell r="L547">
            <v>0</v>
          </cell>
          <cell r="M547">
            <v>0</v>
          </cell>
          <cell r="N547">
            <v>0</v>
          </cell>
          <cell r="O547">
            <v>0</v>
          </cell>
          <cell r="P547">
            <v>0</v>
          </cell>
          <cell r="Q547">
            <v>0</v>
          </cell>
        </row>
        <row r="548">
          <cell r="A548">
            <v>70273</v>
          </cell>
          <cell r="B548" t="str">
            <v>Directors and Officers Insurance</v>
          </cell>
          <cell r="E548">
            <v>0</v>
          </cell>
          <cell r="F548">
            <v>0</v>
          </cell>
          <cell r="G548">
            <v>0</v>
          </cell>
          <cell r="H548">
            <v>0</v>
          </cell>
          <cell r="I548">
            <v>0</v>
          </cell>
          <cell r="J548">
            <v>0</v>
          </cell>
          <cell r="K548">
            <v>0</v>
          </cell>
          <cell r="L548">
            <v>0</v>
          </cell>
          <cell r="M548">
            <v>0</v>
          </cell>
          <cell r="N548">
            <v>0</v>
          </cell>
          <cell r="O548">
            <v>0</v>
          </cell>
          <cell r="P548">
            <v>0</v>
          </cell>
          <cell r="Q548">
            <v>0</v>
          </cell>
        </row>
        <row r="549">
          <cell r="A549">
            <v>70275</v>
          </cell>
          <cell r="B549" t="str">
            <v>Property Taxes</v>
          </cell>
          <cell r="E549">
            <v>3633</v>
          </cell>
          <cell r="F549">
            <v>3633</v>
          </cell>
          <cell r="G549">
            <v>4280.66</v>
          </cell>
          <cell r="H549">
            <v>5100.2</v>
          </cell>
          <cell r="I549">
            <v>5100.2</v>
          </cell>
          <cell r="J549">
            <v>5100.2</v>
          </cell>
          <cell r="K549">
            <v>6353.54</v>
          </cell>
          <cell r="L549">
            <v>4787.74</v>
          </cell>
          <cell r="M549">
            <v>4507.07</v>
          </cell>
          <cell r="N549">
            <v>4985.55</v>
          </cell>
          <cell r="O549">
            <v>5021.75</v>
          </cell>
          <cell r="P549">
            <v>4949.34</v>
          </cell>
          <cell r="Q549">
            <v>57452.25</v>
          </cell>
        </row>
        <row r="550">
          <cell r="A550">
            <v>70280</v>
          </cell>
          <cell r="B550" t="str">
            <v>Other Taxes</v>
          </cell>
          <cell r="E550">
            <v>0</v>
          </cell>
          <cell r="F550">
            <v>0</v>
          </cell>
          <cell r="G550">
            <v>0</v>
          </cell>
          <cell r="H550">
            <v>0</v>
          </cell>
          <cell r="I550">
            <v>0</v>
          </cell>
          <cell r="J550">
            <v>0</v>
          </cell>
          <cell r="K550">
            <v>0</v>
          </cell>
          <cell r="L550">
            <v>0</v>
          </cell>
          <cell r="M550">
            <v>0</v>
          </cell>
          <cell r="N550">
            <v>0</v>
          </cell>
          <cell r="O550">
            <v>0</v>
          </cell>
          <cell r="P550">
            <v>0</v>
          </cell>
          <cell r="Q550">
            <v>0</v>
          </cell>
        </row>
        <row r="551">
          <cell r="A551">
            <v>70300</v>
          </cell>
          <cell r="B551" t="str">
            <v>Data Processing</v>
          </cell>
          <cell r="E551">
            <v>3053.24</v>
          </cell>
          <cell r="F551">
            <v>27123.4</v>
          </cell>
          <cell r="G551">
            <v>1994.05</v>
          </cell>
          <cell r="H551">
            <v>25497.25</v>
          </cell>
          <cell r="I551">
            <v>4148.7299999999996</v>
          </cell>
          <cell r="J551">
            <v>12634.95</v>
          </cell>
          <cell r="K551">
            <v>2733.27</v>
          </cell>
          <cell r="L551">
            <v>28900.27</v>
          </cell>
          <cell r="M551">
            <v>2744.08</v>
          </cell>
          <cell r="N551">
            <v>23341.62</v>
          </cell>
          <cell r="O551">
            <v>2653.19</v>
          </cell>
          <cell r="P551">
            <v>25630.6</v>
          </cell>
          <cell r="Q551">
            <v>160454.65000000002</v>
          </cell>
        </row>
        <row r="552">
          <cell r="A552">
            <v>70301</v>
          </cell>
          <cell r="B552" t="str">
            <v>Computer Software</v>
          </cell>
          <cell r="E552">
            <v>0</v>
          </cell>
          <cell r="F552">
            <v>0</v>
          </cell>
          <cell r="G552">
            <v>0</v>
          </cell>
          <cell r="H552">
            <v>0</v>
          </cell>
          <cell r="I552">
            <v>0</v>
          </cell>
          <cell r="J552">
            <v>0</v>
          </cell>
          <cell r="K552">
            <v>0</v>
          </cell>
          <cell r="L552">
            <v>0</v>
          </cell>
          <cell r="M552">
            <v>0</v>
          </cell>
          <cell r="N552">
            <v>0</v>
          </cell>
          <cell r="O552">
            <v>0</v>
          </cell>
          <cell r="P552">
            <v>0</v>
          </cell>
          <cell r="Q552">
            <v>0</v>
          </cell>
        </row>
        <row r="553">
          <cell r="A553">
            <v>70302</v>
          </cell>
          <cell r="B553" t="str">
            <v>Computer Supplies</v>
          </cell>
          <cell r="E553">
            <v>0</v>
          </cell>
          <cell r="F553">
            <v>435.77</v>
          </cell>
          <cell r="G553">
            <v>693.82</v>
          </cell>
          <cell r="H553">
            <v>0</v>
          </cell>
          <cell r="I553">
            <v>0</v>
          </cell>
          <cell r="J553">
            <v>0</v>
          </cell>
          <cell r="K553">
            <v>71.819999999999993</v>
          </cell>
          <cell r="L553">
            <v>73.77</v>
          </cell>
          <cell r="M553">
            <v>0</v>
          </cell>
          <cell r="N553">
            <v>0</v>
          </cell>
          <cell r="O553">
            <v>0</v>
          </cell>
          <cell r="P553">
            <v>561.86</v>
          </cell>
          <cell r="Q553">
            <v>1837.04</v>
          </cell>
        </row>
        <row r="554">
          <cell r="A554">
            <v>70310</v>
          </cell>
          <cell r="B554" t="str">
            <v>Bad Debt Provision</v>
          </cell>
          <cell r="E554">
            <v>-38144.620000000003</v>
          </cell>
          <cell r="F554">
            <v>34133.97</v>
          </cell>
          <cell r="G554">
            <v>-43595.040000000001</v>
          </cell>
          <cell r="H554">
            <v>39178.03</v>
          </cell>
          <cell r="I554">
            <v>-23435.439999999999</v>
          </cell>
          <cell r="J554">
            <v>54303.69</v>
          </cell>
          <cell r="K554">
            <v>-33171.480000000003</v>
          </cell>
          <cell r="L554">
            <v>54213.2</v>
          </cell>
          <cell r="M554">
            <v>-34096.239999999998</v>
          </cell>
          <cell r="N554">
            <v>57772.45</v>
          </cell>
          <cell r="O554">
            <v>-39518.949999999997</v>
          </cell>
          <cell r="P554">
            <v>53267.67</v>
          </cell>
          <cell r="Q554">
            <v>80907.239999999991</v>
          </cell>
        </row>
        <row r="555">
          <cell r="A555">
            <v>70315</v>
          </cell>
          <cell r="B555" t="str">
            <v>Bad Debt Recoveries</v>
          </cell>
          <cell r="E555">
            <v>0</v>
          </cell>
          <cell r="F555">
            <v>0</v>
          </cell>
          <cell r="G555">
            <v>0</v>
          </cell>
          <cell r="H555">
            <v>0</v>
          </cell>
          <cell r="I555">
            <v>0</v>
          </cell>
          <cell r="J555">
            <v>0</v>
          </cell>
          <cell r="K555">
            <v>0</v>
          </cell>
          <cell r="L555">
            <v>0</v>
          </cell>
          <cell r="M555">
            <v>0</v>
          </cell>
          <cell r="N555">
            <v>0</v>
          </cell>
          <cell r="O555">
            <v>0</v>
          </cell>
          <cell r="P555">
            <v>0</v>
          </cell>
          <cell r="Q555">
            <v>0</v>
          </cell>
        </row>
        <row r="556">
          <cell r="A556">
            <v>70320</v>
          </cell>
          <cell r="B556" t="str">
            <v>Credit and Collection</v>
          </cell>
          <cell r="E556">
            <v>6198.28</v>
          </cell>
          <cell r="F556">
            <v>9319.4599999999991</v>
          </cell>
          <cell r="G556">
            <v>5273.3</v>
          </cell>
          <cell r="H556">
            <v>8215.32</v>
          </cell>
          <cell r="I556">
            <v>5615.84</v>
          </cell>
          <cell r="J556">
            <v>3201.73</v>
          </cell>
          <cell r="K556">
            <v>4767.67</v>
          </cell>
          <cell r="L556">
            <v>2810.14</v>
          </cell>
          <cell r="M556">
            <v>5490.95</v>
          </cell>
          <cell r="N556">
            <v>4968.87</v>
          </cell>
          <cell r="O556">
            <v>5918.1</v>
          </cell>
          <cell r="P556">
            <v>0</v>
          </cell>
          <cell r="Q556">
            <v>61779.659999999996</v>
          </cell>
        </row>
        <row r="557">
          <cell r="A557">
            <v>70324</v>
          </cell>
          <cell r="B557" t="str">
            <v>Penalties and Violations</v>
          </cell>
          <cell r="E557">
            <v>0</v>
          </cell>
          <cell r="F557">
            <v>0</v>
          </cell>
          <cell r="G557">
            <v>0</v>
          </cell>
          <cell r="H557">
            <v>0</v>
          </cell>
          <cell r="I557">
            <v>0</v>
          </cell>
          <cell r="J557">
            <v>0</v>
          </cell>
          <cell r="K557">
            <v>0</v>
          </cell>
          <cell r="L557">
            <v>0</v>
          </cell>
          <cell r="M557">
            <v>0</v>
          </cell>
          <cell r="N557">
            <v>0</v>
          </cell>
          <cell r="O557">
            <v>0</v>
          </cell>
          <cell r="P557">
            <v>0</v>
          </cell>
          <cell r="Q557">
            <v>0</v>
          </cell>
        </row>
        <row r="558">
          <cell r="A558">
            <v>70325</v>
          </cell>
          <cell r="B558" t="str">
            <v>Legal Settlement Payments</v>
          </cell>
          <cell r="E558">
            <v>0</v>
          </cell>
          <cell r="F558">
            <v>0</v>
          </cell>
          <cell r="G558">
            <v>0</v>
          </cell>
          <cell r="H558">
            <v>0</v>
          </cell>
          <cell r="I558">
            <v>0</v>
          </cell>
          <cell r="J558">
            <v>0</v>
          </cell>
          <cell r="K558">
            <v>0</v>
          </cell>
          <cell r="L558">
            <v>0</v>
          </cell>
          <cell r="M558">
            <v>0</v>
          </cell>
          <cell r="N558">
            <v>0</v>
          </cell>
          <cell r="O558">
            <v>0</v>
          </cell>
          <cell r="P558">
            <v>0</v>
          </cell>
          <cell r="Q558">
            <v>0</v>
          </cell>
        </row>
        <row r="559">
          <cell r="A559">
            <v>70326</v>
          </cell>
          <cell r="B559" t="str">
            <v>Deductible Current Year</v>
          </cell>
          <cell r="E559">
            <v>0</v>
          </cell>
          <cell r="F559">
            <v>0</v>
          </cell>
          <cell r="G559">
            <v>0</v>
          </cell>
          <cell r="H559">
            <v>0</v>
          </cell>
          <cell r="I559">
            <v>0</v>
          </cell>
          <cell r="J559">
            <v>0</v>
          </cell>
          <cell r="K559">
            <v>0</v>
          </cell>
          <cell r="L559">
            <v>0</v>
          </cell>
          <cell r="M559">
            <v>0</v>
          </cell>
          <cell r="N559">
            <v>0</v>
          </cell>
          <cell r="O559">
            <v>0</v>
          </cell>
          <cell r="P559">
            <v>0</v>
          </cell>
          <cell r="Q559">
            <v>0</v>
          </cell>
        </row>
        <row r="560">
          <cell r="A560">
            <v>70327</v>
          </cell>
          <cell r="B560" t="str">
            <v>Deductible Dammage</v>
          </cell>
          <cell r="E560">
            <v>0</v>
          </cell>
          <cell r="F560">
            <v>0</v>
          </cell>
          <cell r="G560">
            <v>0</v>
          </cell>
          <cell r="H560">
            <v>0</v>
          </cell>
          <cell r="I560">
            <v>0</v>
          </cell>
          <cell r="J560">
            <v>0</v>
          </cell>
          <cell r="K560">
            <v>0</v>
          </cell>
          <cell r="L560">
            <v>0</v>
          </cell>
          <cell r="M560">
            <v>0</v>
          </cell>
          <cell r="N560">
            <v>0</v>
          </cell>
          <cell r="O560">
            <v>0</v>
          </cell>
          <cell r="P560">
            <v>0</v>
          </cell>
          <cell r="Q560">
            <v>0</v>
          </cell>
        </row>
        <row r="561">
          <cell r="A561">
            <v>70328</v>
          </cell>
          <cell r="B561" t="str">
            <v>Claim Recoveries</v>
          </cell>
          <cell r="E561">
            <v>0</v>
          </cell>
          <cell r="F561">
            <v>0</v>
          </cell>
          <cell r="G561">
            <v>0</v>
          </cell>
          <cell r="H561">
            <v>0</v>
          </cell>
          <cell r="I561">
            <v>0</v>
          </cell>
          <cell r="J561">
            <v>0</v>
          </cell>
          <cell r="K561">
            <v>0</v>
          </cell>
          <cell r="L561">
            <v>0</v>
          </cell>
          <cell r="M561">
            <v>0</v>
          </cell>
          <cell r="N561">
            <v>0</v>
          </cell>
          <cell r="O561">
            <v>0</v>
          </cell>
          <cell r="P561">
            <v>0</v>
          </cell>
          <cell r="Q561">
            <v>0</v>
          </cell>
        </row>
        <row r="562">
          <cell r="A562">
            <v>70330</v>
          </cell>
          <cell r="B562" t="str">
            <v>Deductible Prior Year</v>
          </cell>
          <cell r="E562">
            <v>0</v>
          </cell>
          <cell r="F562">
            <v>0</v>
          </cell>
          <cell r="G562">
            <v>0</v>
          </cell>
          <cell r="H562">
            <v>0</v>
          </cell>
          <cell r="I562">
            <v>0</v>
          </cell>
          <cell r="J562">
            <v>0</v>
          </cell>
          <cell r="K562">
            <v>0</v>
          </cell>
          <cell r="L562">
            <v>0</v>
          </cell>
          <cell r="M562">
            <v>0</v>
          </cell>
          <cell r="N562">
            <v>0</v>
          </cell>
          <cell r="O562">
            <v>0</v>
          </cell>
          <cell r="P562">
            <v>0</v>
          </cell>
          <cell r="Q562">
            <v>0</v>
          </cell>
        </row>
        <row r="563">
          <cell r="A563">
            <v>70335</v>
          </cell>
          <cell r="B563" t="str">
            <v>Miscellaneous</v>
          </cell>
          <cell r="E563">
            <v>0</v>
          </cell>
          <cell r="F563">
            <v>-78.28</v>
          </cell>
          <cell r="G563">
            <v>0</v>
          </cell>
          <cell r="H563">
            <v>-123.75</v>
          </cell>
          <cell r="I563">
            <v>0</v>
          </cell>
          <cell r="J563">
            <v>0</v>
          </cell>
          <cell r="K563">
            <v>0</v>
          </cell>
          <cell r="L563">
            <v>0</v>
          </cell>
          <cell r="M563">
            <v>0</v>
          </cell>
          <cell r="N563">
            <v>0</v>
          </cell>
          <cell r="O563">
            <v>0</v>
          </cell>
          <cell r="P563">
            <v>0</v>
          </cell>
          <cell r="Q563">
            <v>-202.03</v>
          </cell>
        </row>
        <row r="564">
          <cell r="A564">
            <v>70336</v>
          </cell>
          <cell r="B564" t="str">
            <v>Coffe Bar</v>
          </cell>
          <cell r="E564">
            <v>0</v>
          </cell>
          <cell r="F564">
            <v>0</v>
          </cell>
          <cell r="G564">
            <v>0</v>
          </cell>
          <cell r="H564">
            <v>0</v>
          </cell>
          <cell r="I564">
            <v>0</v>
          </cell>
          <cell r="J564">
            <v>0</v>
          </cell>
          <cell r="K564">
            <v>0</v>
          </cell>
          <cell r="L564">
            <v>38.020000000000003</v>
          </cell>
          <cell r="M564">
            <v>0</v>
          </cell>
          <cell r="N564">
            <v>-38.020000000000003</v>
          </cell>
          <cell r="O564">
            <v>0</v>
          </cell>
          <cell r="P564">
            <v>0</v>
          </cell>
          <cell r="Q564">
            <v>0</v>
          </cell>
        </row>
        <row r="565">
          <cell r="A565">
            <v>70345</v>
          </cell>
          <cell r="B565" t="str">
            <v>Security Services</v>
          </cell>
          <cell r="E565">
            <v>0</v>
          </cell>
          <cell r="F565">
            <v>0</v>
          </cell>
          <cell r="G565">
            <v>0</v>
          </cell>
          <cell r="H565">
            <v>0</v>
          </cell>
          <cell r="I565">
            <v>0</v>
          </cell>
          <cell r="J565">
            <v>0</v>
          </cell>
          <cell r="K565">
            <v>0</v>
          </cell>
          <cell r="L565">
            <v>0</v>
          </cell>
          <cell r="M565">
            <v>0</v>
          </cell>
          <cell r="N565">
            <v>0</v>
          </cell>
          <cell r="O565">
            <v>0</v>
          </cell>
          <cell r="P565">
            <v>0</v>
          </cell>
          <cell r="Q565">
            <v>0</v>
          </cell>
        </row>
        <row r="566">
          <cell r="A566">
            <v>70357</v>
          </cell>
          <cell r="B566" t="str">
            <v>Permits</v>
          </cell>
          <cell r="E566">
            <v>0</v>
          </cell>
          <cell r="F566">
            <v>0</v>
          </cell>
          <cell r="G566">
            <v>0</v>
          </cell>
          <cell r="H566">
            <v>0</v>
          </cell>
          <cell r="I566">
            <v>0</v>
          </cell>
          <cell r="J566">
            <v>0</v>
          </cell>
          <cell r="K566">
            <v>0</v>
          </cell>
          <cell r="L566">
            <v>0</v>
          </cell>
          <cell r="M566">
            <v>0</v>
          </cell>
          <cell r="N566">
            <v>0</v>
          </cell>
          <cell r="O566">
            <v>0</v>
          </cell>
          <cell r="P566">
            <v>0</v>
          </cell>
          <cell r="Q566">
            <v>0</v>
          </cell>
        </row>
        <row r="567">
          <cell r="A567">
            <v>70370</v>
          </cell>
          <cell r="B567" t="str">
            <v>Bonds Expense</v>
          </cell>
          <cell r="E567">
            <v>0</v>
          </cell>
          <cell r="F567">
            <v>0</v>
          </cell>
          <cell r="G567">
            <v>0</v>
          </cell>
          <cell r="H567">
            <v>0</v>
          </cell>
          <cell r="I567">
            <v>0</v>
          </cell>
          <cell r="J567">
            <v>0</v>
          </cell>
          <cell r="K567">
            <v>0</v>
          </cell>
          <cell r="L567">
            <v>0</v>
          </cell>
          <cell r="M567">
            <v>0</v>
          </cell>
          <cell r="N567">
            <v>0</v>
          </cell>
          <cell r="O567">
            <v>0</v>
          </cell>
          <cell r="P567">
            <v>0</v>
          </cell>
          <cell r="Q567">
            <v>0</v>
          </cell>
        </row>
        <row r="568">
          <cell r="A568">
            <v>70371</v>
          </cell>
          <cell r="B568" t="str">
            <v>Board of Directors Fees</v>
          </cell>
          <cell r="E568">
            <v>0</v>
          </cell>
          <cell r="F568">
            <v>0</v>
          </cell>
          <cell r="G568">
            <v>0</v>
          </cell>
          <cell r="H568">
            <v>0</v>
          </cell>
          <cell r="I568">
            <v>0</v>
          </cell>
          <cell r="J568">
            <v>0</v>
          </cell>
          <cell r="K568">
            <v>0</v>
          </cell>
          <cell r="L568">
            <v>0</v>
          </cell>
          <cell r="M568">
            <v>0</v>
          </cell>
          <cell r="N568">
            <v>0</v>
          </cell>
          <cell r="O568">
            <v>0</v>
          </cell>
          <cell r="P568">
            <v>0</v>
          </cell>
          <cell r="Q568">
            <v>0</v>
          </cell>
        </row>
        <row r="569">
          <cell r="A569">
            <v>70372</v>
          </cell>
          <cell r="B569" t="str">
            <v>Board of Directors Expense Report</v>
          </cell>
          <cell r="E569">
            <v>0</v>
          </cell>
          <cell r="F569">
            <v>0</v>
          </cell>
          <cell r="G569">
            <v>0</v>
          </cell>
          <cell r="H569">
            <v>0</v>
          </cell>
          <cell r="I569">
            <v>0</v>
          </cell>
          <cell r="J569">
            <v>0</v>
          </cell>
          <cell r="K569">
            <v>0</v>
          </cell>
          <cell r="L569">
            <v>0</v>
          </cell>
          <cell r="M569">
            <v>0</v>
          </cell>
          <cell r="N569">
            <v>0</v>
          </cell>
          <cell r="O569">
            <v>0</v>
          </cell>
          <cell r="P569">
            <v>0</v>
          </cell>
          <cell r="Q569">
            <v>0</v>
          </cell>
        </row>
        <row r="570">
          <cell r="A570">
            <v>70475</v>
          </cell>
          <cell r="B570" t="str">
            <v>Trade Shows</v>
          </cell>
          <cell r="E570">
            <v>0</v>
          </cell>
          <cell r="F570">
            <v>0</v>
          </cell>
          <cell r="G570">
            <v>0</v>
          </cell>
          <cell r="H570">
            <v>0</v>
          </cell>
          <cell r="I570">
            <v>0</v>
          </cell>
          <cell r="J570">
            <v>0</v>
          </cell>
          <cell r="K570">
            <v>0</v>
          </cell>
          <cell r="L570">
            <v>0</v>
          </cell>
          <cell r="M570">
            <v>0</v>
          </cell>
          <cell r="N570">
            <v>0</v>
          </cell>
          <cell r="O570">
            <v>0</v>
          </cell>
          <cell r="P570">
            <v>0</v>
          </cell>
          <cell r="Q570">
            <v>0</v>
          </cell>
        </row>
        <row r="571">
          <cell r="A571">
            <v>70900</v>
          </cell>
          <cell r="B571" t="str">
            <v>Entitiy Formation Costs</v>
          </cell>
          <cell r="E571">
            <v>0</v>
          </cell>
          <cell r="F571">
            <v>0</v>
          </cell>
          <cell r="G571">
            <v>0</v>
          </cell>
          <cell r="H571">
            <v>0</v>
          </cell>
          <cell r="I571">
            <v>0</v>
          </cell>
          <cell r="J571">
            <v>0</v>
          </cell>
          <cell r="K571">
            <v>0</v>
          </cell>
          <cell r="L571">
            <v>0</v>
          </cell>
          <cell r="M571">
            <v>0</v>
          </cell>
          <cell r="N571">
            <v>0</v>
          </cell>
          <cell r="O571">
            <v>0</v>
          </cell>
          <cell r="P571">
            <v>0</v>
          </cell>
          <cell r="Q571">
            <v>0</v>
          </cell>
        </row>
        <row r="572">
          <cell r="A572">
            <v>70998</v>
          </cell>
          <cell r="B572" t="str">
            <v>Allocation Out - District</v>
          </cell>
          <cell r="E572">
            <v>0</v>
          </cell>
          <cell r="F572">
            <v>0</v>
          </cell>
          <cell r="G572">
            <v>0</v>
          </cell>
          <cell r="H572">
            <v>0</v>
          </cell>
          <cell r="I572">
            <v>0</v>
          </cell>
          <cell r="J572">
            <v>0</v>
          </cell>
          <cell r="K572">
            <v>0</v>
          </cell>
          <cell r="L572">
            <v>0</v>
          </cell>
          <cell r="M572">
            <v>0</v>
          </cell>
          <cell r="N572">
            <v>0</v>
          </cell>
          <cell r="O572">
            <v>0</v>
          </cell>
          <cell r="P572">
            <v>0</v>
          </cell>
          <cell r="Q572">
            <v>0</v>
          </cell>
        </row>
        <row r="573">
          <cell r="A573">
            <v>70999</v>
          </cell>
          <cell r="B573" t="str">
            <v>Allocation Out - Out District</v>
          </cell>
          <cell r="E573">
            <v>0</v>
          </cell>
          <cell r="F573">
            <v>0</v>
          </cell>
          <cell r="G573">
            <v>0</v>
          </cell>
          <cell r="H573">
            <v>0</v>
          </cell>
          <cell r="I573">
            <v>0</v>
          </cell>
          <cell r="J573">
            <v>0</v>
          </cell>
          <cell r="K573">
            <v>0</v>
          </cell>
          <cell r="L573">
            <v>0</v>
          </cell>
          <cell r="M573">
            <v>0</v>
          </cell>
          <cell r="N573">
            <v>0</v>
          </cell>
          <cell r="O573">
            <v>0</v>
          </cell>
          <cell r="P573">
            <v>0</v>
          </cell>
          <cell r="Q573">
            <v>0</v>
          </cell>
        </row>
        <row r="574">
          <cell r="A574">
            <v>71000</v>
          </cell>
          <cell r="B574" t="str">
            <v>Stock Comp Expense</v>
          </cell>
          <cell r="E574">
            <v>0</v>
          </cell>
          <cell r="F574">
            <v>0</v>
          </cell>
          <cell r="G574">
            <v>0</v>
          </cell>
          <cell r="H574">
            <v>0</v>
          </cell>
          <cell r="I574">
            <v>0</v>
          </cell>
          <cell r="J574">
            <v>0</v>
          </cell>
          <cell r="K574">
            <v>0</v>
          </cell>
          <cell r="L574">
            <v>0</v>
          </cell>
          <cell r="M574">
            <v>0</v>
          </cell>
          <cell r="N574">
            <v>0</v>
          </cell>
          <cell r="O574">
            <v>0</v>
          </cell>
          <cell r="P574">
            <v>0</v>
          </cell>
          <cell r="Q574">
            <v>0</v>
          </cell>
        </row>
        <row r="575">
          <cell r="A575" t="str">
            <v>Total G&amp;A</v>
          </cell>
          <cell r="E575">
            <v>135458.46000000002</v>
          </cell>
          <cell r="F575">
            <v>208641.47999999992</v>
          </cell>
          <cell r="G575">
            <v>98781.099999999962</v>
          </cell>
          <cell r="H575">
            <v>225439.98</v>
          </cell>
          <cell r="I575">
            <v>124024.28</v>
          </cell>
          <cell r="J575">
            <v>224140.84000000008</v>
          </cell>
          <cell r="K575">
            <v>154049.73000000004</v>
          </cell>
          <cell r="L575">
            <v>264592.3</v>
          </cell>
          <cell r="M575">
            <v>109926.17</v>
          </cell>
          <cell r="N575">
            <v>249406.65000000005</v>
          </cell>
          <cell r="O575">
            <v>123801.06999999996</v>
          </cell>
          <cell r="P575">
            <v>250967.55000000005</v>
          </cell>
          <cell r="Q575">
            <v>2169229.61</v>
          </cell>
        </row>
        <row r="577">
          <cell r="A577" t="str">
            <v>Overhead</v>
          </cell>
        </row>
        <row r="578">
          <cell r="A578">
            <v>70149</v>
          </cell>
          <cell r="B578" t="str">
            <v>Corporate Overhead Allocation In</v>
          </cell>
          <cell r="E578">
            <v>95576.95</v>
          </cell>
          <cell r="F578">
            <v>93754.57</v>
          </cell>
          <cell r="G578">
            <v>96892.32</v>
          </cell>
          <cell r="H578">
            <v>96287.7</v>
          </cell>
          <cell r="I578">
            <v>98950.95</v>
          </cell>
          <cell r="J578">
            <v>99254.64</v>
          </cell>
          <cell r="K578">
            <v>97352.26</v>
          </cell>
          <cell r="L578">
            <v>97777.96</v>
          </cell>
          <cell r="M578">
            <v>98592.93</v>
          </cell>
          <cell r="N578">
            <v>101400.48</v>
          </cell>
          <cell r="O578">
            <v>100544.01</v>
          </cell>
          <cell r="P578">
            <v>100617.72</v>
          </cell>
          <cell r="Q578">
            <v>1177002.49</v>
          </cell>
        </row>
        <row r="579">
          <cell r="A579">
            <v>70159</v>
          </cell>
          <cell r="B579" t="str">
            <v>Region Overhead Allocation In</v>
          </cell>
          <cell r="E579">
            <v>0</v>
          </cell>
          <cell r="F579">
            <v>0</v>
          </cell>
          <cell r="G579">
            <v>0</v>
          </cell>
          <cell r="H579">
            <v>0</v>
          </cell>
          <cell r="I579">
            <v>0</v>
          </cell>
          <cell r="J579">
            <v>0</v>
          </cell>
          <cell r="K579">
            <v>0</v>
          </cell>
          <cell r="L579">
            <v>0</v>
          </cell>
          <cell r="M579">
            <v>0</v>
          </cell>
          <cell r="N579">
            <v>0</v>
          </cell>
          <cell r="O579">
            <v>0</v>
          </cell>
          <cell r="P579">
            <v>0</v>
          </cell>
          <cell r="Q579">
            <v>0</v>
          </cell>
        </row>
        <row r="580">
          <cell r="A580" t="str">
            <v>Total Overhead</v>
          </cell>
          <cell r="E580">
            <v>95576.95</v>
          </cell>
          <cell r="F580">
            <v>93754.57</v>
          </cell>
          <cell r="G580">
            <v>96892.32</v>
          </cell>
          <cell r="H580">
            <v>96287.7</v>
          </cell>
          <cell r="I580">
            <v>98950.95</v>
          </cell>
          <cell r="J580">
            <v>99254.64</v>
          </cell>
          <cell r="K580">
            <v>97352.26</v>
          </cell>
          <cell r="L580">
            <v>97777.96</v>
          </cell>
          <cell r="M580">
            <v>98592.93</v>
          </cell>
          <cell r="N580">
            <v>101400.48</v>
          </cell>
          <cell r="O580">
            <v>100544.01</v>
          </cell>
          <cell r="P580">
            <v>100617.72</v>
          </cell>
          <cell r="Q580">
            <v>1177002.49</v>
          </cell>
        </row>
        <row r="582">
          <cell r="A582" t="str">
            <v>Total SG&amp;A</v>
          </cell>
          <cell r="E582">
            <v>246511.28000000003</v>
          </cell>
          <cell r="F582">
            <v>305793.68999999994</v>
          </cell>
          <cell r="G582">
            <v>203965.25999999998</v>
          </cell>
          <cell r="H582">
            <v>328473.28999999998</v>
          </cell>
          <cell r="I582">
            <v>228706.00999999998</v>
          </cell>
          <cell r="J582">
            <v>331450.5400000001</v>
          </cell>
          <cell r="K582">
            <v>256165.84000000005</v>
          </cell>
          <cell r="L582">
            <v>365954.82</v>
          </cell>
          <cell r="M582">
            <v>239060.30999999997</v>
          </cell>
          <cell r="N582">
            <v>379132.25000000006</v>
          </cell>
          <cell r="O582">
            <v>228004.79999999996</v>
          </cell>
          <cell r="P582">
            <v>390132.22000000003</v>
          </cell>
          <cell r="Q582">
            <v>3503350.3099999996</v>
          </cell>
        </row>
        <row r="584">
          <cell r="A584" t="str">
            <v>EBITDA</v>
          </cell>
          <cell r="E584">
            <v>712085.01999999979</v>
          </cell>
          <cell r="F584">
            <v>772605.35999999987</v>
          </cell>
          <cell r="G584">
            <v>776716.52999999991</v>
          </cell>
          <cell r="H584">
            <v>731539.77</v>
          </cell>
          <cell r="I584">
            <v>769618.66999999934</v>
          </cell>
          <cell r="J584">
            <v>552555.60000000033</v>
          </cell>
          <cell r="K584">
            <v>743010.76999999932</v>
          </cell>
          <cell r="L584">
            <v>663397.72999999952</v>
          </cell>
          <cell r="M584">
            <v>766161.14</v>
          </cell>
          <cell r="N584">
            <v>683037.77000000048</v>
          </cell>
          <cell r="O584">
            <v>782671.56999999972</v>
          </cell>
          <cell r="P584">
            <v>621819.83000000031</v>
          </cell>
          <cell r="Q584">
            <v>8575219.7600000016</v>
          </cell>
        </row>
        <row r="586">
          <cell r="A586" t="str">
            <v>DD&amp;A</v>
          </cell>
        </row>
        <row r="587">
          <cell r="A587" t="str">
            <v>Depreciation</v>
          </cell>
        </row>
        <row r="588">
          <cell r="A588">
            <v>51260</v>
          </cell>
          <cell r="B588" t="str">
            <v>Depreciation</v>
          </cell>
          <cell r="E588">
            <v>128653.02</v>
          </cell>
          <cell r="F588">
            <v>131370.81</v>
          </cell>
          <cell r="G588">
            <v>131344.75</v>
          </cell>
          <cell r="H588">
            <v>130833.62</v>
          </cell>
          <cell r="I588">
            <v>128898.54</v>
          </cell>
          <cell r="J588">
            <v>124756.98</v>
          </cell>
          <cell r="K588">
            <v>129780.01</v>
          </cell>
          <cell r="L588">
            <v>124499.33</v>
          </cell>
          <cell r="M588">
            <v>116250.86</v>
          </cell>
          <cell r="N588">
            <v>116469.34</v>
          </cell>
          <cell r="O588">
            <v>115552.67</v>
          </cell>
          <cell r="P588">
            <v>115400.84</v>
          </cell>
          <cell r="Q588">
            <v>1493810.77</v>
          </cell>
        </row>
        <row r="589">
          <cell r="A589">
            <v>54260</v>
          </cell>
          <cell r="B589" t="str">
            <v>Depreciation</v>
          </cell>
          <cell r="E589">
            <v>44644.21</v>
          </cell>
          <cell r="F589">
            <v>45130.14</v>
          </cell>
          <cell r="G589">
            <v>45176.2</v>
          </cell>
          <cell r="H589">
            <v>45736.24</v>
          </cell>
          <cell r="I589">
            <v>45872.49</v>
          </cell>
          <cell r="J589">
            <v>46097.22</v>
          </cell>
          <cell r="K589">
            <v>46974.19</v>
          </cell>
          <cell r="L589">
            <v>47668</v>
          </cell>
          <cell r="M589">
            <v>47777.17</v>
          </cell>
          <cell r="N589">
            <v>47529.919999999998</v>
          </cell>
          <cell r="O589">
            <v>47583.6</v>
          </cell>
          <cell r="P589">
            <v>47682.03</v>
          </cell>
          <cell r="Q589">
            <v>557871.40999999992</v>
          </cell>
        </row>
        <row r="590">
          <cell r="A590">
            <v>56260</v>
          </cell>
          <cell r="B590" t="str">
            <v>Depreciation</v>
          </cell>
          <cell r="E590">
            <v>0</v>
          </cell>
          <cell r="F590">
            <v>0</v>
          </cell>
          <cell r="G590">
            <v>0</v>
          </cell>
          <cell r="H590">
            <v>0</v>
          </cell>
          <cell r="I590">
            <v>0</v>
          </cell>
          <cell r="J590">
            <v>0</v>
          </cell>
          <cell r="K590">
            <v>0</v>
          </cell>
          <cell r="L590">
            <v>0</v>
          </cell>
          <cell r="M590">
            <v>0</v>
          </cell>
          <cell r="N590">
            <v>0</v>
          </cell>
          <cell r="O590">
            <v>0</v>
          </cell>
          <cell r="P590">
            <v>0</v>
          </cell>
          <cell r="Q590">
            <v>0</v>
          </cell>
        </row>
        <row r="591">
          <cell r="A591">
            <v>57260</v>
          </cell>
          <cell r="B591" t="str">
            <v>Depreciation</v>
          </cell>
          <cell r="E591">
            <v>5579.13</v>
          </cell>
          <cell r="F591">
            <v>5579.15</v>
          </cell>
          <cell r="G591">
            <v>5579.14</v>
          </cell>
          <cell r="H591">
            <v>5579.12</v>
          </cell>
          <cell r="I591">
            <v>5579.14</v>
          </cell>
          <cell r="J591">
            <v>5579.19</v>
          </cell>
          <cell r="K591">
            <v>5579.09</v>
          </cell>
          <cell r="L591">
            <v>5579.1</v>
          </cell>
          <cell r="M591">
            <v>5521.44</v>
          </cell>
          <cell r="N591">
            <v>5521.33</v>
          </cell>
          <cell r="O591">
            <v>5521.37</v>
          </cell>
          <cell r="P591">
            <v>5521.3</v>
          </cell>
          <cell r="Q591">
            <v>66718.5</v>
          </cell>
        </row>
        <row r="592">
          <cell r="A592">
            <v>60260</v>
          </cell>
          <cell r="B592" t="str">
            <v>Depreciation</v>
          </cell>
          <cell r="E592">
            <v>0</v>
          </cell>
          <cell r="F592">
            <v>0</v>
          </cell>
          <cell r="G592">
            <v>0</v>
          </cell>
          <cell r="H592">
            <v>0</v>
          </cell>
          <cell r="I592">
            <v>0</v>
          </cell>
          <cell r="J592">
            <v>0</v>
          </cell>
          <cell r="K592">
            <v>0</v>
          </cell>
          <cell r="L592">
            <v>0</v>
          </cell>
          <cell r="M592">
            <v>0</v>
          </cell>
          <cell r="N592">
            <v>0</v>
          </cell>
          <cell r="O592">
            <v>0</v>
          </cell>
          <cell r="P592">
            <v>0</v>
          </cell>
          <cell r="Q592">
            <v>0</v>
          </cell>
        </row>
        <row r="593">
          <cell r="A593">
            <v>70257</v>
          </cell>
          <cell r="B593" t="str">
            <v>Depreciation</v>
          </cell>
          <cell r="E593">
            <v>0</v>
          </cell>
          <cell r="F593">
            <v>0</v>
          </cell>
          <cell r="G593">
            <v>0</v>
          </cell>
          <cell r="H593">
            <v>0</v>
          </cell>
          <cell r="I593">
            <v>0</v>
          </cell>
          <cell r="J593">
            <v>0</v>
          </cell>
          <cell r="K593">
            <v>0</v>
          </cell>
          <cell r="L593">
            <v>0</v>
          </cell>
          <cell r="M593">
            <v>0</v>
          </cell>
          <cell r="N593">
            <v>0</v>
          </cell>
          <cell r="O593">
            <v>0</v>
          </cell>
          <cell r="P593">
            <v>0</v>
          </cell>
          <cell r="Q593">
            <v>0</v>
          </cell>
        </row>
        <row r="594">
          <cell r="A594">
            <v>70260</v>
          </cell>
          <cell r="B594" t="str">
            <v>Depreciation</v>
          </cell>
          <cell r="E594">
            <v>819.53</v>
          </cell>
          <cell r="F594">
            <v>819.52</v>
          </cell>
          <cell r="G594">
            <v>819.52</v>
          </cell>
          <cell r="H594">
            <v>819.45</v>
          </cell>
          <cell r="I594">
            <v>622.97</v>
          </cell>
          <cell r="J594">
            <v>622.99</v>
          </cell>
          <cell r="K594">
            <v>622.98</v>
          </cell>
          <cell r="L594">
            <v>622.91</v>
          </cell>
          <cell r="M594">
            <v>451.09</v>
          </cell>
          <cell r="N594">
            <v>451.1</v>
          </cell>
          <cell r="O594">
            <v>430.18</v>
          </cell>
          <cell r="P594">
            <v>386.57</v>
          </cell>
          <cell r="Q594">
            <v>7488.8099999999995</v>
          </cell>
        </row>
        <row r="595">
          <cell r="A595" t="str">
            <v>Total Depreciation</v>
          </cell>
          <cell r="E595">
            <v>179695.89</v>
          </cell>
          <cell r="F595">
            <v>182899.62</v>
          </cell>
          <cell r="G595">
            <v>182919.61000000002</v>
          </cell>
          <cell r="H595">
            <v>182968.43</v>
          </cell>
          <cell r="I595">
            <v>180973.14</v>
          </cell>
          <cell r="J595">
            <v>177056.38</v>
          </cell>
          <cell r="K595">
            <v>182956.27000000002</v>
          </cell>
          <cell r="L595">
            <v>178369.34000000003</v>
          </cell>
          <cell r="M595">
            <v>170000.56</v>
          </cell>
          <cell r="N595">
            <v>169971.69</v>
          </cell>
          <cell r="O595">
            <v>169087.81999999998</v>
          </cell>
          <cell r="P595">
            <v>168990.74</v>
          </cell>
          <cell r="Q595">
            <v>2125889.4899999998</v>
          </cell>
        </row>
        <row r="597">
          <cell r="A597" t="str">
            <v>Depletion</v>
          </cell>
        </row>
        <row r="598">
          <cell r="A598">
            <v>46000</v>
          </cell>
          <cell r="B598" t="str">
            <v>Depletion</v>
          </cell>
          <cell r="E598">
            <v>0</v>
          </cell>
          <cell r="F598">
            <v>0</v>
          </cell>
          <cell r="G598">
            <v>0</v>
          </cell>
          <cell r="H598">
            <v>0</v>
          </cell>
          <cell r="I598">
            <v>0</v>
          </cell>
          <cell r="J598">
            <v>0</v>
          </cell>
          <cell r="K598">
            <v>0</v>
          </cell>
          <cell r="L598">
            <v>0</v>
          </cell>
          <cell r="M598">
            <v>0</v>
          </cell>
          <cell r="N598">
            <v>0</v>
          </cell>
          <cell r="O598">
            <v>0</v>
          </cell>
          <cell r="P598">
            <v>0</v>
          </cell>
          <cell r="Q598">
            <v>0</v>
          </cell>
        </row>
        <row r="599">
          <cell r="A599">
            <v>46010</v>
          </cell>
          <cell r="B599" t="str">
            <v>Closure Amortization</v>
          </cell>
          <cell r="E599">
            <v>0</v>
          </cell>
          <cell r="F599">
            <v>0</v>
          </cell>
          <cell r="G599">
            <v>0</v>
          </cell>
          <cell r="H599">
            <v>0</v>
          </cell>
          <cell r="I599">
            <v>0</v>
          </cell>
          <cell r="J599">
            <v>0</v>
          </cell>
          <cell r="K599">
            <v>0</v>
          </cell>
          <cell r="L599">
            <v>0</v>
          </cell>
          <cell r="M599">
            <v>0</v>
          </cell>
          <cell r="N599">
            <v>0</v>
          </cell>
          <cell r="O599">
            <v>0</v>
          </cell>
          <cell r="P599">
            <v>0</v>
          </cell>
          <cell r="Q599">
            <v>0</v>
          </cell>
        </row>
        <row r="600">
          <cell r="A600">
            <v>57261</v>
          </cell>
          <cell r="B600" t="str">
            <v>Airspace Amortization</v>
          </cell>
          <cell r="E600">
            <v>0</v>
          </cell>
          <cell r="F600">
            <v>0</v>
          </cell>
          <cell r="G600">
            <v>0</v>
          </cell>
          <cell r="H600">
            <v>0</v>
          </cell>
          <cell r="I600">
            <v>0</v>
          </cell>
          <cell r="J600">
            <v>0</v>
          </cell>
          <cell r="K600">
            <v>0</v>
          </cell>
          <cell r="L600">
            <v>0</v>
          </cell>
          <cell r="M600">
            <v>0</v>
          </cell>
          <cell r="N600">
            <v>0</v>
          </cell>
          <cell r="O600">
            <v>0</v>
          </cell>
          <cell r="P600">
            <v>0</v>
          </cell>
          <cell r="Q600">
            <v>0</v>
          </cell>
        </row>
        <row r="601">
          <cell r="A601" t="str">
            <v>Total Depletion</v>
          </cell>
          <cell r="E601">
            <v>0</v>
          </cell>
          <cell r="F601">
            <v>0</v>
          </cell>
          <cell r="G601">
            <v>0</v>
          </cell>
          <cell r="H601">
            <v>0</v>
          </cell>
          <cell r="I601">
            <v>0</v>
          </cell>
          <cell r="J601">
            <v>0</v>
          </cell>
          <cell r="K601">
            <v>0</v>
          </cell>
          <cell r="L601">
            <v>0</v>
          </cell>
          <cell r="M601">
            <v>0</v>
          </cell>
          <cell r="N601">
            <v>0</v>
          </cell>
          <cell r="O601">
            <v>0</v>
          </cell>
          <cell r="P601">
            <v>0</v>
          </cell>
          <cell r="Q601">
            <v>0</v>
          </cell>
        </row>
        <row r="603">
          <cell r="A603" t="str">
            <v>Amortization</v>
          </cell>
        </row>
        <row r="604">
          <cell r="A604">
            <v>70264</v>
          </cell>
          <cell r="B604" t="str">
            <v>Amortization</v>
          </cell>
          <cell r="E604">
            <v>0</v>
          </cell>
          <cell r="F604">
            <v>0</v>
          </cell>
          <cell r="G604">
            <v>0</v>
          </cell>
          <cell r="H604">
            <v>0</v>
          </cell>
          <cell r="I604">
            <v>0</v>
          </cell>
          <cell r="J604">
            <v>0</v>
          </cell>
          <cell r="K604">
            <v>0</v>
          </cell>
          <cell r="L604">
            <v>0</v>
          </cell>
          <cell r="M604">
            <v>0</v>
          </cell>
          <cell r="N604">
            <v>0</v>
          </cell>
          <cell r="O604">
            <v>0</v>
          </cell>
          <cell r="P604">
            <v>0</v>
          </cell>
          <cell r="Q604">
            <v>0</v>
          </cell>
        </row>
        <row r="605">
          <cell r="A605">
            <v>70266</v>
          </cell>
          <cell r="B605" t="str">
            <v>Cov. Not to Compete</v>
          </cell>
          <cell r="E605">
            <v>1987.84</v>
          </cell>
          <cell r="F605">
            <v>1987.84</v>
          </cell>
          <cell r="G605">
            <v>1987.83</v>
          </cell>
          <cell r="H605">
            <v>1987.84</v>
          </cell>
          <cell r="I605">
            <v>1987.83</v>
          </cell>
          <cell r="J605">
            <v>1987.83</v>
          </cell>
          <cell r="K605">
            <v>1987.84</v>
          </cell>
          <cell r="L605">
            <v>1987.8</v>
          </cell>
          <cell r="M605">
            <v>0</v>
          </cell>
          <cell r="N605">
            <v>0</v>
          </cell>
          <cell r="O605">
            <v>0</v>
          </cell>
          <cell r="P605">
            <v>0</v>
          </cell>
          <cell r="Q605">
            <v>15902.65</v>
          </cell>
        </row>
        <row r="606">
          <cell r="A606">
            <v>70267</v>
          </cell>
          <cell r="B606" t="str">
            <v>Amortization of Goodwill - Taxable</v>
          </cell>
          <cell r="E606">
            <v>0</v>
          </cell>
          <cell r="F606">
            <v>0</v>
          </cell>
          <cell r="G606">
            <v>0</v>
          </cell>
          <cell r="H606">
            <v>0</v>
          </cell>
          <cell r="I606">
            <v>0</v>
          </cell>
          <cell r="J606">
            <v>0</v>
          </cell>
          <cell r="K606">
            <v>0</v>
          </cell>
          <cell r="L606">
            <v>0</v>
          </cell>
          <cell r="M606">
            <v>0</v>
          </cell>
          <cell r="N606">
            <v>0</v>
          </cell>
          <cell r="O606">
            <v>0</v>
          </cell>
          <cell r="P606">
            <v>0</v>
          </cell>
          <cell r="Q606">
            <v>0</v>
          </cell>
        </row>
        <row r="607">
          <cell r="A607">
            <v>70268</v>
          </cell>
          <cell r="B607" t="str">
            <v>Amortization of Goodwill - Non-Taxable</v>
          </cell>
          <cell r="E607">
            <v>0</v>
          </cell>
          <cell r="F607">
            <v>0</v>
          </cell>
          <cell r="G607">
            <v>0</v>
          </cell>
          <cell r="H607">
            <v>0</v>
          </cell>
          <cell r="I607">
            <v>0</v>
          </cell>
          <cell r="J607">
            <v>0</v>
          </cell>
          <cell r="K607">
            <v>0</v>
          </cell>
          <cell r="L607">
            <v>0</v>
          </cell>
          <cell r="M607">
            <v>0</v>
          </cell>
          <cell r="N607">
            <v>0</v>
          </cell>
          <cell r="O607">
            <v>0</v>
          </cell>
          <cell r="P607">
            <v>0</v>
          </cell>
          <cell r="Q607">
            <v>0</v>
          </cell>
        </row>
        <row r="608">
          <cell r="A608">
            <v>70269</v>
          </cell>
          <cell r="B608" t="str">
            <v>Long Term Contract Amort</v>
          </cell>
          <cell r="E608">
            <v>0</v>
          </cell>
          <cell r="F608">
            <v>0</v>
          </cell>
          <cell r="G608">
            <v>0</v>
          </cell>
          <cell r="H608">
            <v>0</v>
          </cell>
          <cell r="I608">
            <v>0</v>
          </cell>
          <cell r="J608">
            <v>0</v>
          </cell>
          <cell r="K608">
            <v>0</v>
          </cell>
          <cell r="L608">
            <v>0</v>
          </cell>
          <cell r="M608">
            <v>0</v>
          </cell>
          <cell r="N608">
            <v>0</v>
          </cell>
          <cell r="O608">
            <v>0</v>
          </cell>
          <cell r="P608">
            <v>0</v>
          </cell>
          <cell r="Q608">
            <v>0</v>
          </cell>
        </row>
        <row r="609">
          <cell r="A609" t="str">
            <v>Total Amortization</v>
          </cell>
          <cell r="E609">
            <v>1987.84</v>
          </cell>
          <cell r="F609">
            <v>1987.84</v>
          </cell>
          <cell r="G609">
            <v>1987.83</v>
          </cell>
          <cell r="H609">
            <v>1987.84</v>
          </cell>
          <cell r="I609">
            <v>1987.83</v>
          </cell>
          <cell r="J609">
            <v>1987.83</v>
          </cell>
          <cell r="K609">
            <v>1987.84</v>
          </cell>
          <cell r="L609">
            <v>1987.8</v>
          </cell>
          <cell r="M609">
            <v>0</v>
          </cell>
          <cell r="N609">
            <v>0</v>
          </cell>
          <cell r="O609">
            <v>0</v>
          </cell>
          <cell r="P609">
            <v>0</v>
          </cell>
          <cell r="Q609">
            <v>15902.65</v>
          </cell>
        </row>
        <row r="611">
          <cell r="A611" t="str">
            <v>Total DDA</v>
          </cell>
          <cell r="E611">
            <v>181683.73</v>
          </cell>
          <cell r="F611">
            <v>184887.46</v>
          </cell>
          <cell r="G611">
            <v>184907.44</v>
          </cell>
          <cell r="H611">
            <v>184956.27</v>
          </cell>
          <cell r="I611">
            <v>182960.97</v>
          </cell>
          <cell r="J611">
            <v>179044.21</v>
          </cell>
          <cell r="K611">
            <v>184944.11000000002</v>
          </cell>
          <cell r="L611">
            <v>180357.14</v>
          </cell>
          <cell r="M611">
            <v>170000.56</v>
          </cell>
          <cell r="N611">
            <v>169971.69</v>
          </cell>
          <cell r="O611">
            <v>169087.81999999998</v>
          </cell>
          <cell r="P611">
            <v>168990.74</v>
          </cell>
          <cell r="Q611">
            <v>2141792.1399999997</v>
          </cell>
        </row>
        <row r="613">
          <cell r="A613" t="str">
            <v>EBIT</v>
          </cell>
          <cell r="E613">
            <v>530401.2899999998</v>
          </cell>
          <cell r="F613">
            <v>587717.89999999991</v>
          </cell>
          <cell r="G613">
            <v>591809.08999999985</v>
          </cell>
          <cell r="H613">
            <v>546583.5</v>
          </cell>
          <cell r="I613">
            <v>586657.69999999937</v>
          </cell>
          <cell r="J613">
            <v>373511.39000000036</v>
          </cell>
          <cell r="K613">
            <v>558066.65999999933</v>
          </cell>
          <cell r="L613">
            <v>483040.5899999995</v>
          </cell>
          <cell r="M613">
            <v>596160.58000000007</v>
          </cell>
          <cell r="N613">
            <v>513066.08000000048</v>
          </cell>
          <cell r="O613">
            <v>613583.74999999977</v>
          </cell>
          <cell r="P613">
            <v>452829.09000000032</v>
          </cell>
          <cell r="Q613">
            <v>6433427.620000002</v>
          </cell>
        </row>
        <row r="615">
          <cell r="A615" t="str">
            <v>Interest Expense</v>
          </cell>
        </row>
        <row r="616">
          <cell r="A616">
            <v>80000</v>
          </cell>
          <cell r="B616" t="str">
            <v>Interest Expense</v>
          </cell>
          <cell r="E616">
            <v>0</v>
          </cell>
          <cell r="F616">
            <v>0</v>
          </cell>
          <cell r="G616">
            <v>0</v>
          </cell>
          <cell r="H616">
            <v>0</v>
          </cell>
          <cell r="I616">
            <v>0</v>
          </cell>
          <cell r="J616">
            <v>0</v>
          </cell>
          <cell r="K616">
            <v>0</v>
          </cell>
          <cell r="L616">
            <v>0</v>
          </cell>
          <cell r="M616">
            <v>0</v>
          </cell>
          <cell r="N616">
            <v>0</v>
          </cell>
          <cell r="O616">
            <v>0</v>
          </cell>
          <cell r="P616">
            <v>0</v>
          </cell>
          <cell r="Q616">
            <v>0</v>
          </cell>
        </row>
        <row r="617">
          <cell r="A617">
            <v>80001</v>
          </cell>
          <cell r="B617" t="str">
            <v>Debt Accretion</v>
          </cell>
          <cell r="E617">
            <v>0</v>
          </cell>
          <cell r="F617">
            <v>0</v>
          </cell>
          <cell r="G617">
            <v>0</v>
          </cell>
          <cell r="H617">
            <v>0</v>
          </cell>
          <cell r="I617">
            <v>0</v>
          </cell>
          <cell r="J617">
            <v>0</v>
          </cell>
          <cell r="K617">
            <v>0</v>
          </cell>
          <cell r="L617">
            <v>0</v>
          </cell>
          <cell r="M617">
            <v>0</v>
          </cell>
          <cell r="N617">
            <v>0</v>
          </cell>
          <cell r="O617">
            <v>0</v>
          </cell>
          <cell r="P617">
            <v>0</v>
          </cell>
          <cell r="Q617">
            <v>0</v>
          </cell>
        </row>
        <row r="618">
          <cell r="A618">
            <v>80009</v>
          </cell>
          <cell r="B618" t="str">
            <v>Capitalized Interest</v>
          </cell>
          <cell r="E618">
            <v>0</v>
          </cell>
          <cell r="F618">
            <v>0</v>
          </cell>
          <cell r="G618">
            <v>0</v>
          </cell>
          <cell r="H618">
            <v>0</v>
          </cell>
          <cell r="I618">
            <v>0</v>
          </cell>
          <cell r="J618">
            <v>0</v>
          </cell>
          <cell r="K618">
            <v>0</v>
          </cell>
          <cell r="L618">
            <v>0</v>
          </cell>
          <cell r="M618">
            <v>0</v>
          </cell>
          <cell r="N618">
            <v>0</v>
          </cell>
          <cell r="O618">
            <v>0</v>
          </cell>
          <cell r="P618">
            <v>0</v>
          </cell>
          <cell r="Q618">
            <v>0</v>
          </cell>
        </row>
        <row r="619">
          <cell r="A619">
            <v>80099</v>
          </cell>
          <cell r="B619" t="str">
            <v>Interest Allocation</v>
          </cell>
          <cell r="E619">
            <v>0</v>
          </cell>
          <cell r="F619">
            <v>0</v>
          </cell>
          <cell r="G619">
            <v>0</v>
          </cell>
          <cell r="H619">
            <v>0</v>
          </cell>
          <cell r="I619">
            <v>0</v>
          </cell>
          <cell r="J619">
            <v>0</v>
          </cell>
          <cell r="K619">
            <v>0</v>
          </cell>
          <cell r="L619">
            <v>0</v>
          </cell>
          <cell r="M619">
            <v>0</v>
          </cell>
          <cell r="N619">
            <v>0</v>
          </cell>
          <cell r="O619">
            <v>0</v>
          </cell>
          <cell r="P619">
            <v>0</v>
          </cell>
          <cell r="Q619">
            <v>0</v>
          </cell>
        </row>
        <row r="620">
          <cell r="A620" t="str">
            <v>Total Interest Expense</v>
          </cell>
          <cell r="E620">
            <v>0</v>
          </cell>
          <cell r="F620">
            <v>0</v>
          </cell>
          <cell r="G620">
            <v>0</v>
          </cell>
          <cell r="H620">
            <v>0</v>
          </cell>
          <cell r="I620">
            <v>0</v>
          </cell>
          <cell r="J620">
            <v>0</v>
          </cell>
          <cell r="K620">
            <v>0</v>
          </cell>
          <cell r="L620">
            <v>0</v>
          </cell>
          <cell r="M620">
            <v>0</v>
          </cell>
          <cell r="N620">
            <v>0</v>
          </cell>
          <cell r="O620">
            <v>0</v>
          </cell>
          <cell r="P620">
            <v>0</v>
          </cell>
          <cell r="Q620">
            <v>0</v>
          </cell>
        </row>
        <row r="622">
          <cell r="A622" t="str">
            <v>Interest Income</v>
          </cell>
        </row>
        <row r="623">
          <cell r="A623">
            <v>80010</v>
          </cell>
          <cell r="B623" t="str">
            <v>Interest Income</v>
          </cell>
          <cell r="E623">
            <v>0</v>
          </cell>
          <cell r="F623">
            <v>0</v>
          </cell>
          <cell r="G623">
            <v>0</v>
          </cell>
          <cell r="H623">
            <v>0</v>
          </cell>
          <cell r="I623">
            <v>0</v>
          </cell>
          <cell r="J623">
            <v>0</v>
          </cell>
          <cell r="K623">
            <v>0</v>
          </cell>
          <cell r="L623">
            <v>0</v>
          </cell>
          <cell r="M623">
            <v>0</v>
          </cell>
          <cell r="N623">
            <v>0</v>
          </cell>
          <cell r="O623">
            <v>0</v>
          </cell>
          <cell r="P623">
            <v>0</v>
          </cell>
          <cell r="Q623">
            <v>0</v>
          </cell>
        </row>
        <row r="624">
          <cell r="A624" t="str">
            <v>Total Interest Income</v>
          </cell>
          <cell r="E624">
            <v>0</v>
          </cell>
          <cell r="F624">
            <v>0</v>
          </cell>
          <cell r="G624">
            <v>0</v>
          </cell>
          <cell r="H624">
            <v>0</v>
          </cell>
          <cell r="I624">
            <v>0</v>
          </cell>
          <cell r="J624">
            <v>0</v>
          </cell>
          <cell r="K624">
            <v>0</v>
          </cell>
          <cell r="L624">
            <v>0</v>
          </cell>
          <cell r="M624">
            <v>0</v>
          </cell>
          <cell r="N624">
            <v>0</v>
          </cell>
          <cell r="O624">
            <v>0</v>
          </cell>
          <cell r="P624">
            <v>0</v>
          </cell>
          <cell r="Q624">
            <v>0</v>
          </cell>
        </row>
        <row r="626">
          <cell r="A626" t="str">
            <v>Other (Income) and Expense</v>
          </cell>
        </row>
        <row r="627">
          <cell r="A627">
            <v>70901</v>
          </cell>
          <cell r="B627" t="str">
            <v>Pooling Costs</v>
          </cell>
          <cell r="E627">
            <v>0</v>
          </cell>
          <cell r="F627">
            <v>0</v>
          </cell>
          <cell r="G627">
            <v>0</v>
          </cell>
          <cell r="H627">
            <v>0</v>
          </cell>
          <cell r="I627">
            <v>0</v>
          </cell>
          <cell r="J627">
            <v>0</v>
          </cell>
          <cell r="K627">
            <v>0</v>
          </cell>
          <cell r="L627">
            <v>0</v>
          </cell>
          <cell r="M627">
            <v>0</v>
          </cell>
          <cell r="N627">
            <v>0</v>
          </cell>
          <cell r="O627">
            <v>0</v>
          </cell>
          <cell r="P627">
            <v>0</v>
          </cell>
          <cell r="Q627">
            <v>0</v>
          </cell>
        </row>
        <row r="628">
          <cell r="A628">
            <v>91000</v>
          </cell>
          <cell r="B628" t="str">
            <v>Unusual Gain/Loss</v>
          </cell>
          <cell r="E628">
            <v>0</v>
          </cell>
          <cell r="F628">
            <v>0</v>
          </cell>
          <cell r="G628">
            <v>0</v>
          </cell>
          <cell r="H628">
            <v>0</v>
          </cell>
          <cell r="I628">
            <v>0</v>
          </cell>
          <cell r="J628">
            <v>0</v>
          </cell>
          <cell r="K628">
            <v>0</v>
          </cell>
          <cell r="L628">
            <v>0</v>
          </cell>
          <cell r="M628">
            <v>0</v>
          </cell>
          <cell r="N628">
            <v>0</v>
          </cell>
          <cell r="O628">
            <v>0</v>
          </cell>
          <cell r="P628">
            <v>0</v>
          </cell>
          <cell r="Q628">
            <v>0</v>
          </cell>
        </row>
        <row r="629">
          <cell r="A629">
            <v>91001</v>
          </cell>
          <cell r="B629" t="str">
            <v>Investment Distribution Income</v>
          </cell>
          <cell r="E629">
            <v>0</v>
          </cell>
          <cell r="F629">
            <v>0</v>
          </cell>
          <cell r="G629">
            <v>0</v>
          </cell>
          <cell r="H629">
            <v>0</v>
          </cell>
          <cell r="I629">
            <v>0</v>
          </cell>
          <cell r="J629">
            <v>0</v>
          </cell>
          <cell r="K629">
            <v>0</v>
          </cell>
          <cell r="L629">
            <v>0</v>
          </cell>
          <cell r="M629">
            <v>0</v>
          </cell>
          <cell r="N629">
            <v>0</v>
          </cell>
          <cell r="O629">
            <v>0</v>
          </cell>
          <cell r="P629">
            <v>0</v>
          </cell>
          <cell r="Q629">
            <v>0</v>
          </cell>
        </row>
        <row r="630">
          <cell r="A630">
            <v>91002</v>
          </cell>
          <cell r="B630" t="str">
            <v>NSF Fees</v>
          </cell>
          <cell r="E630">
            <v>0</v>
          </cell>
          <cell r="F630">
            <v>0</v>
          </cell>
          <cell r="G630">
            <v>0</v>
          </cell>
          <cell r="H630">
            <v>0</v>
          </cell>
          <cell r="I630">
            <v>0</v>
          </cell>
          <cell r="J630">
            <v>0</v>
          </cell>
          <cell r="K630">
            <v>0</v>
          </cell>
          <cell r="L630">
            <v>0</v>
          </cell>
          <cell r="M630">
            <v>0</v>
          </cell>
          <cell r="N630">
            <v>0</v>
          </cell>
          <cell r="O630">
            <v>0</v>
          </cell>
          <cell r="P630">
            <v>0</v>
          </cell>
          <cell r="Q630">
            <v>0</v>
          </cell>
        </row>
        <row r="631">
          <cell r="A631" t="str">
            <v>Total Other (Income) and Expense</v>
          </cell>
          <cell r="E631">
            <v>0</v>
          </cell>
          <cell r="F631">
            <v>0</v>
          </cell>
          <cell r="G631">
            <v>0</v>
          </cell>
          <cell r="H631">
            <v>0</v>
          </cell>
          <cell r="I631">
            <v>0</v>
          </cell>
          <cell r="J631">
            <v>0</v>
          </cell>
          <cell r="K631">
            <v>0</v>
          </cell>
          <cell r="L631">
            <v>0</v>
          </cell>
          <cell r="M631">
            <v>0</v>
          </cell>
          <cell r="N631">
            <v>0</v>
          </cell>
          <cell r="O631">
            <v>0</v>
          </cell>
          <cell r="P631">
            <v>0</v>
          </cell>
          <cell r="Q631">
            <v>0</v>
          </cell>
        </row>
        <row r="633">
          <cell r="A633" t="str">
            <v>Income Before Taxes and Extraordinary Items</v>
          </cell>
          <cell r="E633">
            <v>530401.2899999998</v>
          </cell>
          <cell r="F633">
            <v>587717.89999999991</v>
          </cell>
          <cell r="G633">
            <v>591809.08999999985</v>
          </cell>
          <cell r="H633">
            <v>546583.5</v>
          </cell>
          <cell r="I633">
            <v>586657.69999999937</v>
          </cell>
          <cell r="J633">
            <v>373511.39000000036</v>
          </cell>
          <cell r="K633">
            <v>558066.65999999933</v>
          </cell>
          <cell r="L633">
            <v>483040.5899999995</v>
          </cell>
          <cell r="M633">
            <v>596160.58000000007</v>
          </cell>
          <cell r="N633">
            <v>513066.08000000048</v>
          </cell>
          <cell r="O633">
            <v>613583.74999999977</v>
          </cell>
          <cell r="P633">
            <v>452829.09000000032</v>
          </cell>
          <cell r="Q633">
            <v>6433427.620000002</v>
          </cell>
        </row>
        <row r="635">
          <cell r="A635" t="str">
            <v>Extraordinary Income and Expense</v>
          </cell>
        </row>
        <row r="636">
          <cell r="A636">
            <v>92999</v>
          </cell>
          <cell r="B636" t="str">
            <v>Extraordinary Gain/Loss</v>
          </cell>
          <cell r="E636">
            <v>0</v>
          </cell>
          <cell r="F636">
            <v>0</v>
          </cell>
          <cell r="G636">
            <v>0</v>
          </cell>
          <cell r="H636">
            <v>0</v>
          </cell>
          <cell r="I636">
            <v>0</v>
          </cell>
          <cell r="J636">
            <v>0</v>
          </cell>
          <cell r="K636">
            <v>0</v>
          </cell>
          <cell r="L636">
            <v>0</v>
          </cell>
          <cell r="M636">
            <v>0</v>
          </cell>
          <cell r="N636">
            <v>0</v>
          </cell>
          <cell r="O636">
            <v>0</v>
          </cell>
          <cell r="P636">
            <v>0</v>
          </cell>
          <cell r="Q636">
            <v>0</v>
          </cell>
        </row>
        <row r="637">
          <cell r="A637" t="str">
            <v>Total Extraordinary Income and Expense</v>
          </cell>
          <cell r="E637">
            <v>0</v>
          </cell>
          <cell r="F637">
            <v>0</v>
          </cell>
          <cell r="G637">
            <v>0</v>
          </cell>
          <cell r="H637">
            <v>0</v>
          </cell>
          <cell r="I637">
            <v>0</v>
          </cell>
          <cell r="J637">
            <v>0</v>
          </cell>
          <cell r="K637">
            <v>0</v>
          </cell>
          <cell r="L637">
            <v>0</v>
          </cell>
          <cell r="M637">
            <v>0</v>
          </cell>
          <cell r="N637">
            <v>0</v>
          </cell>
          <cell r="O637">
            <v>0</v>
          </cell>
          <cell r="P637">
            <v>0</v>
          </cell>
          <cell r="Q637">
            <v>0</v>
          </cell>
        </row>
        <row r="639">
          <cell r="A639" t="str">
            <v>Net Income Before Taxes</v>
          </cell>
          <cell r="E639">
            <v>530401.2899999998</v>
          </cell>
          <cell r="F639">
            <v>587717.89999999991</v>
          </cell>
          <cell r="G639">
            <v>591809.08999999985</v>
          </cell>
          <cell r="H639">
            <v>546583.5</v>
          </cell>
          <cell r="I639">
            <v>586657.69999999937</v>
          </cell>
          <cell r="J639">
            <v>373511.39000000036</v>
          </cell>
          <cell r="K639">
            <v>558066.65999999933</v>
          </cell>
          <cell r="L639">
            <v>483040.5899999995</v>
          </cell>
          <cell r="M639">
            <v>596160.58000000007</v>
          </cell>
          <cell r="N639">
            <v>513066.08000000048</v>
          </cell>
          <cell r="O639">
            <v>613583.74999999977</v>
          </cell>
          <cell r="P639">
            <v>452829.09000000032</v>
          </cell>
          <cell r="Q639">
            <v>6433427.620000002</v>
          </cell>
        </row>
        <row r="641">
          <cell r="A641" t="str">
            <v>Income Taxes</v>
          </cell>
        </row>
        <row r="642">
          <cell r="A642">
            <v>90000</v>
          </cell>
          <cell r="B642" t="str">
            <v>Taxes -Federal</v>
          </cell>
          <cell r="E642">
            <v>0</v>
          </cell>
          <cell r="F642">
            <v>0</v>
          </cell>
          <cell r="G642">
            <v>0</v>
          </cell>
          <cell r="H642">
            <v>0</v>
          </cell>
          <cell r="I642">
            <v>0</v>
          </cell>
          <cell r="J642">
            <v>0</v>
          </cell>
          <cell r="K642">
            <v>0</v>
          </cell>
          <cell r="L642">
            <v>0</v>
          </cell>
          <cell r="M642">
            <v>0</v>
          </cell>
          <cell r="N642">
            <v>0</v>
          </cell>
          <cell r="O642">
            <v>0</v>
          </cell>
          <cell r="P642">
            <v>0</v>
          </cell>
          <cell r="Q642">
            <v>0</v>
          </cell>
        </row>
        <row r="643">
          <cell r="A643">
            <v>90010</v>
          </cell>
          <cell r="B643" t="str">
            <v>Taxes - State</v>
          </cell>
          <cell r="E643">
            <v>0</v>
          </cell>
          <cell r="F643">
            <v>0</v>
          </cell>
          <cell r="G643">
            <v>0</v>
          </cell>
          <cell r="H643">
            <v>0</v>
          </cell>
          <cell r="I643">
            <v>0</v>
          </cell>
          <cell r="J643">
            <v>0</v>
          </cell>
          <cell r="K643">
            <v>0</v>
          </cell>
          <cell r="L643">
            <v>0</v>
          </cell>
          <cell r="M643">
            <v>0</v>
          </cell>
          <cell r="N643">
            <v>0</v>
          </cell>
          <cell r="O643">
            <v>0</v>
          </cell>
          <cell r="P643">
            <v>0</v>
          </cell>
          <cell r="Q643">
            <v>0</v>
          </cell>
        </row>
        <row r="644">
          <cell r="A644" t="str">
            <v>Total Income Taxes</v>
          </cell>
          <cell r="E644">
            <v>0</v>
          </cell>
          <cell r="F644">
            <v>0</v>
          </cell>
          <cell r="G644">
            <v>0</v>
          </cell>
          <cell r="H644">
            <v>0</v>
          </cell>
          <cell r="I644">
            <v>0</v>
          </cell>
          <cell r="J644">
            <v>0</v>
          </cell>
          <cell r="K644">
            <v>0</v>
          </cell>
          <cell r="L644">
            <v>0</v>
          </cell>
          <cell r="M644">
            <v>0</v>
          </cell>
          <cell r="N644">
            <v>0</v>
          </cell>
          <cell r="O644">
            <v>0</v>
          </cell>
          <cell r="P644">
            <v>0</v>
          </cell>
          <cell r="Q644">
            <v>0</v>
          </cell>
        </row>
        <row r="646">
          <cell r="A646" t="str">
            <v>Net Income</v>
          </cell>
          <cell r="E646">
            <v>530401.2899999998</v>
          </cell>
          <cell r="F646">
            <v>587717.89999999991</v>
          </cell>
          <cell r="G646">
            <v>591809.08999999985</v>
          </cell>
          <cell r="H646">
            <v>546583.5</v>
          </cell>
          <cell r="I646">
            <v>586657.69999999937</v>
          </cell>
          <cell r="J646">
            <v>373511.39000000036</v>
          </cell>
          <cell r="K646">
            <v>558066.65999999933</v>
          </cell>
          <cell r="L646">
            <v>483040.5899999995</v>
          </cell>
          <cell r="M646">
            <v>596160.58000000007</v>
          </cell>
          <cell r="N646">
            <v>513066.08000000048</v>
          </cell>
          <cell r="O646">
            <v>613583.74999999977</v>
          </cell>
          <cell r="P646">
            <v>452829.09000000032</v>
          </cell>
          <cell r="Q646">
            <v>6433427.620000002</v>
          </cell>
        </row>
        <row r="648">
          <cell r="A648" t="str">
            <v>Noncontrolling Interests Expense</v>
          </cell>
        </row>
        <row r="649">
          <cell r="A649">
            <v>92000</v>
          </cell>
          <cell r="B649" t="str">
            <v>Noncontrolling interests</v>
          </cell>
          <cell r="E649">
            <v>0</v>
          </cell>
          <cell r="F649">
            <v>0</v>
          </cell>
          <cell r="G649">
            <v>0</v>
          </cell>
          <cell r="H649">
            <v>0</v>
          </cell>
          <cell r="I649">
            <v>0</v>
          </cell>
          <cell r="J649">
            <v>0</v>
          </cell>
          <cell r="K649">
            <v>0</v>
          </cell>
          <cell r="L649">
            <v>0</v>
          </cell>
          <cell r="M649">
            <v>0</v>
          </cell>
          <cell r="N649">
            <v>0</v>
          </cell>
          <cell r="O649">
            <v>0</v>
          </cell>
          <cell r="P649">
            <v>0</v>
          </cell>
          <cell r="Q649">
            <v>0</v>
          </cell>
        </row>
        <row r="650">
          <cell r="A650" t="str">
            <v>Total Noncontrolling Interests</v>
          </cell>
          <cell r="E650">
            <v>0</v>
          </cell>
          <cell r="F650">
            <v>0</v>
          </cell>
          <cell r="G650">
            <v>0</v>
          </cell>
          <cell r="H650">
            <v>0</v>
          </cell>
          <cell r="I650">
            <v>0</v>
          </cell>
          <cell r="J650">
            <v>0</v>
          </cell>
          <cell r="K650">
            <v>0</v>
          </cell>
          <cell r="L650">
            <v>0</v>
          </cell>
          <cell r="M650">
            <v>0</v>
          </cell>
          <cell r="N650">
            <v>0</v>
          </cell>
          <cell r="O650">
            <v>0</v>
          </cell>
          <cell r="P650">
            <v>0</v>
          </cell>
          <cell r="Q650">
            <v>0</v>
          </cell>
        </row>
        <row r="652">
          <cell r="A652" t="str">
            <v>Net Income Attributable to Waste Connections</v>
          </cell>
          <cell r="E652">
            <v>530401.2899999998</v>
          </cell>
          <cell r="F652">
            <v>587717.89999999991</v>
          </cell>
          <cell r="G652">
            <v>591809.08999999985</v>
          </cell>
          <cell r="H652">
            <v>546583.5</v>
          </cell>
          <cell r="I652">
            <v>586657.69999999937</v>
          </cell>
          <cell r="J652">
            <v>373511.39000000036</v>
          </cell>
          <cell r="K652">
            <v>558066.65999999933</v>
          </cell>
          <cell r="L652">
            <v>483040.5899999995</v>
          </cell>
          <cell r="M652">
            <v>596160.58000000007</v>
          </cell>
          <cell r="N652">
            <v>513066.08000000048</v>
          </cell>
          <cell r="O652">
            <v>613583.74999999977</v>
          </cell>
          <cell r="P652">
            <v>452829.09000000032</v>
          </cell>
          <cell r="Q652">
            <v>6433427.620000002</v>
          </cell>
        </row>
        <row r="654">
          <cell r="A654" t="str">
            <v>Net Income Attributable to Waste Connections per categories</v>
          </cell>
          <cell r="E654">
            <v>530401.29</v>
          </cell>
          <cell r="F654">
            <v>587717.9</v>
          </cell>
          <cell r="G654">
            <v>591809.09</v>
          </cell>
          <cell r="H654">
            <v>546583.5</v>
          </cell>
          <cell r="I654">
            <v>586657.69999999995</v>
          </cell>
          <cell r="J654">
            <v>373511.39</v>
          </cell>
          <cell r="K654">
            <v>558066.66</v>
          </cell>
          <cell r="L654">
            <v>483040.59</v>
          </cell>
          <cell r="M654">
            <v>596160.57999999996</v>
          </cell>
          <cell r="N654">
            <v>513066.08</v>
          </cell>
          <cell r="O654">
            <v>613583.75</v>
          </cell>
          <cell r="P654">
            <v>452829.09</v>
          </cell>
        </row>
      </sheetData>
      <sheetData sheetId="6" refreshError="1"/>
      <sheetData sheetId="7" refreshError="1">
        <row r="18">
          <cell r="Z18">
            <v>0.33073677436726834</v>
          </cell>
        </row>
        <row r="20">
          <cell r="AC20">
            <v>0.2095860832011289</v>
          </cell>
          <cell r="AK20">
            <v>0.43549015768657823</v>
          </cell>
        </row>
        <row r="39">
          <cell r="AC39">
            <v>0.37964780853584096</v>
          </cell>
        </row>
        <row r="40">
          <cell r="AC40">
            <v>0.36547527560558957</v>
          </cell>
        </row>
        <row r="120">
          <cell r="AE120">
            <v>0.43886061148837213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ControlPanel"/>
      <sheetName val="PL_ActReview"/>
      <sheetName val="PL_ActReview2"/>
      <sheetName val="BS_Close"/>
      <sheetName val="PL_ActTranx"/>
      <sheetName val="IS200PL"/>
      <sheetName val="IS210PL"/>
      <sheetName val="ProjRevCheck"/>
      <sheetName val="BDebtCheck"/>
      <sheetName val="52901Check"/>
      <sheetName val="ICCheck"/>
      <sheetName val="BSCheck"/>
      <sheetName val="BadJECheck"/>
      <sheetName val="JE_Review"/>
      <sheetName val="Proj1"/>
      <sheetName val="Proj2"/>
    </sheetNames>
    <sheetDataSet>
      <sheetData sheetId="0"/>
      <sheetData sheetId="1" refreshError="1">
        <row r="2">
          <cell r="S2" t="str">
            <v>P&amp;L Close Report</v>
          </cell>
        </row>
        <row r="3">
          <cell r="S3" t="str">
            <v>P&amp;L Close Report 2</v>
          </cell>
        </row>
        <row r="4">
          <cell r="S4" t="str">
            <v>BS Close Report</v>
          </cell>
        </row>
        <row r="5">
          <cell r="S5" t="str">
            <v>IS 200 - PL Review</v>
          </cell>
        </row>
        <row r="6">
          <cell r="S6" t="str">
            <v>IS 210 - PL Review</v>
          </cell>
        </row>
        <row r="7">
          <cell r="S7" t="str">
            <v>P&amp;L Tranx Report</v>
          </cell>
        </row>
        <row r="8">
          <cell r="S8" t="str">
            <v>JE Review Report</v>
          </cell>
        </row>
        <row r="9">
          <cell r="S9" t="str">
            <v>Corp: Rev/Proj Check</v>
          </cell>
        </row>
        <row r="10">
          <cell r="S10" t="str">
            <v>Corp: 52901 Check</v>
          </cell>
        </row>
        <row r="11">
          <cell r="S11" t="str">
            <v>Corp: BS Check</v>
          </cell>
        </row>
        <row r="12">
          <cell r="S12" t="str">
            <v>Corp: Bad Debt Check</v>
          </cell>
        </row>
        <row r="13">
          <cell r="S13" t="str">
            <v>Corp: IC Check</v>
          </cell>
        </row>
        <row r="14">
          <cell r="S14" t="str">
            <v>Corp: JE Neg Check</v>
          </cell>
        </row>
        <row r="15">
          <cell r="S15" t="str">
            <v>Proj Review Report</v>
          </cell>
        </row>
        <row r="16">
          <cell r="S16" t="str">
            <v>Proj Review Report 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A, Certification"/>
      <sheetName val="OrgControl"/>
      <sheetName val="InsuranceAccident"/>
      <sheetName val="bsasset"/>
      <sheetName val="bsliab"/>
      <sheetName val="FixedAssets"/>
      <sheetName val="RetainedEarnings"/>
      <sheetName val="Income Statement"/>
      <sheetName val="RevenuesCust"/>
      <sheetName val="Recycle"/>
      <sheetName val="contracts"/>
      <sheetName val="GarbageDisp"/>
      <sheetName val="RecycleProcessing"/>
      <sheetName val="Payroll"/>
      <sheetName val="Fee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A, Certification"/>
      <sheetName val="OrgControl"/>
      <sheetName val="InsuranceAccident"/>
      <sheetName val="bsasset"/>
      <sheetName val="bsliab"/>
      <sheetName val="FixedAssets"/>
      <sheetName val="RetainedEarnings"/>
      <sheetName val="Income Statement"/>
      <sheetName val="RevenuesCust"/>
      <sheetName val="Recycle"/>
      <sheetName val="contracts"/>
      <sheetName val="GarbageDisp"/>
      <sheetName val="RecycleProcessing"/>
      <sheetName val="Payroll"/>
      <sheetName val="Fee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A, Certification"/>
      <sheetName val="OrgControl"/>
      <sheetName val="InsuranceAccident"/>
      <sheetName val="bsasset"/>
      <sheetName val="bsliab"/>
      <sheetName val="FixedAssets"/>
      <sheetName val="RetainedEarnings"/>
      <sheetName val="Income Statement"/>
      <sheetName val="RevenuesCust"/>
      <sheetName val="Recycle"/>
      <sheetName val="contracts"/>
      <sheetName val="GarbageDisp"/>
      <sheetName val="RecycleProcessing"/>
      <sheetName val="Payroll"/>
      <sheetName val="Fee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A, Certification"/>
      <sheetName val="OrgControl"/>
      <sheetName val="InsuranceAccident"/>
      <sheetName val="bsasset"/>
      <sheetName val="bsliab"/>
      <sheetName val="FixedAssets"/>
      <sheetName val="RetainedEarnings"/>
      <sheetName val="Income Statement"/>
      <sheetName val="RevenuesCust"/>
      <sheetName val="Recycle"/>
      <sheetName val="contracts"/>
      <sheetName val="GarbageDisp"/>
      <sheetName val="RecycleProcessing"/>
      <sheetName val="Payroll"/>
      <sheetName val="Fee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A, Certification, pg 1-2"/>
      <sheetName val="OrgControl, pg 3"/>
      <sheetName val="BS-Assets, pg 4"/>
      <sheetName val="BS-Liab, pg 5"/>
      <sheetName val="FixedAssets, pg 6"/>
      <sheetName val="Income Statement, pg 7"/>
      <sheetName val="RevenuesCust, pg 8"/>
      <sheetName val="Recyc-YW, pg 9"/>
      <sheetName val="contracts, pg 10"/>
      <sheetName val="GarbageDisp, pg 11"/>
      <sheetName val="RecycleProcessing, pg 12"/>
      <sheetName val="RetainEarn, pg 13"/>
      <sheetName val="Payroll, pg 14"/>
      <sheetName val="Fuel, pg 15"/>
      <sheetName val="FeeCalc, pg 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Truck Schedule"/>
      <sheetName val="Jun 2011 FAR"/>
      <sheetName val="Scrap List"/>
      <sheetName val="Sheet1"/>
      <sheetName val="Sheet2"/>
      <sheetName val="Sheet3"/>
      <sheetName val="Sheet4"/>
      <sheetName val="Feb'12 FAR Data"/>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Truck Schedule"/>
      <sheetName val="Jun 2011 FAR"/>
      <sheetName val="Scrap List"/>
      <sheetName val="Sheet1"/>
      <sheetName val="Sheet2"/>
      <sheetName val="Sheet3"/>
      <sheetName val="Sheet4"/>
      <sheetName val="Feb'12 FAR Data"/>
      <sheetName val="Sheet5"/>
    </sheetNames>
    <sheetDataSet>
      <sheetData sheetId="0"/>
      <sheetData sheetId="1"/>
      <sheetData sheetId="2"/>
      <sheetData sheetId="3"/>
      <sheetData sheetId="4"/>
      <sheetData sheetId="5"/>
      <sheetData sheetId="6"/>
      <sheetData sheetId="7"/>
      <sheetData sheetId="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Truck Schedule"/>
      <sheetName val="Jun 2011 FAR"/>
      <sheetName val="Scrap List"/>
      <sheetName val="Sheet1"/>
      <sheetName val="Sheet2"/>
      <sheetName val="Sheet3"/>
      <sheetName val="Sheet4"/>
      <sheetName val="Feb'12 FAR Data"/>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Truck Schedule"/>
      <sheetName val="Jun 2011 FAR"/>
      <sheetName val="Scrap List"/>
      <sheetName val="Sheet1"/>
      <sheetName val="Sheet2"/>
      <sheetName val="Sheet3"/>
      <sheetName val="Sheet4"/>
      <sheetName val="Feb'12 FAR Data"/>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ControlPanel"/>
      <sheetName val="4MthProj1"/>
      <sheetName val="4MthProj2"/>
      <sheetName val="PL_ActReview"/>
      <sheetName val="PL_ActReview2"/>
      <sheetName val="BS_Close"/>
      <sheetName val="IS200PL"/>
      <sheetName val="PL_ActTranx"/>
      <sheetName val="IS210PL"/>
      <sheetName val="ProjRevCheck"/>
      <sheetName val="BDebtCheck"/>
      <sheetName val="52901Check"/>
      <sheetName val="ICCheck"/>
      <sheetName val="BSCheck"/>
      <sheetName val="BadJECheck"/>
      <sheetName val="JE_Review"/>
      <sheetName val="Proj1"/>
      <sheetName val="Proj2"/>
    </sheetNames>
    <sheetDataSet>
      <sheetData sheetId="0"/>
      <sheetData sheetId="1">
        <row r="2">
          <cell r="S2" t="str">
            <v>P&amp;L Close Report</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akima BS"/>
      <sheetName val="Yakima IS"/>
      <sheetName val="References"/>
      <sheetName val="Yakima Consolidated IS"/>
      <sheetName val="Ratios"/>
      <sheetName val="Restating Adj's"/>
      <sheetName val="Pro-forma Adj's"/>
      <sheetName val="LG-Total Reg"/>
      <sheetName val="LG-Garbage"/>
      <sheetName val="LG-Recycle"/>
      <sheetName val="LG-Yardwaste"/>
      <sheetName val="Yakima Regulated Price Out"/>
      <sheetName val="Proposed Rates"/>
      <sheetName val="Revenue Summary"/>
      <sheetName val="Depr Summary"/>
      <sheetName val="Yakima Payroll"/>
      <sheetName val="Disposal"/>
      <sheetName val="Fuel Schedule"/>
      <sheetName val="A-Team Summary"/>
      <sheetName val="Roll Off Cust Count"/>
      <sheetName val="DivCon-DVP Alloc In"/>
      <sheetName val="Region OH Calc"/>
      <sheetName val="WCI P&amp;L"/>
      <sheetName val="WCI BS"/>
      <sheetName val="Corp OH"/>
      <sheetName val="July Fuel"/>
      <sheetName val="70149 Detail"/>
      <sheetName val="70095 Detail"/>
      <sheetName val="70195 Detail"/>
      <sheetName val="70255 Detail"/>
      <sheetName val="6.30.17 BS"/>
    </sheetNames>
    <sheetDataSet>
      <sheetData sheetId="0"/>
      <sheetData sheetId="1"/>
      <sheetData sheetId="2"/>
      <sheetData sheetId="3"/>
      <sheetData sheetId="4">
        <row r="9">
          <cell r="C9">
            <v>11707.904196665637</v>
          </cell>
        </row>
      </sheetData>
      <sheetData sheetId="5"/>
      <sheetData sheetId="6"/>
      <sheetData sheetId="7"/>
      <sheetData sheetId="8"/>
      <sheetData sheetId="9"/>
      <sheetData sheetId="10"/>
      <sheetData sheetId="11"/>
      <sheetData sheetId="12"/>
      <sheetData sheetId="13"/>
      <sheetData sheetId="14"/>
      <sheetData sheetId="15">
        <row r="64">
          <cell r="AD64">
            <v>39497.889248855761</v>
          </cell>
        </row>
      </sheetData>
      <sheetData sheetId="16"/>
      <sheetData sheetId="17">
        <row r="39">
          <cell r="B39">
            <v>2349.7995013614564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 Cust Count"/>
    </sheetNames>
    <sheetDataSet>
      <sheetData sheetId="0">
        <row r="9">
          <cell r="M9">
            <v>16</v>
          </cell>
        </row>
        <row r="10">
          <cell r="M10">
            <v>2</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 Study Summary"/>
      <sheetName val="Week 1 Time"/>
      <sheetName val="Week 2 Time"/>
    </sheetNames>
    <sheetDataSet>
      <sheetData sheetId="0">
        <row r="11">
          <cell r="C11">
            <v>90.515000000000001</v>
          </cell>
          <cell r="D11">
            <v>9.875</v>
          </cell>
        </row>
        <row r="13">
          <cell r="C13">
            <v>17.625</v>
          </cell>
          <cell r="D13">
            <v>2</v>
          </cell>
        </row>
      </sheetData>
      <sheetData sheetId="1"/>
      <sheetData sheetId="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Memo"/>
      <sheetName val="MM001Tranx"/>
      <sheetName val="JEexport"/>
      <sheetName val="JETemplate"/>
      <sheetName val="Mth00"/>
      <sheetName val="Mth01"/>
      <sheetName val="Mth02"/>
      <sheetName val="JE_Summary"/>
      <sheetName val="To Do"/>
      <sheetName val="GLMapping"/>
      <sheetName val="BatchLog"/>
      <sheetName val="Reference"/>
    </sheetNames>
    <sheetDataSet>
      <sheetData sheetId="0"/>
      <sheetData sheetId="1">
        <row r="36">
          <cell r="J36">
            <v>7600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ummary"/>
      <sheetName val="G-48 Price Out"/>
      <sheetName val="G-51 Price Out"/>
      <sheetName val="G-48 Rate Jan-Apr "/>
      <sheetName val="G-48 Rate May-Dec"/>
      <sheetName val="G-51 Rate 2017"/>
      <sheetName val="G-48 Rev Jan-Apr"/>
      <sheetName val="G-48 Rev May-Dec"/>
      <sheetName val="G-51 Rev 2017"/>
      <sheetName val="2025_IS210"/>
      <sheetName val="MM001 Jan-Apr"/>
      <sheetName val="MM001 May-Dec"/>
      <sheetName val="MM001 2017 "/>
    </sheetNames>
    <sheetDataSet>
      <sheetData sheetId="0" refreshError="1"/>
      <sheetData sheetId="1" refreshError="1"/>
      <sheetData sheetId="2" refreshError="1"/>
      <sheetData sheetId="3">
        <row r="4">
          <cell r="F4" t="str">
            <v>20R1W1</v>
          </cell>
          <cell r="G4" t="str">
            <v>1-20GAL CAN WEEKLY</v>
          </cell>
          <cell r="H4">
            <v>16.84</v>
          </cell>
        </row>
        <row r="5">
          <cell r="F5" t="str">
            <v>20R1W1</v>
          </cell>
          <cell r="G5" t="str">
            <v>1-20GAL CAN WEEKLY</v>
          </cell>
          <cell r="H5">
            <v>16.84</v>
          </cell>
        </row>
        <row r="6">
          <cell r="F6" t="str">
            <v>20R1W1</v>
          </cell>
          <cell r="G6" t="str">
            <v>1-20GAL CAN WEEKLY</v>
          </cell>
          <cell r="H6">
            <v>16.84</v>
          </cell>
        </row>
        <row r="7">
          <cell r="F7" t="str">
            <v>20R1W1</v>
          </cell>
          <cell r="G7" t="str">
            <v>1-20GAL CAN WEEKLY</v>
          </cell>
          <cell r="H7">
            <v>16.84</v>
          </cell>
        </row>
        <row r="8">
          <cell r="F8" t="str">
            <v>20R1W1</v>
          </cell>
          <cell r="G8" t="str">
            <v>1-20GAL CAN WEEKLY</v>
          </cell>
          <cell r="H8">
            <v>16.84</v>
          </cell>
        </row>
        <row r="9">
          <cell r="F9" t="str">
            <v>20R1W1</v>
          </cell>
          <cell r="G9" t="str">
            <v>1-20GAL CAN WEEKLY</v>
          </cell>
          <cell r="H9">
            <v>16.84</v>
          </cell>
        </row>
        <row r="10">
          <cell r="F10" t="str">
            <v>20R1W1</v>
          </cell>
          <cell r="G10" t="str">
            <v>1-20GAL CAN WEEKLY</v>
          </cell>
          <cell r="H10">
            <v>16.84</v>
          </cell>
        </row>
        <row r="11">
          <cell r="F11" t="str">
            <v>32R1E1</v>
          </cell>
          <cell r="G11" t="str">
            <v>1-32GAL CAN EOW</v>
          </cell>
          <cell r="H11">
            <v>12.33</v>
          </cell>
        </row>
        <row r="12">
          <cell r="F12" t="str">
            <v>32R1E1</v>
          </cell>
          <cell r="G12" t="str">
            <v>1-32GAL CAN EOW</v>
          </cell>
          <cell r="H12">
            <v>12.33</v>
          </cell>
        </row>
        <row r="13">
          <cell r="F13" t="str">
            <v>32R1E1</v>
          </cell>
          <cell r="G13" t="str">
            <v>1-32GAL CAN EOW</v>
          </cell>
          <cell r="H13">
            <v>12.33</v>
          </cell>
        </row>
        <row r="14">
          <cell r="F14" t="str">
            <v>32R1E1</v>
          </cell>
          <cell r="G14" t="str">
            <v>1-32GAL CAN EOW</v>
          </cell>
          <cell r="H14">
            <v>12.33</v>
          </cell>
        </row>
        <row r="15">
          <cell r="F15" t="str">
            <v>32R1E1</v>
          </cell>
          <cell r="G15" t="str">
            <v>1-32GAL CAN EOW</v>
          </cell>
          <cell r="H15">
            <v>12.33</v>
          </cell>
        </row>
        <row r="16">
          <cell r="F16" t="str">
            <v>32R1E1</v>
          </cell>
          <cell r="G16" t="str">
            <v>1-32GAL CAN EOW</v>
          </cell>
          <cell r="H16">
            <v>12.33</v>
          </cell>
        </row>
        <row r="17">
          <cell r="F17" t="str">
            <v>32R1E1</v>
          </cell>
          <cell r="G17" t="str">
            <v>1-32GAL CAN EOW</v>
          </cell>
          <cell r="H17">
            <v>12.33</v>
          </cell>
        </row>
        <row r="18">
          <cell r="F18" t="str">
            <v>32R1M1</v>
          </cell>
          <cell r="G18" t="str">
            <v>1-32GAL CAN MONTHLY</v>
          </cell>
          <cell r="H18">
            <v>6.16</v>
          </cell>
        </row>
        <row r="19">
          <cell r="F19" t="str">
            <v>32R1M1</v>
          </cell>
          <cell r="G19" t="str">
            <v>1-32GAL CAN MONTHLY</v>
          </cell>
          <cell r="H19">
            <v>6.16</v>
          </cell>
        </row>
        <row r="20">
          <cell r="F20" t="str">
            <v>32R1M1</v>
          </cell>
          <cell r="G20" t="str">
            <v>1-32GAL CAN MONTHLY</v>
          </cell>
          <cell r="H20">
            <v>6.16</v>
          </cell>
        </row>
        <row r="21">
          <cell r="F21" t="str">
            <v>32R1M1</v>
          </cell>
          <cell r="G21" t="str">
            <v>1-32GAL CAN MONTHLY</v>
          </cell>
          <cell r="H21">
            <v>6.16</v>
          </cell>
        </row>
        <row r="22">
          <cell r="F22" t="str">
            <v>32R1M1</v>
          </cell>
          <cell r="G22" t="str">
            <v>1-32GAL CAN MONTHLY</v>
          </cell>
          <cell r="H22">
            <v>6.16</v>
          </cell>
        </row>
        <row r="23">
          <cell r="F23" t="str">
            <v>32R1M1</v>
          </cell>
          <cell r="G23" t="str">
            <v>1-32GAL CAN MONTHLY</v>
          </cell>
          <cell r="H23">
            <v>6.16</v>
          </cell>
        </row>
        <row r="24">
          <cell r="F24" t="str">
            <v>32R1M1</v>
          </cell>
          <cell r="G24" t="str">
            <v>1-32GAL CAN MONTHLY</v>
          </cell>
          <cell r="H24">
            <v>6.16</v>
          </cell>
        </row>
        <row r="25">
          <cell r="F25" t="str">
            <v>32R1OC</v>
          </cell>
          <cell r="G25" t="str">
            <v>1-32GAL CAN ON CALL</v>
          </cell>
          <cell r="H25">
            <v>6.16</v>
          </cell>
        </row>
        <row r="26">
          <cell r="F26" t="str">
            <v>32R1OC</v>
          </cell>
          <cell r="G26" t="str">
            <v>1-32GAL CAN ON CALL</v>
          </cell>
          <cell r="H26">
            <v>6.16</v>
          </cell>
        </row>
        <row r="27">
          <cell r="F27" t="str">
            <v>32R1OC</v>
          </cell>
          <cell r="G27" t="str">
            <v>1-32GAL CAN ON CALL</v>
          </cell>
          <cell r="H27">
            <v>6.16</v>
          </cell>
        </row>
        <row r="28">
          <cell r="F28" t="str">
            <v>32R1OC</v>
          </cell>
          <cell r="G28" t="str">
            <v>1-32GAL CAN ON CALL</v>
          </cell>
          <cell r="H28">
            <v>6.16</v>
          </cell>
        </row>
        <row r="29">
          <cell r="F29" t="str">
            <v>32R1OC</v>
          </cell>
          <cell r="G29" t="str">
            <v>1-32GAL CAN ON CALL</v>
          </cell>
          <cell r="H29">
            <v>6.16</v>
          </cell>
        </row>
        <row r="30">
          <cell r="F30" t="str">
            <v>32R1OC</v>
          </cell>
          <cell r="G30" t="str">
            <v>1-32GAL CAN ON CALL</v>
          </cell>
          <cell r="H30">
            <v>6.16</v>
          </cell>
        </row>
        <row r="31">
          <cell r="F31" t="str">
            <v>32R1OC</v>
          </cell>
          <cell r="G31" t="str">
            <v>1-32GAL CAN ON CALL</v>
          </cell>
          <cell r="H31">
            <v>6.16</v>
          </cell>
        </row>
        <row r="32">
          <cell r="F32" t="str">
            <v>32R1W1</v>
          </cell>
          <cell r="G32" t="str">
            <v>1-32GAL CAN WEEKLY</v>
          </cell>
          <cell r="H32">
            <v>19.47</v>
          </cell>
        </row>
        <row r="33">
          <cell r="F33" t="str">
            <v>32R1W1</v>
          </cell>
          <cell r="G33" t="str">
            <v>1-32GAL CAN WEEKLY</v>
          </cell>
          <cell r="H33">
            <v>19.47</v>
          </cell>
        </row>
        <row r="34">
          <cell r="F34" t="str">
            <v>32R1W1</v>
          </cell>
          <cell r="G34" t="str">
            <v>1-32GAL CAN WEEKLY</v>
          </cell>
          <cell r="H34">
            <v>19.47</v>
          </cell>
        </row>
        <row r="35">
          <cell r="F35" t="str">
            <v>32R1W1</v>
          </cell>
          <cell r="G35" t="str">
            <v>1-32GAL CAN WEEKLY</v>
          </cell>
          <cell r="H35">
            <v>19.47</v>
          </cell>
        </row>
        <row r="36">
          <cell r="F36" t="str">
            <v>32R1W1</v>
          </cell>
          <cell r="G36" t="str">
            <v>1-32GAL CAN WEEKLY</v>
          </cell>
          <cell r="H36">
            <v>19.47</v>
          </cell>
        </row>
        <row r="37">
          <cell r="F37" t="str">
            <v>32R1W1</v>
          </cell>
          <cell r="G37" t="str">
            <v>1-32GAL CAN WEEKLY</v>
          </cell>
          <cell r="H37">
            <v>19.47</v>
          </cell>
        </row>
        <row r="38">
          <cell r="F38" t="str">
            <v>32R1W1</v>
          </cell>
          <cell r="G38" t="str">
            <v>1-32GAL CAN WEEKLY</v>
          </cell>
          <cell r="H38">
            <v>19.47</v>
          </cell>
        </row>
        <row r="39">
          <cell r="F39" t="str">
            <v>32R1W2</v>
          </cell>
          <cell r="G39" t="str">
            <v>2-32GAL CANS WEEKLY</v>
          </cell>
          <cell r="H39">
            <v>26.67</v>
          </cell>
        </row>
        <row r="40">
          <cell r="F40" t="str">
            <v>32R1W2</v>
          </cell>
          <cell r="G40" t="str">
            <v>2-32GAL CANS WEEKLY</v>
          </cell>
          <cell r="H40">
            <v>26.67</v>
          </cell>
        </row>
        <row r="41">
          <cell r="F41" t="str">
            <v>32R1W2</v>
          </cell>
          <cell r="G41" t="str">
            <v>2-32GAL CANS WEEKLY</v>
          </cell>
          <cell r="H41">
            <v>26.67</v>
          </cell>
        </row>
        <row r="42">
          <cell r="F42" t="str">
            <v>32R1W2</v>
          </cell>
          <cell r="G42" t="str">
            <v>2-32GAL CANS WEEKLY</v>
          </cell>
          <cell r="H42">
            <v>26.67</v>
          </cell>
        </row>
        <row r="43">
          <cell r="F43" t="str">
            <v>32R1W2</v>
          </cell>
          <cell r="G43" t="str">
            <v>2-32GAL CANS WEEKLY</v>
          </cell>
          <cell r="H43">
            <v>26.67</v>
          </cell>
        </row>
        <row r="44">
          <cell r="F44" t="str">
            <v>32R1W2</v>
          </cell>
          <cell r="G44" t="str">
            <v>2-32GAL CANS WEEKLY</v>
          </cell>
          <cell r="H44">
            <v>26.67</v>
          </cell>
        </row>
        <row r="45">
          <cell r="F45" t="str">
            <v>32R1W2</v>
          </cell>
          <cell r="G45" t="str">
            <v>2-32GAL CANS WEEKLY</v>
          </cell>
          <cell r="H45">
            <v>26.67</v>
          </cell>
        </row>
        <row r="46">
          <cell r="F46" t="str">
            <v>32R1W3</v>
          </cell>
          <cell r="G46" t="str">
            <v>3-32GAL CANS WEEKLY</v>
          </cell>
          <cell r="H46">
            <v>34.729999999999997</v>
          </cell>
        </row>
        <row r="47">
          <cell r="F47" t="str">
            <v>32R1W3</v>
          </cell>
          <cell r="G47" t="str">
            <v>3-32GAL CANS WEEKLY</v>
          </cell>
          <cell r="H47">
            <v>34.729999999999997</v>
          </cell>
        </row>
        <row r="48">
          <cell r="F48" t="str">
            <v>32R1W3</v>
          </cell>
          <cell r="G48" t="str">
            <v>3-32GAL CANS WEEKLY</v>
          </cell>
          <cell r="H48">
            <v>34.729999999999997</v>
          </cell>
        </row>
        <row r="49">
          <cell r="F49" t="str">
            <v>32R1W3</v>
          </cell>
          <cell r="G49" t="str">
            <v>3-32GAL CANS WEEKLY</v>
          </cell>
          <cell r="H49">
            <v>34.729999999999997</v>
          </cell>
        </row>
        <row r="50">
          <cell r="F50" t="str">
            <v>32R1W3</v>
          </cell>
          <cell r="G50" t="str">
            <v>3-32GAL CANS WEEKLY</v>
          </cell>
          <cell r="H50">
            <v>34.729999999999997</v>
          </cell>
        </row>
        <row r="51">
          <cell r="F51" t="str">
            <v>32R1W3</v>
          </cell>
          <cell r="G51" t="str">
            <v>3-32GAL CANS WEEKLY</v>
          </cell>
          <cell r="H51">
            <v>34.729999999999997</v>
          </cell>
        </row>
        <row r="52">
          <cell r="F52" t="str">
            <v>32R1W3</v>
          </cell>
          <cell r="G52" t="str">
            <v>3-32GAL CANS WEEKLY</v>
          </cell>
          <cell r="H52">
            <v>34.729999999999997</v>
          </cell>
        </row>
        <row r="53">
          <cell r="F53" t="str">
            <v>32R1W4</v>
          </cell>
          <cell r="G53" t="str">
            <v>4-32GAL CANS WEEKLY</v>
          </cell>
          <cell r="H53">
            <v>42.27</v>
          </cell>
        </row>
        <row r="54">
          <cell r="F54" t="str">
            <v>32R1W4</v>
          </cell>
          <cell r="G54" t="str">
            <v>4-32GAL CANS WEEKLY</v>
          </cell>
          <cell r="H54">
            <v>42.27</v>
          </cell>
        </row>
        <row r="55">
          <cell r="F55" t="str">
            <v>32R1W4</v>
          </cell>
          <cell r="G55" t="str">
            <v>4-32GAL CANS WEEKLY</v>
          </cell>
          <cell r="H55">
            <v>42.27</v>
          </cell>
        </row>
        <row r="56">
          <cell r="F56" t="str">
            <v>32R1W4</v>
          </cell>
          <cell r="G56" t="str">
            <v>4-32GAL CANS WEEKLY</v>
          </cell>
          <cell r="H56">
            <v>42.27</v>
          </cell>
        </row>
        <row r="57">
          <cell r="F57" t="str">
            <v>32R1W4</v>
          </cell>
          <cell r="G57" t="str">
            <v>4-32GAL CANS WEEKLY</v>
          </cell>
          <cell r="H57">
            <v>42.27</v>
          </cell>
        </row>
        <row r="58">
          <cell r="F58" t="str">
            <v>32R1W4</v>
          </cell>
          <cell r="G58" t="str">
            <v>4-32GAL CANS WEEKLY</v>
          </cell>
          <cell r="H58">
            <v>42.27</v>
          </cell>
        </row>
        <row r="59">
          <cell r="F59" t="str">
            <v>32R1W4</v>
          </cell>
          <cell r="G59" t="str">
            <v>4-32GAL CANS WEEKLY</v>
          </cell>
          <cell r="H59">
            <v>42.27</v>
          </cell>
        </row>
        <row r="60">
          <cell r="F60" t="str">
            <v>32R1W5</v>
          </cell>
          <cell r="G60" t="str">
            <v>5-32 GAL CANS WKLY</v>
          </cell>
          <cell r="H60">
            <v>51.23</v>
          </cell>
        </row>
        <row r="61">
          <cell r="F61" t="str">
            <v>32R1W5</v>
          </cell>
          <cell r="G61" t="str">
            <v>5-32 GAL CANS WKLY</v>
          </cell>
          <cell r="H61">
            <v>51.23</v>
          </cell>
        </row>
        <row r="62">
          <cell r="F62" t="str">
            <v>32R1W5</v>
          </cell>
          <cell r="G62" t="str">
            <v>5-32 GAL CANS WKLY</v>
          </cell>
          <cell r="H62">
            <v>51.23</v>
          </cell>
        </row>
        <row r="63">
          <cell r="F63" t="str">
            <v>32R1W5</v>
          </cell>
          <cell r="G63" t="str">
            <v>5-32 GAL CANS WKLY</v>
          </cell>
          <cell r="H63">
            <v>51.23</v>
          </cell>
        </row>
        <row r="64">
          <cell r="F64" t="str">
            <v>32R1W5</v>
          </cell>
          <cell r="G64" t="str">
            <v>5-32 GAL CANS WKLY</v>
          </cell>
          <cell r="H64">
            <v>51.23</v>
          </cell>
        </row>
        <row r="65">
          <cell r="F65" t="str">
            <v>32R1W5</v>
          </cell>
          <cell r="G65" t="str">
            <v>5-32 GAL CANS WKLY</v>
          </cell>
          <cell r="H65">
            <v>51.23</v>
          </cell>
        </row>
        <row r="66">
          <cell r="F66" t="str">
            <v>32R1W5</v>
          </cell>
          <cell r="G66" t="str">
            <v>5-32 GAL CANS WKLY</v>
          </cell>
          <cell r="H66">
            <v>51.23</v>
          </cell>
        </row>
        <row r="67">
          <cell r="F67" t="str">
            <v>32R1W6</v>
          </cell>
          <cell r="G67" t="str">
            <v>6-32 GAL CANS WKLY</v>
          </cell>
          <cell r="H67">
            <v>60.8</v>
          </cell>
        </row>
        <row r="68">
          <cell r="F68" t="str">
            <v>32R1W6</v>
          </cell>
          <cell r="G68" t="str">
            <v>6-32 GAL CANS WKLY</v>
          </cell>
          <cell r="H68">
            <v>60.8</v>
          </cell>
        </row>
        <row r="69">
          <cell r="F69" t="str">
            <v>32R1W6</v>
          </cell>
          <cell r="G69" t="str">
            <v>6-32 GAL CANS WKLY</v>
          </cell>
          <cell r="H69">
            <v>60.8</v>
          </cell>
        </row>
        <row r="70">
          <cell r="F70" t="str">
            <v>32R1W6</v>
          </cell>
          <cell r="G70" t="str">
            <v>6-32 GAL CANS WKLY</v>
          </cell>
          <cell r="H70">
            <v>60.8</v>
          </cell>
        </row>
        <row r="71">
          <cell r="F71" t="str">
            <v>32R1W6</v>
          </cell>
          <cell r="G71" t="str">
            <v>6-32 GAL CANS WKLY</v>
          </cell>
          <cell r="H71">
            <v>60.8</v>
          </cell>
        </row>
        <row r="72">
          <cell r="F72" t="str">
            <v>32R1W6</v>
          </cell>
          <cell r="G72" t="str">
            <v>6-32 GAL CANS WKLY</v>
          </cell>
          <cell r="H72">
            <v>60.8</v>
          </cell>
        </row>
        <row r="73">
          <cell r="F73" t="str">
            <v>32R1W6</v>
          </cell>
          <cell r="G73" t="str">
            <v>6-32 GAL CANS WKLY</v>
          </cell>
          <cell r="H73">
            <v>60.8</v>
          </cell>
        </row>
        <row r="74">
          <cell r="F74" t="str">
            <v>45R1OC</v>
          </cell>
          <cell r="G74" t="str">
            <v>1-45 GAL CAN ON CALL</v>
          </cell>
          <cell r="H74">
            <v>7.27</v>
          </cell>
        </row>
        <row r="75">
          <cell r="F75" t="str">
            <v>45R1OC</v>
          </cell>
          <cell r="G75" t="str">
            <v>1-45 GAL CAN ON CALL</v>
          </cell>
          <cell r="H75">
            <v>7.27</v>
          </cell>
        </row>
        <row r="76">
          <cell r="F76" t="str">
            <v>45R1OC</v>
          </cell>
          <cell r="G76" t="str">
            <v>1-45 GAL CAN ON CALL</v>
          </cell>
          <cell r="H76">
            <v>7.27</v>
          </cell>
        </row>
        <row r="77">
          <cell r="F77" t="str">
            <v>45R1OC</v>
          </cell>
          <cell r="G77" t="str">
            <v>1-45 GAL CAN ON CALL</v>
          </cell>
          <cell r="H77">
            <v>7.27</v>
          </cell>
        </row>
        <row r="78">
          <cell r="F78" t="str">
            <v>45R1OC</v>
          </cell>
          <cell r="G78" t="str">
            <v>1-45 GAL CAN ON CALL</v>
          </cell>
          <cell r="H78">
            <v>7.27</v>
          </cell>
        </row>
        <row r="79">
          <cell r="F79" t="str">
            <v>45R1OC</v>
          </cell>
          <cell r="G79" t="str">
            <v>1-45 GAL CAN ON CALL</v>
          </cell>
          <cell r="H79">
            <v>7.27</v>
          </cell>
        </row>
        <row r="80">
          <cell r="F80" t="str">
            <v>45R1OC</v>
          </cell>
          <cell r="G80" t="str">
            <v>1-45 GAL CAN ON CALL</v>
          </cell>
          <cell r="H80">
            <v>7.27</v>
          </cell>
        </row>
        <row r="81">
          <cell r="F81" t="str">
            <v>45R1W1</v>
          </cell>
          <cell r="G81" t="str">
            <v>1-45 GAL CAN WKLY</v>
          </cell>
          <cell r="H81">
            <v>31.52</v>
          </cell>
        </row>
        <row r="82">
          <cell r="F82" t="str">
            <v>45R1W1</v>
          </cell>
          <cell r="G82" t="str">
            <v>1-45 GAL CAN WKLY</v>
          </cell>
          <cell r="H82">
            <v>31.52</v>
          </cell>
        </row>
        <row r="83">
          <cell r="F83" t="str">
            <v>45R1W1</v>
          </cell>
          <cell r="G83" t="str">
            <v>1-45 GAL CAN WKLY</v>
          </cell>
          <cell r="H83">
            <v>31.52</v>
          </cell>
        </row>
        <row r="84">
          <cell r="F84" t="str">
            <v>45R1W1</v>
          </cell>
          <cell r="G84" t="str">
            <v>1-45 GAL CAN WKLY</v>
          </cell>
          <cell r="H84">
            <v>31.52</v>
          </cell>
        </row>
        <row r="85">
          <cell r="F85" t="str">
            <v>45R1W1</v>
          </cell>
          <cell r="G85" t="str">
            <v>1-45 GAL CAN WKLY</v>
          </cell>
          <cell r="H85">
            <v>31.52</v>
          </cell>
        </row>
        <row r="86">
          <cell r="F86" t="str">
            <v>45R1W1</v>
          </cell>
          <cell r="G86" t="str">
            <v>1-45 GAL CAN WKLY</v>
          </cell>
          <cell r="H86">
            <v>31.52</v>
          </cell>
        </row>
        <row r="87">
          <cell r="F87" t="str">
            <v>45R1W1</v>
          </cell>
          <cell r="G87" t="str">
            <v>1-45 GAL CAN WKLY</v>
          </cell>
          <cell r="H87">
            <v>31.52</v>
          </cell>
        </row>
        <row r="88">
          <cell r="F88" t="str">
            <v>45RE1</v>
          </cell>
          <cell r="G88" t="str">
            <v>1-45 GAL EOW</v>
          </cell>
          <cell r="H88">
            <v>22.85</v>
          </cell>
        </row>
        <row r="89">
          <cell r="F89" t="str">
            <v>45RE1</v>
          </cell>
          <cell r="G89" t="str">
            <v>1-45 GAL EOW</v>
          </cell>
          <cell r="H89">
            <v>22.85</v>
          </cell>
        </row>
        <row r="90">
          <cell r="F90" t="str">
            <v>45RE1</v>
          </cell>
          <cell r="G90" t="str">
            <v>1-45 GAL EOW</v>
          </cell>
          <cell r="H90">
            <v>22.85</v>
          </cell>
        </row>
        <row r="91">
          <cell r="F91" t="str">
            <v>45RE1</v>
          </cell>
          <cell r="G91" t="str">
            <v>1-45 GAL EOW</v>
          </cell>
          <cell r="H91">
            <v>22.85</v>
          </cell>
        </row>
        <row r="92">
          <cell r="F92" t="str">
            <v>45RE1</v>
          </cell>
          <cell r="G92" t="str">
            <v>1-45 GAL EOW</v>
          </cell>
          <cell r="H92">
            <v>22.85</v>
          </cell>
        </row>
        <row r="93">
          <cell r="F93" t="str">
            <v>45RE1</v>
          </cell>
          <cell r="G93" t="str">
            <v>1-45 GAL EOW</v>
          </cell>
          <cell r="H93">
            <v>22.85</v>
          </cell>
        </row>
        <row r="94">
          <cell r="F94" t="str">
            <v>45RE1</v>
          </cell>
          <cell r="G94" t="str">
            <v>1-45 GAL EOW</v>
          </cell>
          <cell r="H94">
            <v>22.85</v>
          </cell>
        </row>
        <row r="95">
          <cell r="F95" t="str">
            <v>60R1M1</v>
          </cell>
          <cell r="G95" t="str">
            <v>1-60GAL CART MONTHLY</v>
          </cell>
          <cell r="H95">
            <v>33.97</v>
          </cell>
        </row>
        <row r="96">
          <cell r="F96" t="str">
            <v>60R1M1</v>
          </cell>
          <cell r="G96" t="str">
            <v>1-60GAL CART MONTHLY</v>
          </cell>
          <cell r="H96">
            <v>33.97</v>
          </cell>
        </row>
        <row r="97">
          <cell r="F97" t="str">
            <v>60R1M1</v>
          </cell>
          <cell r="G97" t="str">
            <v>1-60GAL CART MONTHLY</v>
          </cell>
          <cell r="H97">
            <v>33.97</v>
          </cell>
        </row>
        <row r="98">
          <cell r="F98" t="str">
            <v>60R1M1</v>
          </cell>
          <cell r="G98" t="str">
            <v>1-60GAL CART MONTHLY</v>
          </cell>
          <cell r="H98">
            <v>33.97</v>
          </cell>
        </row>
        <row r="99">
          <cell r="F99" t="str">
            <v>60R1M1</v>
          </cell>
          <cell r="G99" t="str">
            <v>1-60GAL CART MONTHLY</v>
          </cell>
          <cell r="H99">
            <v>33.97</v>
          </cell>
        </row>
        <row r="100">
          <cell r="F100" t="str">
            <v>60R1M1</v>
          </cell>
          <cell r="G100" t="str">
            <v>1-60GAL CART MONTHLY</v>
          </cell>
          <cell r="H100">
            <v>33.97</v>
          </cell>
        </row>
        <row r="101">
          <cell r="F101" t="str">
            <v>60R1M1</v>
          </cell>
          <cell r="G101" t="str">
            <v>1-60GAL CART MONTHLY</v>
          </cell>
          <cell r="H101">
            <v>33.97</v>
          </cell>
        </row>
        <row r="102">
          <cell r="F102" t="str">
            <v>60R1W1</v>
          </cell>
          <cell r="G102" t="str">
            <v>1-60GAL CART WEEKLY</v>
          </cell>
          <cell r="H102">
            <v>39.35</v>
          </cell>
        </row>
        <row r="103">
          <cell r="F103" t="str">
            <v>60R1W1</v>
          </cell>
          <cell r="G103" t="str">
            <v>1-60GAL CART WEEKLY</v>
          </cell>
          <cell r="H103">
            <v>39.35</v>
          </cell>
        </row>
        <row r="104">
          <cell r="F104" t="str">
            <v>60R1W1</v>
          </cell>
          <cell r="G104" t="str">
            <v>1-60GAL CART WEEKLY</v>
          </cell>
          <cell r="H104">
            <v>39.35</v>
          </cell>
        </row>
        <row r="105">
          <cell r="F105" t="str">
            <v>60R1W1</v>
          </cell>
          <cell r="G105" t="str">
            <v>1-60GAL CART WEEKLY</v>
          </cell>
          <cell r="H105">
            <v>39.35</v>
          </cell>
        </row>
        <row r="106">
          <cell r="F106" t="str">
            <v>60R1W1</v>
          </cell>
          <cell r="G106" t="str">
            <v>1-60GAL CART WEEKLY</v>
          </cell>
          <cell r="H106">
            <v>39.35</v>
          </cell>
        </row>
        <row r="107">
          <cell r="F107" t="str">
            <v>60R1W1</v>
          </cell>
          <cell r="G107" t="str">
            <v>1-60GAL CART WEEKLY</v>
          </cell>
          <cell r="H107">
            <v>39.35</v>
          </cell>
        </row>
        <row r="108">
          <cell r="F108" t="str">
            <v>60R1W1</v>
          </cell>
          <cell r="G108" t="str">
            <v>1-60GAL CART WEEKLY</v>
          </cell>
          <cell r="H108">
            <v>39.35</v>
          </cell>
        </row>
        <row r="109">
          <cell r="F109" t="str">
            <v>ACCESS-RES</v>
          </cell>
          <cell r="G109" t="str">
            <v>ACCESS/GATE CHARGE</v>
          </cell>
          <cell r="H109">
            <v>4.71</v>
          </cell>
        </row>
        <row r="110">
          <cell r="F110" t="str">
            <v>ACCESS-RES</v>
          </cell>
          <cell r="G110" t="str">
            <v>ACCESS/GATE CHARGE</v>
          </cell>
          <cell r="H110">
            <v>4.71</v>
          </cell>
        </row>
        <row r="111">
          <cell r="F111" t="str">
            <v>ACCESS-RES</v>
          </cell>
          <cell r="G111" t="str">
            <v>ACCESS/GATE CHARGE</v>
          </cell>
          <cell r="H111">
            <v>4.71</v>
          </cell>
        </row>
        <row r="112">
          <cell r="F112" t="str">
            <v>ACCESS-RES</v>
          </cell>
          <cell r="G112" t="str">
            <v>ACCESS/GATE CHARGE</v>
          </cell>
          <cell r="H112">
            <v>4.71</v>
          </cell>
        </row>
        <row r="113">
          <cell r="F113" t="str">
            <v>ACCESS-RES</v>
          </cell>
          <cell r="G113" t="str">
            <v>ACCESS/GATE CHARGE</v>
          </cell>
          <cell r="H113">
            <v>4.71</v>
          </cell>
        </row>
        <row r="114">
          <cell r="F114" t="str">
            <v>ACCESS-RES</v>
          </cell>
          <cell r="G114" t="str">
            <v>ACCESS/GATE CHARGE</v>
          </cell>
          <cell r="H114">
            <v>4.71</v>
          </cell>
        </row>
        <row r="115">
          <cell r="F115" t="str">
            <v>ACCESS-RES</v>
          </cell>
          <cell r="G115" t="str">
            <v>ACCESS/GATE CHARGE</v>
          </cell>
          <cell r="H115">
            <v>4.71</v>
          </cell>
        </row>
        <row r="116">
          <cell r="F116" t="str">
            <v>ACCESSEOW-RES</v>
          </cell>
          <cell r="G116" t="str">
            <v>ACCESS/GATE FEE EOW</v>
          </cell>
          <cell r="H116">
            <v>2.36</v>
          </cell>
        </row>
        <row r="117">
          <cell r="F117" t="str">
            <v>ACCESSEOW-RES</v>
          </cell>
          <cell r="G117" t="str">
            <v>ACCESS/GATE FEE EOW</v>
          </cell>
          <cell r="H117">
            <v>2.36</v>
          </cell>
        </row>
        <row r="118">
          <cell r="F118" t="str">
            <v>ACCESSEOW-RES</v>
          </cell>
          <cell r="G118" t="str">
            <v>ACCESS/GATE FEE EOW</v>
          </cell>
          <cell r="H118">
            <v>2.36</v>
          </cell>
        </row>
        <row r="119">
          <cell r="F119" t="str">
            <v>ACCESSEOW-RES</v>
          </cell>
          <cell r="G119" t="str">
            <v>ACCESS/GATE FEE EOW</v>
          </cell>
          <cell r="H119">
            <v>2.36</v>
          </cell>
        </row>
        <row r="120">
          <cell r="F120" t="str">
            <v>ACCESSEOW-RES</v>
          </cell>
          <cell r="G120" t="str">
            <v>ACCESS/GATE FEE EOW</v>
          </cell>
          <cell r="H120">
            <v>2.36</v>
          </cell>
        </row>
        <row r="121">
          <cell r="F121" t="str">
            <v>ACCESSEOW-RES</v>
          </cell>
          <cell r="G121" t="str">
            <v>ACCESS/GATE FEE EOW</v>
          </cell>
          <cell r="H121">
            <v>2.36</v>
          </cell>
        </row>
        <row r="122">
          <cell r="F122" t="str">
            <v>ACCESSEOW-RES</v>
          </cell>
          <cell r="G122" t="str">
            <v>ACCESS/GATE FEE EOW</v>
          </cell>
          <cell r="H122">
            <v>2.36</v>
          </cell>
        </row>
        <row r="123">
          <cell r="F123" t="str">
            <v>BULKY - RES</v>
          </cell>
          <cell r="G123" t="str">
            <v>BULKY ITEM PICK UP - RES</v>
          </cell>
          <cell r="H123">
            <v>17.68</v>
          </cell>
        </row>
        <row r="124">
          <cell r="F124" t="str">
            <v>BULKY - RES</v>
          </cell>
          <cell r="G124" t="str">
            <v>BULKY ITEM PICK UP - RES</v>
          </cell>
          <cell r="H124">
            <v>17.68</v>
          </cell>
        </row>
        <row r="125">
          <cell r="F125" t="str">
            <v>BULKY - RES</v>
          </cell>
          <cell r="G125" t="str">
            <v>BULKY ITEM PICK UP - RES</v>
          </cell>
          <cell r="H125">
            <v>17.68</v>
          </cell>
        </row>
        <row r="126">
          <cell r="F126" t="str">
            <v>BULKY - RES</v>
          </cell>
          <cell r="G126" t="str">
            <v>BULKY ITEM PICK UP - RES</v>
          </cell>
          <cell r="H126">
            <v>17.68</v>
          </cell>
        </row>
        <row r="127">
          <cell r="F127" t="str">
            <v>BULKY - RES</v>
          </cell>
          <cell r="G127" t="str">
            <v>BULKY ITEM PICK UP - RES</v>
          </cell>
          <cell r="H127">
            <v>17.68</v>
          </cell>
        </row>
        <row r="128">
          <cell r="F128" t="str">
            <v>BULKY - RES</v>
          </cell>
          <cell r="G128" t="str">
            <v>BULKY ITEM PICK UP - RES</v>
          </cell>
          <cell r="H128">
            <v>17.68</v>
          </cell>
        </row>
        <row r="129">
          <cell r="F129" t="str">
            <v>BULKY - RES</v>
          </cell>
          <cell r="G129" t="str">
            <v>BULKY ITEM PICK UP - RES</v>
          </cell>
          <cell r="H129">
            <v>17.68</v>
          </cell>
        </row>
        <row r="130">
          <cell r="F130" t="str">
            <v>DRIVEIN-RES</v>
          </cell>
          <cell r="G130" t="str">
            <v>DRIVE IN - RES</v>
          </cell>
          <cell r="H130">
            <v>2.71</v>
          </cell>
        </row>
        <row r="131">
          <cell r="F131" t="str">
            <v>DRIVEIN-RES</v>
          </cell>
          <cell r="G131" t="str">
            <v>DRIVE IN - RES</v>
          </cell>
          <cell r="H131">
            <v>2.71</v>
          </cell>
        </row>
        <row r="132">
          <cell r="F132" t="str">
            <v>DRIVEIN-RES</v>
          </cell>
          <cell r="G132" t="str">
            <v>DRIVE IN - RES</v>
          </cell>
          <cell r="H132">
            <v>2.71</v>
          </cell>
        </row>
        <row r="133">
          <cell r="F133" t="str">
            <v>DRIVEIN-RES</v>
          </cell>
          <cell r="G133" t="str">
            <v>DRIVE IN - RES</v>
          </cell>
          <cell r="H133">
            <v>2.71</v>
          </cell>
        </row>
        <row r="134">
          <cell r="F134" t="str">
            <v>DRIVEIN-RES</v>
          </cell>
          <cell r="G134" t="str">
            <v>DRIVE IN - RES</v>
          </cell>
          <cell r="H134">
            <v>2.71</v>
          </cell>
        </row>
        <row r="135">
          <cell r="F135" t="str">
            <v>DRIVEIN-RES</v>
          </cell>
          <cell r="G135" t="str">
            <v>DRIVE IN - RES</v>
          </cell>
          <cell r="H135">
            <v>2.71</v>
          </cell>
        </row>
        <row r="136">
          <cell r="F136" t="str">
            <v>DRIVEIN-RES</v>
          </cell>
          <cell r="G136" t="str">
            <v>DRIVE IN - RES</v>
          </cell>
          <cell r="H136">
            <v>2.71</v>
          </cell>
        </row>
        <row r="137">
          <cell r="F137" t="str">
            <v>DRIVEIN1-RES</v>
          </cell>
          <cell r="G137" t="str">
            <v>DRIVE IN UP TO 125FT - RES</v>
          </cell>
          <cell r="H137">
            <v>2.71</v>
          </cell>
        </row>
        <row r="138">
          <cell r="F138" t="str">
            <v>DRIVEIN1-RES</v>
          </cell>
          <cell r="G138" t="str">
            <v>DRIVE IN UP TO 125FT - RES</v>
          </cell>
          <cell r="H138">
            <v>2.71</v>
          </cell>
        </row>
        <row r="139">
          <cell r="F139" t="str">
            <v>DRIVEIN1-RES</v>
          </cell>
          <cell r="G139" t="str">
            <v>DRIVE IN UP TO 125FT - RES</v>
          </cell>
          <cell r="H139">
            <v>2.71</v>
          </cell>
        </row>
        <row r="140">
          <cell r="F140" t="str">
            <v>DRIVEIN1-RES</v>
          </cell>
          <cell r="G140" t="str">
            <v>DRIVE IN UP TO 125FT - RES</v>
          </cell>
          <cell r="H140">
            <v>2.71</v>
          </cell>
        </row>
        <row r="141">
          <cell r="F141" t="str">
            <v>DRIVEIN1-RES</v>
          </cell>
          <cell r="G141" t="str">
            <v>DRIVE IN UP TO 125FT - RES</v>
          </cell>
          <cell r="H141">
            <v>2.71</v>
          </cell>
        </row>
        <row r="142">
          <cell r="F142" t="str">
            <v>DRIVEIN1-RES</v>
          </cell>
          <cell r="G142" t="str">
            <v>DRIVE IN UP TO 125FT - RES</v>
          </cell>
          <cell r="H142">
            <v>2.71</v>
          </cell>
        </row>
        <row r="143">
          <cell r="F143" t="str">
            <v>DRIVEIN1-RES</v>
          </cell>
          <cell r="G143" t="str">
            <v>DRIVE IN UP TO 125FT - RES</v>
          </cell>
          <cell r="H143">
            <v>2.71</v>
          </cell>
        </row>
        <row r="144">
          <cell r="F144" t="str">
            <v>DRIVEIN2-RES</v>
          </cell>
          <cell r="G144" t="str">
            <v>DRIVE IN 125FT-150FT - RES</v>
          </cell>
          <cell r="H144">
            <v>5.41</v>
          </cell>
        </row>
        <row r="145">
          <cell r="F145" t="str">
            <v>DRIVEIN2-RES</v>
          </cell>
          <cell r="G145" t="str">
            <v>DRIVE IN 125FT-150FT - RES</v>
          </cell>
          <cell r="H145">
            <v>5.41</v>
          </cell>
        </row>
        <row r="146">
          <cell r="F146" t="str">
            <v>DRIVEIN2-RES</v>
          </cell>
          <cell r="G146" t="str">
            <v>DRIVE IN 125FT-150FT - RES</v>
          </cell>
          <cell r="H146">
            <v>5.41</v>
          </cell>
        </row>
        <row r="147">
          <cell r="F147" t="str">
            <v>DRIVEIN2-RES</v>
          </cell>
          <cell r="G147" t="str">
            <v>DRIVE IN 125FT-150FT - RES</v>
          </cell>
          <cell r="H147">
            <v>5.41</v>
          </cell>
        </row>
        <row r="148">
          <cell r="F148" t="str">
            <v>DRIVEIN2-RES</v>
          </cell>
          <cell r="G148" t="str">
            <v>DRIVE IN 125FT-150FT - RES</v>
          </cell>
          <cell r="H148">
            <v>5.41</v>
          </cell>
        </row>
        <row r="149">
          <cell r="F149" t="str">
            <v>DRIVEIN2-RES</v>
          </cell>
          <cell r="G149" t="str">
            <v>DRIVE IN 125FT-150FT - RES</v>
          </cell>
          <cell r="H149">
            <v>5.41</v>
          </cell>
        </row>
        <row r="150">
          <cell r="F150" t="str">
            <v>DRIVEIN2-RES</v>
          </cell>
          <cell r="G150" t="str">
            <v>DRIVE IN 125FT-150FT - RES</v>
          </cell>
          <cell r="H150">
            <v>5.41</v>
          </cell>
        </row>
        <row r="151">
          <cell r="F151" t="str">
            <v>DRIVEIN2WK-RES</v>
          </cell>
          <cell r="G151" t="str">
            <v>DRIVE IN 125FT-150FT</v>
          </cell>
          <cell r="H151">
            <v>5.41</v>
          </cell>
        </row>
        <row r="152">
          <cell r="F152" t="str">
            <v>DRIVEIN2WK-RES</v>
          </cell>
          <cell r="G152" t="str">
            <v>DRIVE IN 125FT-150FT</v>
          </cell>
          <cell r="H152">
            <v>5.41</v>
          </cell>
        </row>
        <row r="153">
          <cell r="F153" t="str">
            <v>DRIVEIN2WK-RES</v>
          </cell>
          <cell r="G153" t="str">
            <v>DRIVE IN 125FT-150FT</v>
          </cell>
          <cell r="H153">
            <v>5.41</v>
          </cell>
        </row>
        <row r="154">
          <cell r="F154" t="str">
            <v>DRIVEIN2WK-RES</v>
          </cell>
          <cell r="G154" t="str">
            <v>DRIVE IN 125FT-150FT</v>
          </cell>
          <cell r="H154">
            <v>5.41</v>
          </cell>
        </row>
        <row r="155">
          <cell r="F155" t="str">
            <v>DRIVEIN2WK-RES</v>
          </cell>
          <cell r="G155" t="str">
            <v>DRIVE IN 125FT-150FT</v>
          </cell>
          <cell r="H155">
            <v>5.41</v>
          </cell>
        </row>
        <row r="156">
          <cell r="F156" t="str">
            <v>DRIVEIN2WK-RES</v>
          </cell>
          <cell r="G156" t="str">
            <v>DRIVE IN 125FT-150FT</v>
          </cell>
          <cell r="H156">
            <v>5.41</v>
          </cell>
        </row>
        <row r="157">
          <cell r="F157" t="str">
            <v>DRIVEIN2WK-RES</v>
          </cell>
          <cell r="G157" t="str">
            <v>DRIVE IN 125FT-150FT</v>
          </cell>
          <cell r="H157">
            <v>5.41</v>
          </cell>
        </row>
        <row r="158">
          <cell r="F158" t="str">
            <v>DRIVEIN3-RES</v>
          </cell>
          <cell r="G158" t="str">
            <v>DRIVE IN OVER 150FT - RES</v>
          </cell>
          <cell r="H158">
            <v>0</v>
          </cell>
        </row>
        <row r="159">
          <cell r="F159" t="str">
            <v>DRIVEIN3-RES</v>
          </cell>
          <cell r="G159" t="str">
            <v>DRIVE IN OVER 150FT - RES</v>
          </cell>
          <cell r="H159">
            <v>0</v>
          </cell>
        </row>
        <row r="160">
          <cell r="F160" t="str">
            <v>DRIVEIN3-RES</v>
          </cell>
          <cell r="G160" t="str">
            <v>DRIVE IN OVER 150FT - RES</v>
          </cell>
          <cell r="H160">
            <v>0</v>
          </cell>
        </row>
        <row r="161">
          <cell r="F161" t="str">
            <v>DRIVEIN3-RES</v>
          </cell>
          <cell r="G161" t="str">
            <v>DRIVE IN OVER 150FT - RES</v>
          </cell>
          <cell r="H161">
            <v>0</v>
          </cell>
        </row>
        <row r="162">
          <cell r="F162" t="str">
            <v>DRIVEIN3-RES</v>
          </cell>
          <cell r="G162" t="str">
            <v>DRIVE IN OVER 150FT - RES</v>
          </cell>
          <cell r="H162">
            <v>0</v>
          </cell>
        </row>
        <row r="163">
          <cell r="F163" t="str">
            <v>DRIVEIN3-RES</v>
          </cell>
          <cell r="G163" t="str">
            <v>DRIVE IN OVER 150FT - RES</v>
          </cell>
          <cell r="H163">
            <v>0</v>
          </cell>
        </row>
        <row r="164">
          <cell r="F164" t="str">
            <v>DRIVEIN3-RES</v>
          </cell>
          <cell r="G164" t="str">
            <v>DRIVE IN OVER 150FT - RES</v>
          </cell>
          <cell r="H164">
            <v>0</v>
          </cell>
        </row>
        <row r="165">
          <cell r="F165" t="str">
            <v>EXTRA-RES</v>
          </cell>
          <cell r="G165" t="str">
            <v>EXTRA ITEM - RES</v>
          </cell>
          <cell r="H165">
            <v>4.5199999999999996</v>
          </cell>
        </row>
        <row r="166">
          <cell r="F166" t="str">
            <v>EXTRA-RES</v>
          </cell>
          <cell r="G166" t="str">
            <v>EXTRA ITEM - RES</v>
          </cell>
          <cell r="H166">
            <v>4.5199999999999996</v>
          </cell>
        </row>
        <row r="167">
          <cell r="F167" t="str">
            <v>EXTRA-RES</v>
          </cell>
          <cell r="G167" t="str">
            <v>EXTRA ITEM - RES</v>
          </cell>
          <cell r="H167">
            <v>4.5199999999999996</v>
          </cell>
        </row>
        <row r="168">
          <cell r="F168" t="str">
            <v>EXTRA-RES</v>
          </cell>
          <cell r="G168" t="str">
            <v>EXTRA ITEM - RES</v>
          </cell>
          <cell r="H168">
            <v>4.5199999999999996</v>
          </cell>
        </row>
        <row r="169">
          <cell r="F169" t="str">
            <v>EXTRA-RES</v>
          </cell>
          <cell r="G169" t="str">
            <v>EXTRA ITEM - RES</v>
          </cell>
          <cell r="H169">
            <v>4.5199999999999996</v>
          </cell>
        </row>
        <row r="170">
          <cell r="F170" t="str">
            <v>EXTRA-RES</v>
          </cell>
          <cell r="G170" t="str">
            <v>EXTRA ITEM - RES</v>
          </cell>
          <cell r="H170">
            <v>4.5199999999999996</v>
          </cell>
        </row>
        <row r="171">
          <cell r="F171" t="str">
            <v>EXTRA-RES</v>
          </cell>
          <cell r="G171" t="str">
            <v>EXTRA ITEM - RES</v>
          </cell>
          <cell r="H171">
            <v>4.5199999999999996</v>
          </cell>
        </row>
        <row r="172">
          <cell r="F172" t="str">
            <v>OS - RES</v>
          </cell>
          <cell r="G172" t="str">
            <v>OVERSIZE CAN - RES</v>
          </cell>
          <cell r="H172">
            <v>4.32</v>
          </cell>
        </row>
        <row r="173">
          <cell r="F173" t="str">
            <v>OS - RES</v>
          </cell>
          <cell r="G173" t="str">
            <v>OVERSIZE CAN - RES</v>
          </cell>
          <cell r="H173">
            <v>4.32</v>
          </cell>
        </row>
        <row r="174">
          <cell r="F174" t="str">
            <v>OS - RES</v>
          </cell>
          <cell r="G174" t="str">
            <v>OVERSIZE CAN - RES</v>
          </cell>
          <cell r="H174">
            <v>4.32</v>
          </cell>
        </row>
        <row r="175">
          <cell r="F175" t="str">
            <v>OS - RES</v>
          </cell>
          <cell r="G175" t="str">
            <v>OVERSIZE CAN - RES</v>
          </cell>
          <cell r="H175">
            <v>4.32</v>
          </cell>
        </row>
        <row r="176">
          <cell r="F176" t="str">
            <v>OS - RES</v>
          </cell>
          <cell r="G176" t="str">
            <v>OVERSIZE CAN - RES</v>
          </cell>
          <cell r="H176">
            <v>4.32</v>
          </cell>
        </row>
        <row r="177">
          <cell r="F177" t="str">
            <v>OS - RES</v>
          </cell>
          <cell r="G177" t="str">
            <v>OVERSIZE CAN - RES</v>
          </cell>
          <cell r="H177">
            <v>4.32</v>
          </cell>
        </row>
        <row r="178">
          <cell r="F178" t="str">
            <v>OS - RES</v>
          </cell>
          <cell r="G178" t="str">
            <v>OVERSIZE CAN - RES</v>
          </cell>
          <cell r="H178">
            <v>4.32</v>
          </cell>
        </row>
        <row r="179">
          <cell r="F179" t="str">
            <v>OW-RES</v>
          </cell>
          <cell r="G179" t="str">
            <v>OVERFILL / OVERWEIGHT CAN</v>
          </cell>
          <cell r="H179">
            <v>4.32</v>
          </cell>
        </row>
        <row r="180">
          <cell r="F180" t="str">
            <v>OW-RES</v>
          </cell>
          <cell r="G180" t="str">
            <v>OVERFILL / OVERWEIGHT CAN</v>
          </cell>
          <cell r="H180">
            <v>4.32</v>
          </cell>
        </row>
        <row r="181">
          <cell r="F181" t="str">
            <v>OW-RES</v>
          </cell>
          <cell r="G181" t="str">
            <v>OVERFILL / OVERWEIGHT CAN</v>
          </cell>
          <cell r="H181">
            <v>4.32</v>
          </cell>
        </row>
        <row r="182">
          <cell r="F182" t="str">
            <v>OW-RES</v>
          </cell>
          <cell r="G182" t="str">
            <v>OVERFILL / OVERWEIGHT CAN</v>
          </cell>
          <cell r="H182">
            <v>4.32</v>
          </cell>
        </row>
        <row r="183">
          <cell r="F183" t="str">
            <v>OW-RES</v>
          </cell>
          <cell r="G183" t="str">
            <v>OVERFILL / OVERWEIGHT CAN</v>
          </cell>
          <cell r="H183">
            <v>4.32</v>
          </cell>
        </row>
        <row r="184">
          <cell r="F184" t="str">
            <v>OW-RES</v>
          </cell>
          <cell r="G184" t="str">
            <v>OVERFILL / OVERWEIGHT CAN</v>
          </cell>
          <cell r="H184">
            <v>4.32</v>
          </cell>
        </row>
        <row r="185">
          <cell r="F185" t="str">
            <v>OW-RES</v>
          </cell>
          <cell r="G185" t="str">
            <v>OVERFILL / OVERWEIGHT CAN</v>
          </cell>
          <cell r="H185">
            <v>4.32</v>
          </cell>
        </row>
        <row r="186">
          <cell r="F186" t="str">
            <v>RTRIP</v>
          </cell>
          <cell r="G186" t="str">
            <v>SPECIAL OFF RTE TRIP FEE</v>
          </cell>
          <cell r="H186">
            <v>88.82</v>
          </cell>
        </row>
        <row r="187">
          <cell r="F187" t="str">
            <v>SUNKENCAN-RES</v>
          </cell>
          <cell r="G187" t="str">
            <v>ABOVE/UNDER GROUND</v>
          </cell>
          <cell r="H187">
            <v>2.71</v>
          </cell>
        </row>
        <row r="188">
          <cell r="F188" t="str">
            <v>SUNKENCAN-RES</v>
          </cell>
          <cell r="G188" t="str">
            <v>ABOVE/UNDER GROUND</v>
          </cell>
          <cell r="H188">
            <v>2.71</v>
          </cell>
        </row>
        <row r="189">
          <cell r="F189" t="str">
            <v>SUNKENCAN-RES</v>
          </cell>
          <cell r="G189" t="str">
            <v>ABOVE/UNDER GROUND</v>
          </cell>
          <cell r="H189">
            <v>2.71</v>
          </cell>
        </row>
        <row r="190">
          <cell r="F190" t="str">
            <v>SUNKENCAN-RES</v>
          </cell>
          <cell r="G190" t="str">
            <v>ABOVE/UNDER GROUND</v>
          </cell>
          <cell r="H190">
            <v>2.71</v>
          </cell>
        </row>
        <row r="191">
          <cell r="F191" t="str">
            <v>SUNKENCAN-RES</v>
          </cell>
          <cell r="G191" t="str">
            <v>ABOVE/UNDER GROUND</v>
          </cell>
          <cell r="H191">
            <v>2.71</v>
          </cell>
        </row>
        <row r="192">
          <cell r="F192" t="str">
            <v>SUNKENCAN-RES</v>
          </cell>
          <cell r="G192" t="str">
            <v>ABOVE/UNDER GROUND</v>
          </cell>
          <cell r="H192">
            <v>2.71</v>
          </cell>
        </row>
        <row r="193">
          <cell r="F193" t="str">
            <v>SUNKENCAN-RES</v>
          </cell>
          <cell r="G193" t="str">
            <v>ABOVE/UNDER GROUND</v>
          </cell>
          <cell r="H193">
            <v>2.71</v>
          </cell>
        </row>
        <row r="194">
          <cell r="F194" t="str">
            <v>WI-RES</v>
          </cell>
          <cell r="G194" t="str">
            <v>WALK IN/CARRYOUT 5-25FT</v>
          </cell>
          <cell r="H194">
            <v>2.71</v>
          </cell>
        </row>
        <row r="195">
          <cell r="F195" t="str">
            <v>WI-RES</v>
          </cell>
          <cell r="G195" t="str">
            <v>WALK IN/CARRYOUT 5-25FT</v>
          </cell>
          <cell r="H195">
            <v>2.71</v>
          </cell>
        </row>
        <row r="196">
          <cell r="F196" t="str">
            <v>WI-RES</v>
          </cell>
          <cell r="G196" t="str">
            <v>WALK IN/CARRYOUT 5-25FT</v>
          </cell>
          <cell r="H196">
            <v>2.71</v>
          </cell>
        </row>
        <row r="197">
          <cell r="F197" t="str">
            <v>WI-RES</v>
          </cell>
          <cell r="G197" t="str">
            <v>WALK IN/CARRYOUT 5-25FT</v>
          </cell>
          <cell r="H197">
            <v>2.71</v>
          </cell>
        </row>
        <row r="198">
          <cell r="F198" t="str">
            <v>WI-RES</v>
          </cell>
          <cell r="G198" t="str">
            <v>WALK IN/CARRYOUT 5-25FT</v>
          </cell>
          <cell r="H198">
            <v>2.71</v>
          </cell>
        </row>
        <row r="199">
          <cell r="F199" t="str">
            <v>WI-RES</v>
          </cell>
          <cell r="G199" t="str">
            <v>WALK IN/CARRYOUT 5-25FT</v>
          </cell>
          <cell r="H199">
            <v>2.71</v>
          </cell>
        </row>
        <row r="200">
          <cell r="F200" t="str">
            <v>WI-RES</v>
          </cell>
          <cell r="G200" t="str">
            <v>WALK IN/CARRYOUT 5-25FT</v>
          </cell>
          <cell r="H200">
            <v>2.71</v>
          </cell>
        </row>
        <row r="201">
          <cell r="F201" t="str">
            <v>WI2-RES</v>
          </cell>
          <cell r="G201" t="str">
            <v>CARRYOUT OVER 25FT</v>
          </cell>
          <cell r="H201">
            <v>2.71</v>
          </cell>
        </row>
        <row r="202">
          <cell r="F202" t="str">
            <v>WI2-RES</v>
          </cell>
          <cell r="G202" t="str">
            <v>CARRYOUT OVER 25FT</v>
          </cell>
          <cell r="H202">
            <v>2.71</v>
          </cell>
        </row>
        <row r="203">
          <cell r="F203" t="str">
            <v>WI2-RES</v>
          </cell>
          <cell r="G203" t="str">
            <v>CARRYOUT OVER 25FT</v>
          </cell>
          <cell r="H203">
            <v>2.71</v>
          </cell>
        </row>
        <row r="204">
          <cell r="F204" t="str">
            <v>WI2-RES</v>
          </cell>
          <cell r="G204" t="str">
            <v>CARRYOUT OVER 25FT</v>
          </cell>
          <cell r="H204">
            <v>2.71</v>
          </cell>
        </row>
        <row r="205">
          <cell r="F205" t="str">
            <v>WI2-RES</v>
          </cell>
          <cell r="G205" t="str">
            <v>CARRYOUT OVER 25FT</v>
          </cell>
          <cell r="H205">
            <v>2.71</v>
          </cell>
        </row>
        <row r="206">
          <cell r="F206" t="str">
            <v>WI2-RES</v>
          </cell>
          <cell r="G206" t="str">
            <v>CARRYOUT OVER 25FT</v>
          </cell>
          <cell r="H206">
            <v>2.71</v>
          </cell>
        </row>
        <row r="207">
          <cell r="F207" t="str">
            <v>WI2-RES</v>
          </cell>
          <cell r="G207" t="str">
            <v>CARRYOUT OVER 25FT</v>
          </cell>
          <cell r="H207">
            <v>2.71</v>
          </cell>
        </row>
        <row r="208">
          <cell r="F208" t="str">
            <v>1.5YCOC1</v>
          </cell>
          <cell r="G208" t="str">
            <v>1-1.5 CONTAINER ON CALL</v>
          </cell>
          <cell r="H208">
            <v>34.119999999999997</v>
          </cell>
        </row>
        <row r="209">
          <cell r="F209" t="str">
            <v>1.5YCOC1</v>
          </cell>
          <cell r="G209" t="str">
            <v>1-1.5 CONTAINER ON CALL</v>
          </cell>
          <cell r="H209">
            <v>34.119999999999997</v>
          </cell>
        </row>
        <row r="210">
          <cell r="F210" t="str">
            <v>1.5YCOC1</v>
          </cell>
          <cell r="G210" t="str">
            <v>1-1.5 CONTAINER ON CALL</v>
          </cell>
          <cell r="H210">
            <v>34.119999999999997</v>
          </cell>
        </row>
        <row r="211">
          <cell r="F211" t="str">
            <v>1.5YCOC1</v>
          </cell>
          <cell r="G211" t="str">
            <v>1-1.5 CONTAINER ON CALL</v>
          </cell>
          <cell r="H211">
            <v>34.119999999999997</v>
          </cell>
        </row>
        <row r="212">
          <cell r="F212" t="str">
            <v>1.5YCOC1</v>
          </cell>
          <cell r="G212" t="str">
            <v>1-1.5 CONTAINER ON CALL</v>
          </cell>
          <cell r="H212">
            <v>34.119999999999997</v>
          </cell>
        </row>
        <row r="213">
          <cell r="F213" t="str">
            <v>1.5YCOC1</v>
          </cell>
          <cell r="G213" t="str">
            <v>1-1.5 CONTAINER ON CALL</v>
          </cell>
          <cell r="H213">
            <v>34.119999999999997</v>
          </cell>
        </row>
        <row r="214">
          <cell r="F214" t="str">
            <v>1.5YCOC1</v>
          </cell>
          <cell r="G214" t="str">
            <v>1-1.5 CONTAINER ON CALL</v>
          </cell>
          <cell r="H214">
            <v>34.119999999999997</v>
          </cell>
        </row>
        <row r="215">
          <cell r="F215" t="str">
            <v>1YCOC1</v>
          </cell>
          <cell r="G215" t="str">
            <v>1-1YD CONTAINER ON CALL</v>
          </cell>
          <cell r="H215">
            <v>23.19</v>
          </cell>
        </row>
        <row r="216">
          <cell r="F216" t="str">
            <v>1YCOC1</v>
          </cell>
          <cell r="G216" t="str">
            <v>1-1YD CONTAINER ON CALL</v>
          </cell>
          <cell r="H216">
            <v>23.19</v>
          </cell>
        </row>
        <row r="217">
          <cell r="F217" t="str">
            <v>1YCOC1</v>
          </cell>
          <cell r="G217" t="str">
            <v>1-1YD CONTAINER ON CALL</v>
          </cell>
          <cell r="H217">
            <v>23.19</v>
          </cell>
        </row>
        <row r="218">
          <cell r="F218" t="str">
            <v>1YCOC1</v>
          </cell>
          <cell r="G218" t="str">
            <v>1-1YD CONTAINER ON CALL</v>
          </cell>
          <cell r="H218">
            <v>23.19</v>
          </cell>
        </row>
        <row r="219">
          <cell r="F219" t="str">
            <v>1YCOC1</v>
          </cell>
          <cell r="G219" t="str">
            <v>1-1YD CONTAINER ON CALL</v>
          </cell>
          <cell r="H219">
            <v>23.19</v>
          </cell>
        </row>
        <row r="220">
          <cell r="F220" t="str">
            <v>1YCOC1</v>
          </cell>
          <cell r="G220" t="str">
            <v>1-1YD CONTAINER ON CALL</v>
          </cell>
          <cell r="H220">
            <v>23.19</v>
          </cell>
        </row>
        <row r="221">
          <cell r="F221" t="str">
            <v>1YCOC1</v>
          </cell>
          <cell r="G221" t="str">
            <v>1-1YD CONTAINER ON CALL</v>
          </cell>
          <cell r="H221">
            <v>23.19</v>
          </cell>
        </row>
        <row r="222">
          <cell r="F222" t="str">
            <v>2YCOC1</v>
          </cell>
          <cell r="G222" t="str">
            <v>1-2YD CONTAINER ON CALL</v>
          </cell>
          <cell r="H222">
            <v>44.92</v>
          </cell>
        </row>
        <row r="223">
          <cell r="F223" t="str">
            <v>2YCOC1</v>
          </cell>
          <cell r="G223" t="str">
            <v>1-2YD CONTAINER ON CALL</v>
          </cell>
          <cell r="H223">
            <v>44.92</v>
          </cell>
        </row>
        <row r="224">
          <cell r="F224" t="str">
            <v>2YCOC1</v>
          </cell>
          <cell r="G224" t="str">
            <v>1-2YD CONTAINER ON CALL</v>
          </cell>
          <cell r="H224">
            <v>44.92</v>
          </cell>
        </row>
        <row r="225">
          <cell r="F225" t="str">
            <v>2YCOC1</v>
          </cell>
          <cell r="G225" t="str">
            <v>1-2YD CONTAINER ON CALL</v>
          </cell>
          <cell r="H225">
            <v>44.92</v>
          </cell>
        </row>
        <row r="226">
          <cell r="F226" t="str">
            <v>2YCOC1</v>
          </cell>
          <cell r="G226" t="str">
            <v>1-2YD CONTAINER ON CALL</v>
          </cell>
          <cell r="H226">
            <v>44.92</v>
          </cell>
        </row>
        <row r="227">
          <cell r="F227" t="str">
            <v>2YCOC1</v>
          </cell>
          <cell r="G227" t="str">
            <v>1-2YD CONTAINER ON CALL</v>
          </cell>
          <cell r="H227">
            <v>44.92</v>
          </cell>
        </row>
        <row r="228">
          <cell r="F228" t="str">
            <v>2YCOC1</v>
          </cell>
          <cell r="G228" t="str">
            <v>1-2YD CONTAINER ON CALL</v>
          </cell>
          <cell r="H228">
            <v>44.92</v>
          </cell>
        </row>
        <row r="229">
          <cell r="F229" t="str">
            <v>32C1E1</v>
          </cell>
          <cell r="G229" t="str">
            <v>1-32GAL CAN EOW</v>
          </cell>
          <cell r="H229">
            <v>19.100000000000001</v>
          </cell>
        </row>
        <row r="230">
          <cell r="F230" t="str">
            <v>32C1E1</v>
          </cell>
          <cell r="G230" t="str">
            <v>1-32GAL CAN EOW</v>
          </cell>
          <cell r="H230">
            <v>19.100000000000001</v>
          </cell>
        </row>
        <row r="231">
          <cell r="F231" t="str">
            <v>32C1E1</v>
          </cell>
          <cell r="G231" t="str">
            <v>1-32GAL CAN EOW</v>
          </cell>
          <cell r="H231">
            <v>19.100000000000001</v>
          </cell>
        </row>
        <row r="232">
          <cell r="F232" t="str">
            <v>32C1E1</v>
          </cell>
          <cell r="G232" t="str">
            <v>1-32GAL CAN EOW</v>
          </cell>
          <cell r="H232">
            <v>19.100000000000001</v>
          </cell>
        </row>
        <row r="233">
          <cell r="F233" t="str">
            <v>32C1E1</v>
          </cell>
          <cell r="G233" t="str">
            <v>1-32GAL CAN EOW</v>
          </cell>
          <cell r="H233">
            <v>19.100000000000001</v>
          </cell>
        </row>
        <row r="234">
          <cell r="F234" t="str">
            <v>32C1E1</v>
          </cell>
          <cell r="G234" t="str">
            <v>1-32GAL CAN EOW</v>
          </cell>
          <cell r="H234">
            <v>19.100000000000001</v>
          </cell>
        </row>
        <row r="235">
          <cell r="F235" t="str">
            <v>32C1E1</v>
          </cell>
          <cell r="G235" t="str">
            <v>1-32GAL CAN EOW</v>
          </cell>
          <cell r="H235">
            <v>19.100000000000001</v>
          </cell>
        </row>
        <row r="236">
          <cell r="F236" t="str">
            <v>32C1M1</v>
          </cell>
          <cell r="G236" t="str">
            <v>1-32GAL CAN 1 X MONTHLY</v>
          </cell>
          <cell r="H236">
            <v>19.100000000000001</v>
          </cell>
        </row>
        <row r="237">
          <cell r="F237" t="str">
            <v>32C1M1</v>
          </cell>
          <cell r="G237" t="str">
            <v>1-32GAL CAN 1 X MONTHLY</v>
          </cell>
          <cell r="H237">
            <v>19.100000000000001</v>
          </cell>
        </row>
        <row r="238">
          <cell r="F238" t="str">
            <v>32C1M1</v>
          </cell>
          <cell r="G238" t="str">
            <v>1-32GAL CAN 1 X MONTHLY</v>
          </cell>
          <cell r="H238">
            <v>19.100000000000001</v>
          </cell>
        </row>
        <row r="239">
          <cell r="F239" t="str">
            <v>32C1M1</v>
          </cell>
          <cell r="G239" t="str">
            <v>1-32GAL CAN 1 X MONTHLY</v>
          </cell>
          <cell r="H239">
            <v>19.100000000000001</v>
          </cell>
        </row>
        <row r="240">
          <cell r="F240" t="str">
            <v>32C1M1</v>
          </cell>
          <cell r="G240" t="str">
            <v>1-32GAL CAN 1 X MONTHLY</v>
          </cell>
          <cell r="H240">
            <v>19.100000000000001</v>
          </cell>
        </row>
        <row r="241">
          <cell r="F241" t="str">
            <v>32C1M1</v>
          </cell>
          <cell r="G241" t="str">
            <v>1-32GAL CAN 1 X MONTHLY</v>
          </cell>
          <cell r="H241">
            <v>19.100000000000001</v>
          </cell>
        </row>
        <row r="242">
          <cell r="F242" t="str">
            <v>32C1M1</v>
          </cell>
          <cell r="G242" t="str">
            <v>1-32GAL CAN 1 X MONTHLY</v>
          </cell>
          <cell r="H242">
            <v>19.100000000000001</v>
          </cell>
        </row>
        <row r="243">
          <cell r="F243" t="str">
            <v>32C1OC</v>
          </cell>
          <cell r="G243" t="str">
            <v>1-32GAL CAN ON CALL</v>
          </cell>
          <cell r="H243">
            <v>5.34</v>
          </cell>
        </row>
        <row r="244">
          <cell r="F244" t="str">
            <v>32C1OC</v>
          </cell>
          <cell r="G244" t="str">
            <v>1-32GAL CAN ON CALL</v>
          </cell>
          <cell r="H244">
            <v>5.34</v>
          </cell>
        </row>
        <row r="245">
          <cell r="F245" t="str">
            <v>32C1OC</v>
          </cell>
          <cell r="G245" t="str">
            <v>1-32GAL CAN ON CALL</v>
          </cell>
          <cell r="H245">
            <v>5.34</v>
          </cell>
        </row>
        <row r="246">
          <cell r="F246" t="str">
            <v>32C1OC</v>
          </cell>
          <cell r="G246" t="str">
            <v>1-32GAL CAN ON CALL</v>
          </cell>
          <cell r="H246">
            <v>5.34</v>
          </cell>
        </row>
        <row r="247">
          <cell r="F247" t="str">
            <v>32C1OC</v>
          </cell>
          <cell r="G247" t="str">
            <v>1-32GAL CAN ON CALL</v>
          </cell>
          <cell r="H247">
            <v>5.34</v>
          </cell>
        </row>
        <row r="248">
          <cell r="F248" t="str">
            <v>32C1OC</v>
          </cell>
          <cell r="G248" t="str">
            <v>1-32GAL CAN ON CALL</v>
          </cell>
          <cell r="H248">
            <v>5.34</v>
          </cell>
        </row>
        <row r="249">
          <cell r="F249" t="str">
            <v>32C1OC</v>
          </cell>
          <cell r="G249" t="str">
            <v>1-32GAL CAN ON CALL</v>
          </cell>
          <cell r="H249">
            <v>5.34</v>
          </cell>
        </row>
        <row r="250">
          <cell r="F250" t="str">
            <v>32C1W1</v>
          </cell>
          <cell r="G250" t="str">
            <v>1-32GAL COMM 1 X WEEKLY</v>
          </cell>
          <cell r="H250">
            <v>19.100000000000001</v>
          </cell>
        </row>
        <row r="251">
          <cell r="F251" t="str">
            <v>32C1W1</v>
          </cell>
          <cell r="G251" t="str">
            <v>1-32GAL COMM 1 X WEEKLY</v>
          </cell>
          <cell r="H251">
            <v>19.100000000000001</v>
          </cell>
        </row>
        <row r="252">
          <cell r="F252" t="str">
            <v>32C1W1</v>
          </cell>
          <cell r="G252" t="str">
            <v>1-32GAL COMM 1 X WEEKLY</v>
          </cell>
          <cell r="H252">
            <v>19.100000000000001</v>
          </cell>
        </row>
        <row r="253">
          <cell r="F253" t="str">
            <v>32C1W1</v>
          </cell>
          <cell r="G253" t="str">
            <v>1-32GAL COMM 1 X WEEKLY</v>
          </cell>
          <cell r="H253">
            <v>19.100000000000001</v>
          </cell>
        </row>
        <row r="254">
          <cell r="F254" t="str">
            <v>32C1W1</v>
          </cell>
          <cell r="G254" t="str">
            <v>1-32GAL COMM 1 X WEEKLY</v>
          </cell>
          <cell r="H254">
            <v>19.100000000000001</v>
          </cell>
        </row>
        <row r="255">
          <cell r="F255" t="str">
            <v>32C1W1</v>
          </cell>
          <cell r="G255" t="str">
            <v>1-32GAL COMM 1 X WEEKLY</v>
          </cell>
          <cell r="H255">
            <v>19.100000000000001</v>
          </cell>
        </row>
        <row r="256">
          <cell r="F256" t="str">
            <v>32C1W1</v>
          </cell>
          <cell r="G256" t="str">
            <v>1-32GAL COMM 1 X WEEKLY</v>
          </cell>
          <cell r="H256">
            <v>19.100000000000001</v>
          </cell>
        </row>
        <row r="257">
          <cell r="F257" t="str">
            <v>32C1W2</v>
          </cell>
          <cell r="G257" t="str">
            <v>2-32GAL CANS WEEKLY</v>
          </cell>
          <cell r="H257">
            <v>38.19</v>
          </cell>
        </row>
        <row r="258">
          <cell r="F258" t="str">
            <v>32C1W2</v>
          </cell>
          <cell r="G258" t="str">
            <v>2-32GAL CANS WEEKLY</v>
          </cell>
          <cell r="H258">
            <v>38.19</v>
          </cell>
        </row>
        <row r="259">
          <cell r="F259" t="str">
            <v>32C1W2</v>
          </cell>
          <cell r="G259" t="str">
            <v>2-32GAL CANS WEEKLY</v>
          </cell>
          <cell r="H259">
            <v>38.19</v>
          </cell>
        </row>
        <row r="260">
          <cell r="F260" t="str">
            <v>32C1W2</v>
          </cell>
          <cell r="G260" t="str">
            <v>2-32GAL CANS WEEKLY</v>
          </cell>
          <cell r="H260">
            <v>38.19</v>
          </cell>
        </row>
        <row r="261">
          <cell r="F261" t="str">
            <v>32C1W2</v>
          </cell>
          <cell r="G261" t="str">
            <v>2-32GAL CANS WEEKLY</v>
          </cell>
          <cell r="H261">
            <v>38.19</v>
          </cell>
        </row>
        <row r="262">
          <cell r="F262" t="str">
            <v>32C1W2</v>
          </cell>
          <cell r="G262" t="str">
            <v>2-32GAL CANS WEEKLY</v>
          </cell>
          <cell r="H262">
            <v>38.19</v>
          </cell>
        </row>
        <row r="263">
          <cell r="F263" t="str">
            <v>32C1W2</v>
          </cell>
          <cell r="G263" t="str">
            <v>2-32GAL CANS WEEKLY</v>
          </cell>
          <cell r="H263">
            <v>38.19</v>
          </cell>
        </row>
        <row r="264">
          <cell r="F264" t="str">
            <v>32C1W3</v>
          </cell>
          <cell r="G264" t="str">
            <v>3-32GAL CANS WEEKLY</v>
          </cell>
          <cell r="H264">
            <v>57.29</v>
          </cell>
        </row>
        <row r="265">
          <cell r="F265" t="str">
            <v>32C1W3</v>
          </cell>
          <cell r="G265" t="str">
            <v>3-32GAL CANS WEEKLY</v>
          </cell>
          <cell r="H265">
            <v>57.29</v>
          </cell>
        </row>
        <row r="266">
          <cell r="F266" t="str">
            <v>32C1W3</v>
          </cell>
          <cell r="G266" t="str">
            <v>3-32GAL CANS WEEKLY</v>
          </cell>
          <cell r="H266">
            <v>57.29</v>
          </cell>
        </row>
        <row r="267">
          <cell r="F267" t="str">
            <v>32C1W3</v>
          </cell>
          <cell r="G267" t="str">
            <v>3-32GAL CANS WEEKLY</v>
          </cell>
          <cell r="H267">
            <v>57.29</v>
          </cell>
        </row>
        <row r="268">
          <cell r="F268" t="str">
            <v>32C1W3</v>
          </cell>
          <cell r="G268" t="str">
            <v>3-32GAL CANS WEEKLY</v>
          </cell>
          <cell r="H268">
            <v>57.29</v>
          </cell>
        </row>
        <row r="269">
          <cell r="F269" t="str">
            <v>32C1W3</v>
          </cell>
          <cell r="G269" t="str">
            <v>3-32GAL CANS WEEKLY</v>
          </cell>
          <cell r="H269">
            <v>57.29</v>
          </cell>
        </row>
        <row r="270">
          <cell r="F270" t="str">
            <v>32C1W3</v>
          </cell>
          <cell r="G270" t="str">
            <v>3-32GAL CANS WEEKLY</v>
          </cell>
          <cell r="H270">
            <v>57.29</v>
          </cell>
        </row>
        <row r="271">
          <cell r="F271" t="str">
            <v>32C1W4</v>
          </cell>
          <cell r="G271" t="str">
            <v>4-32GAL CANS 1 X WEEKLY</v>
          </cell>
          <cell r="H271">
            <v>76.38</v>
          </cell>
        </row>
        <row r="272">
          <cell r="F272" t="str">
            <v>32C1W4</v>
          </cell>
          <cell r="G272" t="str">
            <v>4-32GAL CANS 1 X WEEKLY</v>
          </cell>
          <cell r="H272">
            <v>76.38</v>
          </cell>
        </row>
        <row r="273">
          <cell r="F273" t="str">
            <v>32C1W4</v>
          </cell>
          <cell r="G273" t="str">
            <v>4-32GAL CANS 1 X WEEKLY</v>
          </cell>
          <cell r="H273">
            <v>76.38</v>
          </cell>
        </row>
        <row r="274">
          <cell r="F274" t="str">
            <v>32C1W4</v>
          </cell>
          <cell r="G274" t="str">
            <v>4-32GAL CANS 1 X WEEKLY</v>
          </cell>
          <cell r="H274">
            <v>76.38</v>
          </cell>
        </row>
        <row r="275">
          <cell r="F275" t="str">
            <v>32C1W4</v>
          </cell>
          <cell r="G275" t="str">
            <v>4-32GAL CANS 1 X WEEKLY</v>
          </cell>
          <cell r="H275">
            <v>76.38</v>
          </cell>
        </row>
        <row r="276">
          <cell r="F276" t="str">
            <v>32C1W4</v>
          </cell>
          <cell r="G276" t="str">
            <v>4-32GAL CANS 1 X WEEKLY</v>
          </cell>
          <cell r="H276">
            <v>76.38</v>
          </cell>
        </row>
        <row r="277">
          <cell r="F277" t="str">
            <v>32C1W4</v>
          </cell>
          <cell r="G277" t="str">
            <v>4-32GAL CANS 1 X WEEKLY</v>
          </cell>
          <cell r="H277">
            <v>76.38</v>
          </cell>
        </row>
        <row r="278">
          <cell r="F278" t="str">
            <v>45C1M1</v>
          </cell>
          <cell r="G278" t="str">
            <v>1-45 GAL COM CAN MONTHLY</v>
          </cell>
          <cell r="H278">
            <v>27.16</v>
          </cell>
        </row>
        <row r="279">
          <cell r="F279" t="str">
            <v>45C1M1</v>
          </cell>
          <cell r="G279" t="str">
            <v>1-45 GAL COM CAN MONTHLY</v>
          </cell>
          <cell r="H279">
            <v>27.16</v>
          </cell>
        </row>
        <row r="280">
          <cell r="F280" t="str">
            <v>45C1M1</v>
          </cell>
          <cell r="G280" t="str">
            <v>1-45 GAL COM CAN MONTHLY</v>
          </cell>
          <cell r="H280">
            <v>27.16</v>
          </cell>
        </row>
        <row r="281">
          <cell r="F281" t="str">
            <v>45C1M1</v>
          </cell>
          <cell r="G281" t="str">
            <v>1-45 GAL COM CAN MONTHLY</v>
          </cell>
          <cell r="H281">
            <v>27.16</v>
          </cell>
        </row>
        <row r="282">
          <cell r="F282" t="str">
            <v>45C1M1</v>
          </cell>
          <cell r="G282" t="str">
            <v>1-45 GAL COM CAN MONTHLY</v>
          </cell>
          <cell r="H282">
            <v>27.16</v>
          </cell>
        </row>
        <row r="283">
          <cell r="F283" t="str">
            <v>45C1M1</v>
          </cell>
          <cell r="G283" t="str">
            <v>1-45 GAL COM CAN MONTHLY</v>
          </cell>
          <cell r="H283">
            <v>27.16</v>
          </cell>
        </row>
        <row r="284">
          <cell r="F284" t="str">
            <v>45C1M1</v>
          </cell>
          <cell r="G284" t="str">
            <v>1-45 GAL COM CAN MONTHLY</v>
          </cell>
          <cell r="H284">
            <v>27.16</v>
          </cell>
        </row>
        <row r="285">
          <cell r="F285" t="str">
            <v>45C1W1</v>
          </cell>
          <cell r="G285" t="str">
            <v>45 GL 1X WK 1 COM</v>
          </cell>
          <cell r="H285">
            <v>31.48</v>
          </cell>
        </row>
        <row r="286">
          <cell r="F286" t="str">
            <v>45C1W1</v>
          </cell>
          <cell r="G286" t="str">
            <v>45 GL 1X WK 1 COM</v>
          </cell>
          <cell r="H286">
            <v>31.48</v>
          </cell>
        </row>
        <row r="287">
          <cell r="F287" t="str">
            <v>45C1W1</v>
          </cell>
          <cell r="G287" t="str">
            <v>45 GL 1X WK 1 COM</v>
          </cell>
          <cell r="H287">
            <v>31.48</v>
          </cell>
        </row>
        <row r="288">
          <cell r="F288" t="str">
            <v>45C1W1</v>
          </cell>
          <cell r="G288" t="str">
            <v>45 GL 1X WK 1 COM</v>
          </cell>
          <cell r="H288">
            <v>31.48</v>
          </cell>
        </row>
        <row r="289">
          <cell r="F289" t="str">
            <v>45C1W1</v>
          </cell>
          <cell r="G289" t="str">
            <v>45 GL 1X WK 1 COM</v>
          </cell>
          <cell r="H289">
            <v>31.48</v>
          </cell>
        </row>
        <row r="290">
          <cell r="F290" t="str">
            <v>45C1W1</v>
          </cell>
          <cell r="G290" t="str">
            <v>45 GL 1X WK 1 COM</v>
          </cell>
          <cell r="H290">
            <v>31.48</v>
          </cell>
        </row>
        <row r="291">
          <cell r="F291" t="str">
            <v>45C1W1</v>
          </cell>
          <cell r="G291" t="str">
            <v>45 GL 1X WK 1 COM</v>
          </cell>
          <cell r="H291">
            <v>31.48</v>
          </cell>
        </row>
        <row r="292">
          <cell r="F292" t="str">
            <v>BULKY - COMM</v>
          </cell>
          <cell r="G292" t="str">
            <v>BULKY ITEM PICK UP - COMM</v>
          </cell>
          <cell r="H292">
            <v>17.68</v>
          </cell>
        </row>
        <row r="293">
          <cell r="F293" t="str">
            <v>BULKY - COMM</v>
          </cell>
          <cell r="G293" t="str">
            <v>BULKY ITEM PICK UP - COMM</v>
          </cell>
          <cell r="H293">
            <v>17.68</v>
          </cell>
        </row>
        <row r="294">
          <cell r="F294" t="str">
            <v>BULKY - COMM</v>
          </cell>
          <cell r="G294" t="str">
            <v>BULKY ITEM PICK UP - COMM</v>
          </cell>
          <cell r="H294">
            <v>17.68</v>
          </cell>
        </row>
        <row r="295">
          <cell r="F295" t="str">
            <v>BULKY - COMM</v>
          </cell>
          <cell r="G295" t="str">
            <v>BULKY ITEM PICK UP - COMM</v>
          </cell>
          <cell r="H295">
            <v>17.68</v>
          </cell>
        </row>
        <row r="296">
          <cell r="F296" t="str">
            <v>BULKY - COMM</v>
          </cell>
          <cell r="G296" t="str">
            <v>BULKY ITEM PICK UP - COMM</v>
          </cell>
          <cell r="H296">
            <v>17.68</v>
          </cell>
        </row>
        <row r="297">
          <cell r="F297" t="str">
            <v>BULKY - COMM</v>
          </cell>
          <cell r="G297" t="str">
            <v>BULKY ITEM PICK UP - COMM</v>
          </cell>
          <cell r="H297">
            <v>17.68</v>
          </cell>
        </row>
        <row r="298">
          <cell r="F298" t="str">
            <v>BULKY - COMM</v>
          </cell>
          <cell r="G298" t="str">
            <v>BULKY ITEM PICK UP - COMM</v>
          </cell>
          <cell r="H298">
            <v>17.68</v>
          </cell>
        </row>
        <row r="299">
          <cell r="F299" t="str">
            <v>EXTRA-COMM</v>
          </cell>
          <cell r="G299" t="str">
            <v>EXTRA ITEM - COM</v>
          </cell>
          <cell r="H299">
            <v>4.41</v>
          </cell>
        </row>
        <row r="300">
          <cell r="F300" t="str">
            <v>EXTRA-COMM</v>
          </cell>
          <cell r="G300" t="str">
            <v>EXTRA ITEM - COM</v>
          </cell>
          <cell r="H300">
            <v>4.41</v>
          </cell>
        </row>
        <row r="301">
          <cell r="F301" t="str">
            <v>EXTRA-COMM</v>
          </cell>
          <cell r="G301" t="str">
            <v>EXTRA ITEM - COM</v>
          </cell>
          <cell r="H301">
            <v>4.41</v>
          </cell>
        </row>
        <row r="302">
          <cell r="F302" t="str">
            <v>EXTRA-COMM</v>
          </cell>
          <cell r="G302" t="str">
            <v>EXTRA ITEM - COM</v>
          </cell>
          <cell r="H302">
            <v>4.41</v>
          </cell>
        </row>
        <row r="303">
          <cell r="F303" t="str">
            <v>EXTRA-COMM</v>
          </cell>
          <cell r="G303" t="str">
            <v>EXTRA ITEM - COM</v>
          </cell>
          <cell r="H303">
            <v>4.41</v>
          </cell>
        </row>
        <row r="304">
          <cell r="F304" t="str">
            <v>EXTRA-COMM</v>
          </cell>
          <cell r="G304" t="str">
            <v>EXTRA ITEM - COM</v>
          </cell>
          <cell r="H304">
            <v>4.41</v>
          </cell>
        </row>
        <row r="305">
          <cell r="F305" t="str">
            <v>EXTRA-COMM</v>
          </cell>
          <cell r="G305" t="str">
            <v>EXTRA ITEM - COM</v>
          </cell>
          <cell r="H305">
            <v>4.41</v>
          </cell>
        </row>
        <row r="306">
          <cell r="F306" t="str">
            <v>OS - COMM</v>
          </cell>
          <cell r="G306" t="str">
            <v>OVERSIZE CAN - COMM</v>
          </cell>
          <cell r="H306">
            <v>4.32</v>
          </cell>
        </row>
        <row r="307">
          <cell r="F307" t="str">
            <v>OS - COMM</v>
          </cell>
          <cell r="G307" t="str">
            <v>OVERSIZE CAN - COMM</v>
          </cell>
          <cell r="H307">
            <v>4.32</v>
          </cell>
        </row>
        <row r="308">
          <cell r="F308" t="str">
            <v>OS - COMM</v>
          </cell>
          <cell r="G308" t="str">
            <v>OVERSIZE CAN - COMM</v>
          </cell>
          <cell r="H308">
            <v>4.32</v>
          </cell>
        </row>
        <row r="309">
          <cell r="F309" t="str">
            <v>OS - COMM</v>
          </cell>
          <cell r="G309" t="str">
            <v>OVERSIZE CAN - COMM</v>
          </cell>
          <cell r="H309">
            <v>4.32</v>
          </cell>
        </row>
        <row r="310">
          <cell r="F310" t="str">
            <v>OS - COMM</v>
          </cell>
          <cell r="G310" t="str">
            <v>OVERSIZE CAN - COMM</v>
          </cell>
          <cell r="H310">
            <v>4.32</v>
          </cell>
        </row>
        <row r="311">
          <cell r="F311" t="str">
            <v>OS - COMM</v>
          </cell>
          <cell r="G311" t="str">
            <v>OVERSIZE CAN - COMM</v>
          </cell>
          <cell r="H311">
            <v>4.32</v>
          </cell>
        </row>
        <row r="312">
          <cell r="F312" t="str">
            <v>OS - COMM</v>
          </cell>
          <cell r="G312" t="str">
            <v>OVERSIZE CAN - COMM</v>
          </cell>
          <cell r="H312">
            <v>4.32</v>
          </cell>
        </row>
        <row r="313">
          <cell r="F313" t="str">
            <v>OW-COMM</v>
          </cell>
          <cell r="G313" t="str">
            <v>OVERFILL/OVERWEIGHT CAN -</v>
          </cell>
          <cell r="H313">
            <v>4.32</v>
          </cell>
        </row>
        <row r="314">
          <cell r="F314" t="str">
            <v>OW-COMM</v>
          </cell>
          <cell r="G314" t="str">
            <v>OVERFILL/OVERWEIGHT CAN -</v>
          </cell>
          <cell r="H314">
            <v>4.32</v>
          </cell>
        </row>
        <row r="315">
          <cell r="F315" t="str">
            <v>OW-COMM</v>
          </cell>
          <cell r="G315" t="str">
            <v>OVERFILL/OVERWEIGHT CAN -</v>
          </cell>
          <cell r="H315">
            <v>4.32</v>
          </cell>
        </row>
        <row r="316">
          <cell r="F316" t="str">
            <v>OW-COMM</v>
          </cell>
          <cell r="G316" t="str">
            <v>OVERFILL/OVERWEIGHT CAN -</v>
          </cell>
          <cell r="H316">
            <v>4.32</v>
          </cell>
        </row>
        <row r="317">
          <cell r="F317" t="str">
            <v>OW-COMM</v>
          </cell>
          <cell r="G317" t="str">
            <v>OVERFILL/OVERWEIGHT CAN -</v>
          </cell>
          <cell r="H317">
            <v>4.32</v>
          </cell>
        </row>
        <row r="318">
          <cell r="F318" t="str">
            <v>OW-COMM</v>
          </cell>
          <cell r="G318" t="str">
            <v>OVERFILL/OVERWEIGHT CAN -</v>
          </cell>
          <cell r="H318">
            <v>4.32</v>
          </cell>
        </row>
        <row r="319">
          <cell r="F319" t="str">
            <v>OW-COMM</v>
          </cell>
          <cell r="G319" t="str">
            <v>OVERFILL/OVERWEIGHT CAN -</v>
          </cell>
          <cell r="H319">
            <v>4.32</v>
          </cell>
        </row>
        <row r="320">
          <cell r="F320" t="str">
            <v>P1.5YC1W1</v>
          </cell>
          <cell r="G320" t="str">
            <v>1-1.5YD CONT 1 X WEEKLY</v>
          </cell>
          <cell r="H320">
            <v>106.69</v>
          </cell>
        </row>
        <row r="321">
          <cell r="F321" t="str">
            <v>P1.5YC1W1</v>
          </cell>
          <cell r="G321" t="str">
            <v>1-1.5YD CONT 1 X WEEKLY</v>
          </cell>
          <cell r="H321">
            <v>106.69</v>
          </cell>
        </row>
        <row r="322">
          <cell r="F322" t="str">
            <v>P1.5YC1W1</v>
          </cell>
          <cell r="G322" t="str">
            <v>1-1.5YD CONT 1 X WEEKLY</v>
          </cell>
          <cell r="H322">
            <v>106.69</v>
          </cell>
        </row>
        <row r="323">
          <cell r="F323" t="str">
            <v>P1.5YC1W1</v>
          </cell>
          <cell r="G323" t="str">
            <v>1-1.5YD CONT 1 X WEEKLY</v>
          </cell>
          <cell r="H323">
            <v>106.69</v>
          </cell>
        </row>
        <row r="324">
          <cell r="F324" t="str">
            <v>P1.5YC1W1</v>
          </cell>
          <cell r="G324" t="str">
            <v>1-1.5YD CONT 1 X WEEKLY</v>
          </cell>
          <cell r="H324">
            <v>106.69</v>
          </cell>
        </row>
        <row r="325">
          <cell r="F325" t="str">
            <v>P1.5YC1W1</v>
          </cell>
          <cell r="G325" t="str">
            <v>1-1.5YD CONT 1 X WEEKLY</v>
          </cell>
          <cell r="H325">
            <v>106.69</v>
          </cell>
        </row>
        <row r="326">
          <cell r="F326" t="str">
            <v>P1.5YC1W1</v>
          </cell>
          <cell r="G326" t="str">
            <v>1-1.5YD CONT 1 X WEEKLY</v>
          </cell>
          <cell r="H326">
            <v>106.69</v>
          </cell>
        </row>
        <row r="327">
          <cell r="F327" t="str">
            <v>P1.5YC1W2</v>
          </cell>
          <cell r="G327" t="str">
            <v>2-1.5YD CONT 1 X WEEKLY</v>
          </cell>
          <cell r="H327">
            <v>213.38</v>
          </cell>
        </row>
        <row r="328">
          <cell r="F328" t="str">
            <v>P1.5YC1W2</v>
          </cell>
          <cell r="G328" t="str">
            <v>2-1.5YD CONT 1 X WEEKLY</v>
          </cell>
          <cell r="H328">
            <v>213.38</v>
          </cell>
        </row>
        <row r="329">
          <cell r="F329" t="str">
            <v>P1.5YC1W2</v>
          </cell>
          <cell r="G329" t="str">
            <v>2-1.5YD CONT 1 X WEEKLY</v>
          </cell>
          <cell r="H329">
            <v>213.38</v>
          </cell>
        </row>
        <row r="330">
          <cell r="F330" t="str">
            <v>P1.5YC1W2</v>
          </cell>
          <cell r="G330" t="str">
            <v>2-1.5YD CONT 1 X WEEKLY</v>
          </cell>
          <cell r="H330">
            <v>213.38</v>
          </cell>
        </row>
        <row r="331">
          <cell r="F331" t="str">
            <v>P1.5YC1W2</v>
          </cell>
          <cell r="G331" t="str">
            <v>2-1.5YD CONT 1 X WEEKLY</v>
          </cell>
          <cell r="H331">
            <v>213.38</v>
          </cell>
        </row>
        <row r="332">
          <cell r="F332" t="str">
            <v>P1.5YC1W2</v>
          </cell>
          <cell r="G332" t="str">
            <v>2-1.5YD CONT 1 X WEEKLY</v>
          </cell>
          <cell r="H332">
            <v>213.38</v>
          </cell>
        </row>
        <row r="333">
          <cell r="F333" t="str">
            <v>P1.5YC1W2</v>
          </cell>
          <cell r="G333" t="str">
            <v>2-1.5YD CONT 1 X WEEKLY</v>
          </cell>
          <cell r="H333">
            <v>213.38</v>
          </cell>
        </row>
        <row r="334">
          <cell r="F334" t="str">
            <v>P1.5YC2W1</v>
          </cell>
          <cell r="G334" t="str">
            <v>1-1.5YD CONT 2 X WEEKLY</v>
          </cell>
          <cell r="H334">
            <v>213.38</v>
          </cell>
        </row>
        <row r="335">
          <cell r="F335" t="str">
            <v>P1.5YC2W1</v>
          </cell>
          <cell r="G335" t="str">
            <v>1-1.5YD CONT 2 X WEEKLY</v>
          </cell>
          <cell r="H335">
            <v>213.38</v>
          </cell>
        </row>
        <row r="336">
          <cell r="F336" t="str">
            <v>P1.5YC2W1</v>
          </cell>
          <cell r="G336" t="str">
            <v>1-1.5YD CONT 2 X WEEKLY</v>
          </cell>
          <cell r="H336">
            <v>213.38</v>
          </cell>
        </row>
        <row r="337">
          <cell r="F337" t="str">
            <v>P1.5YC2W1</v>
          </cell>
          <cell r="G337" t="str">
            <v>1-1.5YD CONT 2 X WEEKLY</v>
          </cell>
          <cell r="H337">
            <v>213.38</v>
          </cell>
        </row>
        <row r="338">
          <cell r="F338" t="str">
            <v>P1.5YC2W1</v>
          </cell>
          <cell r="G338" t="str">
            <v>1-1.5YD CONT 2 X WEEKLY</v>
          </cell>
          <cell r="H338">
            <v>213.38</v>
          </cell>
        </row>
        <row r="339">
          <cell r="F339" t="str">
            <v>P1.5YC2W1</v>
          </cell>
          <cell r="G339" t="str">
            <v>1-1.5YD CONT 2 X WEEKLY</v>
          </cell>
          <cell r="H339">
            <v>213.38</v>
          </cell>
        </row>
        <row r="340">
          <cell r="F340" t="str">
            <v>P1.5YC2W1</v>
          </cell>
          <cell r="G340" t="str">
            <v>1-1.5YD CONT 2 X WEEKLY</v>
          </cell>
          <cell r="H340">
            <v>213.38</v>
          </cell>
        </row>
        <row r="341">
          <cell r="F341" t="str">
            <v>P1.5YC3W1</v>
          </cell>
          <cell r="G341" t="str">
            <v>1-1.5YD CONT 3 X WEEKLY</v>
          </cell>
          <cell r="H341">
            <v>320.07</v>
          </cell>
        </row>
        <row r="342">
          <cell r="F342" t="str">
            <v>P1.5YC3W1</v>
          </cell>
          <cell r="G342" t="str">
            <v>1-1.5YD CONT 3 X WEEKLY</v>
          </cell>
          <cell r="H342">
            <v>320.07</v>
          </cell>
        </row>
        <row r="343">
          <cell r="F343" t="str">
            <v>P1.5YC3W1</v>
          </cell>
          <cell r="G343" t="str">
            <v>1-1.5YD CONT 3 X WEEKLY</v>
          </cell>
          <cell r="H343">
            <v>320.07</v>
          </cell>
        </row>
        <row r="344">
          <cell r="F344" t="str">
            <v>P1.5YC3W1</v>
          </cell>
          <cell r="G344" t="str">
            <v>1-1.5YD CONT 3 X WEEKLY</v>
          </cell>
          <cell r="H344">
            <v>320.07</v>
          </cell>
        </row>
        <row r="345">
          <cell r="F345" t="str">
            <v>P1.5YC3W1</v>
          </cell>
          <cell r="G345" t="str">
            <v>1-1.5YD CONT 3 X WEEKLY</v>
          </cell>
          <cell r="H345">
            <v>320.07</v>
          </cell>
        </row>
        <row r="346">
          <cell r="F346" t="str">
            <v>P1.5YC3W1</v>
          </cell>
          <cell r="G346" t="str">
            <v>1-1.5YD CONT 3 X WEEKLY</v>
          </cell>
          <cell r="H346">
            <v>320.07</v>
          </cell>
        </row>
        <row r="347">
          <cell r="F347" t="str">
            <v>P1.5YC3W1</v>
          </cell>
          <cell r="G347" t="str">
            <v>1-1.5YD CONT 3 X WEEKLY</v>
          </cell>
          <cell r="H347">
            <v>320.07</v>
          </cell>
        </row>
        <row r="348">
          <cell r="F348" t="str">
            <v>P1.5YC3W2</v>
          </cell>
          <cell r="G348" t="str">
            <v>2-1.5YD CONT 3 X WEEKLY</v>
          </cell>
          <cell r="H348">
            <v>640.15</v>
          </cell>
        </row>
        <row r="349">
          <cell r="F349" t="str">
            <v>P1.5YC3W2</v>
          </cell>
          <cell r="G349" t="str">
            <v>2-1.5YD CONT 3 X WEEKLY</v>
          </cell>
          <cell r="H349">
            <v>640.15</v>
          </cell>
        </row>
        <row r="350">
          <cell r="F350" t="str">
            <v>P1.5YC3W2</v>
          </cell>
          <cell r="G350" t="str">
            <v>2-1.5YD CONT 3 X WEEKLY</v>
          </cell>
          <cell r="H350">
            <v>640.15</v>
          </cell>
        </row>
        <row r="351">
          <cell r="F351" t="str">
            <v>P1.5YC3W2</v>
          </cell>
          <cell r="G351" t="str">
            <v>2-1.5YD CONT 3 X WEEKLY</v>
          </cell>
          <cell r="H351">
            <v>640.15</v>
          </cell>
        </row>
        <row r="352">
          <cell r="F352" t="str">
            <v>P1.5YC3W2</v>
          </cell>
          <cell r="G352" t="str">
            <v>2-1.5YD CONT 3 X WEEKLY</v>
          </cell>
          <cell r="H352">
            <v>640.15</v>
          </cell>
        </row>
        <row r="353">
          <cell r="F353" t="str">
            <v>P1.5YC3W2</v>
          </cell>
          <cell r="G353" t="str">
            <v>2-1.5YD CONT 3 X WEEKLY</v>
          </cell>
          <cell r="H353">
            <v>640.15</v>
          </cell>
        </row>
        <row r="354">
          <cell r="F354" t="str">
            <v>P1.5YC3W2</v>
          </cell>
          <cell r="G354" t="str">
            <v>2-1.5YD CONT 3 X WEEKLY</v>
          </cell>
          <cell r="H354">
            <v>640.15</v>
          </cell>
        </row>
        <row r="355">
          <cell r="F355" t="str">
            <v>P1.5YCE1</v>
          </cell>
          <cell r="G355" t="str">
            <v>1-1.5YD CONT EOW</v>
          </cell>
          <cell r="H355">
            <v>53.47</v>
          </cell>
        </row>
        <row r="356">
          <cell r="F356" t="str">
            <v>P1.5YCE1</v>
          </cell>
          <cell r="G356" t="str">
            <v>1-1.5YD CONT EOW</v>
          </cell>
          <cell r="H356">
            <v>53.47</v>
          </cell>
        </row>
        <row r="357">
          <cell r="F357" t="str">
            <v>P1.5YCE1</v>
          </cell>
          <cell r="G357" t="str">
            <v>1-1.5YD CONT EOW</v>
          </cell>
          <cell r="H357">
            <v>53.47</v>
          </cell>
        </row>
        <row r="358">
          <cell r="F358" t="str">
            <v>P1.5YCE1</v>
          </cell>
          <cell r="G358" t="str">
            <v>1-1.5YD CONT EOW</v>
          </cell>
          <cell r="H358">
            <v>53.47</v>
          </cell>
        </row>
        <row r="359">
          <cell r="F359" t="str">
            <v>P1.5YCE1</v>
          </cell>
          <cell r="G359" t="str">
            <v>1-1.5YD CONT EOW</v>
          </cell>
          <cell r="H359">
            <v>53.47</v>
          </cell>
        </row>
        <row r="360">
          <cell r="F360" t="str">
            <v>P1.5YCE1</v>
          </cell>
          <cell r="G360" t="str">
            <v>1-1.5YD CONT EOW</v>
          </cell>
          <cell r="H360">
            <v>53.47</v>
          </cell>
        </row>
        <row r="361">
          <cell r="F361" t="str">
            <v>P1.5YCE1</v>
          </cell>
          <cell r="G361" t="str">
            <v>1-1.5YD CONT EOW</v>
          </cell>
          <cell r="H361">
            <v>53.47</v>
          </cell>
        </row>
        <row r="362">
          <cell r="F362" t="str">
            <v>P1YC1W1</v>
          </cell>
          <cell r="G362" t="str">
            <v>1-1YD CONT 1 X WEEKLY</v>
          </cell>
          <cell r="H362">
            <v>72.349999999999994</v>
          </cell>
        </row>
        <row r="363">
          <cell r="F363" t="str">
            <v>P1YC1W1</v>
          </cell>
          <cell r="G363" t="str">
            <v>1-1YD CONT 1 X WEEKLY</v>
          </cell>
          <cell r="H363">
            <v>72.349999999999994</v>
          </cell>
        </row>
        <row r="364">
          <cell r="F364" t="str">
            <v>P1YC1W1</v>
          </cell>
          <cell r="G364" t="str">
            <v>1-1YD CONT 1 X WEEKLY</v>
          </cell>
          <cell r="H364">
            <v>72.349999999999994</v>
          </cell>
        </row>
        <row r="365">
          <cell r="F365" t="str">
            <v>P1YC1W1</v>
          </cell>
          <cell r="G365" t="str">
            <v>1-1YD CONT 1 X WEEKLY</v>
          </cell>
          <cell r="H365">
            <v>72.349999999999994</v>
          </cell>
        </row>
        <row r="366">
          <cell r="F366" t="str">
            <v>P1YC1W1</v>
          </cell>
          <cell r="G366" t="str">
            <v>1-1YD CONT 1 X WEEKLY</v>
          </cell>
          <cell r="H366">
            <v>72.349999999999994</v>
          </cell>
        </row>
        <row r="367">
          <cell r="F367" t="str">
            <v>P1YC1W1</v>
          </cell>
          <cell r="G367" t="str">
            <v>1-1YD CONT 1 X WEEKLY</v>
          </cell>
          <cell r="H367">
            <v>72.349999999999994</v>
          </cell>
        </row>
        <row r="368">
          <cell r="F368" t="str">
            <v>P1YC1W1</v>
          </cell>
          <cell r="G368" t="str">
            <v>1-1YD CONT 1 X WEEKLY</v>
          </cell>
          <cell r="H368">
            <v>72.349999999999994</v>
          </cell>
        </row>
        <row r="369">
          <cell r="F369" t="str">
            <v>P1YC1W2</v>
          </cell>
          <cell r="G369" t="str">
            <v>2-1YD CONT. 1 X WEEKLY</v>
          </cell>
          <cell r="H369">
            <v>144.71</v>
          </cell>
        </row>
        <row r="370">
          <cell r="F370" t="str">
            <v>P1YC1W2</v>
          </cell>
          <cell r="G370" t="str">
            <v>2-1YD CONT. 1 X WEEKLY</v>
          </cell>
          <cell r="H370">
            <v>144.71</v>
          </cell>
        </row>
        <row r="371">
          <cell r="F371" t="str">
            <v>P1YC1W2</v>
          </cell>
          <cell r="G371" t="str">
            <v>2-1YD CONT. 1 X WEEKLY</v>
          </cell>
          <cell r="H371">
            <v>144.71</v>
          </cell>
        </row>
        <row r="372">
          <cell r="F372" t="str">
            <v>P1YC1W2</v>
          </cell>
          <cell r="G372" t="str">
            <v>2-1YD CONT. 1 X WEEKLY</v>
          </cell>
          <cell r="H372">
            <v>144.71</v>
          </cell>
        </row>
        <row r="373">
          <cell r="F373" t="str">
            <v>P1YC1W2</v>
          </cell>
          <cell r="G373" t="str">
            <v>2-1YD CONT. 1 X WEEKLY</v>
          </cell>
          <cell r="H373">
            <v>144.71</v>
          </cell>
        </row>
        <row r="374">
          <cell r="F374" t="str">
            <v>P1YC1W2</v>
          </cell>
          <cell r="G374" t="str">
            <v>2-1YD CONT. 1 X WEEKLY</v>
          </cell>
          <cell r="H374">
            <v>144.71</v>
          </cell>
        </row>
        <row r="375">
          <cell r="F375" t="str">
            <v>P1YC1W2</v>
          </cell>
          <cell r="G375" t="str">
            <v>2-1YD CONT. 1 X WEEKLY</v>
          </cell>
          <cell r="H375">
            <v>144.71</v>
          </cell>
        </row>
        <row r="376">
          <cell r="F376" t="str">
            <v>P1YC2W1</v>
          </cell>
          <cell r="G376" t="str">
            <v>1-1YD CONT 2X WKLY</v>
          </cell>
          <cell r="H376">
            <v>144.71</v>
          </cell>
        </row>
        <row r="377">
          <cell r="F377" t="str">
            <v>P1YC2W1</v>
          </cell>
          <cell r="G377" t="str">
            <v>1-1YD CONT 2X WKLY</v>
          </cell>
          <cell r="H377">
            <v>144.71</v>
          </cell>
        </row>
        <row r="378">
          <cell r="F378" t="str">
            <v>P1YC2W1</v>
          </cell>
          <cell r="G378" t="str">
            <v>1-1YD CONT 2X WKLY</v>
          </cell>
          <cell r="H378">
            <v>144.71</v>
          </cell>
        </row>
        <row r="379">
          <cell r="F379" t="str">
            <v>P1YC2W1</v>
          </cell>
          <cell r="G379" t="str">
            <v>1-1YD CONT 2X WKLY</v>
          </cell>
          <cell r="H379">
            <v>144.71</v>
          </cell>
        </row>
        <row r="380">
          <cell r="F380" t="str">
            <v>P1YC2W1</v>
          </cell>
          <cell r="G380" t="str">
            <v>1-1YD CONT 2X WKLY</v>
          </cell>
          <cell r="H380">
            <v>144.71</v>
          </cell>
        </row>
        <row r="381">
          <cell r="F381" t="str">
            <v>P1YC2W1</v>
          </cell>
          <cell r="G381" t="str">
            <v>1-1YD CONT 2X WKLY</v>
          </cell>
          <cell r="H381">
            <v>144.71</v>
          </cell>
        </row>
        <row r="382">
          <cell r="F382" t="str">
            <v>P1YC2W1</v>
          </cell>
          <cell r="G382" t="str">
            <v>1-1YD CONT 2X WKLY</v>
          </cell>
          <cell r="H382">
            <v>144.71</v>
          </cell>
        </row>
        <row r="383">
          <cell r="F383" t="str">
            <v>P1YCE1</v>
          </cell>
          <cell r="G383" t="str">
            <v>1-1YD CONT EOW</v>
          </cell>
          <cell r="H383">
            <v>36.26</v>
          </cell>
        </row>
        <row r="384">
          <cell r="F384" t="str">
            <v>P1YCE1</v>
          </cell>
          <cell r="G384" t="str">
            <v>1-1YD CONT EOW</v>
          </cell>
          <cell r="H384">
            <v>36.26</v>
          </cell>
        </row>
        <row r="385">
          <cell r="F385" t="str">
            <v>P1YCE1</v>
          </cell>
          <cell r="G385" t="str">
            <v>1-1YD CONT EOW</v>
          </cell>
          <cell r="H385">
            <v>36.26</v>
          </cell>
        </row>
        <row r="386">
          <cell r="F386" t="str">
            <v>P1YCE1</v>
          </cell>
          <cell r="G386" t="str">
            <v>1-1YD CONT EOW</v>
          </cell>
          <cell r="H386">
            <v>36.26</v>
          </cell>
        </row>
        <row r="387">
          <cell r="F387" t="str">
            <v>P1YCE1</v>
          </cell>
          <cell r="G387" t="str">
            <v>1-1YD CONT EOW</v>
          </cell>
          <cell r="H387">
            <v>36.26</v>
          </cell>
        </row>
        <row r="388">
          <cell r="F388" t="str">
            <v>P1YCE1</v>
          </cell>
          <cell r="G388" t="str">
            <v>1-1YD CONT EOW</v>
          </cell>
          <cell r="H388">
            <v>36.26</v>
          </cell>
        </row>
        <row r="389">
          <cell r="F389" t="str">
            <v>P1YCE1</v>
          </cell>
          <cell r="G389" t="str">
            <v>1-1YD CONT EOW</v>
          </cell>
          <cell r="H389">
            <v>36.26</v>
          </cell>
        </row>
        <row r="390">
          <cell r="F390" t="str">
            <v>P2YC1W1</v>
          </cell>
          <cell r="G390" t="str">
            <v>1-2YD CONT 1 X WEEKLY</v>
          </cell>
          <cell r="H390">
            <v>139.38</v>
          </cell>
        </row>
        <row r="391">
          <cell r="F391" t="str">
            <v>P2YC1W1</v>
          </cell>
          <cell r="G391" t="str">
            <v>1-2YD CONT 1 X WEEKLY</v>
          </cell>
          <cell r="H391">
            <v>139.38</v>
          </cell>
        </row>
        <row r="392">
          <cell r="F392" t="str">
            <v>P2YC1W1</v>
          </cell>
          <cell r="G392" t="str">
            <v>1-2YD CONT 1 X WEEKLY</v>
          </cell>
          <cell r="H392">
            <v>139.38</v>
          </cell>
        </row>
        <row r="393">
          <cell r="F393" t="str">
            <v>P2YC1W1</v>
          </cell>
          <cell r="G393" t="str">
            <v>1-2YD CONT 1 X WEEKLY</v>
          </cell>
          <cell r="H393">
            <v>139.38</v>
          </cell>
        </row>
        <row r="394">
          <cell r="F394" t="str">
            <v>P2YC1W1</v>
          </cell>
          <cell r="G394" t="str">
            <v>1-2YD CONT 1 X WEEKLY</v>
          </cell>
          <cell r="H394">
            <v>139.38</v>
          </cell>
        </row>
        <row r="395">
          <cell r="F395" t="str">
            <v>P2YC1W1</v>
          </cell>
          <cell r="G395" t="str">
            <v>1-2YD CONT 1 X WEEKLY</v>
          </cell>
          <cell r="H395">
            <v>139.38</v>
          </cell>
        </row>
        <row r="396">
          <cell r="F396" t="str">
            <v>P2YC1W1</v>
          </cell>
          <cell r="G396" t="str">
            <v>1-2YD CONT 1 X WEEKLY</v>
          </cell>
          <cell r="H396">
            <v>139.38</v>
          </cell>
        </row>
        <row r="397">
          <cell r="F397" t="str">
            <v>P2YC1W2</v>
          </cell>
          <cell r="G397" t="str">
            <v>2-2YD CONT. 1 X WEEKLY</v>
          </cell>
          <cell r="H397">
            <v>278.77</v>
          </cell>
        </row>
        <row r="398">
          <cell r="F398" t="str">
            <v>P2YC1W2</v>
          </cell>
          <cell r="G398" t="str">
            <v>2-2YD CONT. 1 X WEEKLY</v>
          </cell>
          <cell r="H398">
            <v>278.77</v>
          </cell>
        </row>
        <row r="399">
          <cell r="F399" t="str">
            <v>P2YC1W2</v>
          </cell>
          <cell r="G399" t="str">
            <v>2-2YD CONT. 1 X WEEKLY</v>
          </cell>
          <cell r="H399">
            <v>278.77</v>
          </cell>
        </row>
        <row r="400">
          <cell r="F400" t="str">
            <v>P2YC1W2</v>
          </cell>
          <cell r="G400" t="str">
            <v>2-2YD CONT. 1 X WEEKLY</v>
          </cell>
          <cell r="H400">
            <v>278.77</v>
          </cell>
        </row>
        <row r="401">
          <cell r="F401" t="str">
            <v>P2YC1W2</v>
          </cell>
          <cell r="G401" t="str">
            <v>2-2YD CONT. 1 X WEEKLY</v>
          </cell>
          <cell r="H401">
            <v>278.77</v>
          </cell>
        </row>
        <row r="402">
          <cell r="F402" t="str">
            <v>P2YC1W2</v>
          </cell>
          <cell r="G402" t="str">
            <v>2-2YD CONT. 1 X WEEKLY</v>
          </cell>
          <cell r="H402">
            <v>278.77</v>
          </cell>
        </row>
        <row r="403">
          <cell r="F403" t="str">
            <v>P2YC1W2</v>
          </cell>
          <cell r="G403" t="str">
            <v>2-2YD CONT. 1 X WEEKLY</v>
          </cell>
          <cell r="H403">
            <v>278.77</v>
          </cell>
        </row>
        <row r="404">
          <cell r="F404" t="str">
            <v>P2YC1W3</v>
          </cell>
          <cell r="G404" t="str">
            <v>3-2YD CONT. 1 X WEEKLY</v>
          </cell>
          <cell r="H404">
            <v>418.15</v>
          </cell>
        </row>
        <row r="405">
          <cell r="F405" t="str">
            <v>P2YC1W3</v>
          </cell>
          <cell r="G405" t="str">
            <v>3-2YD CONT. 1 X WEEKLY</v>
          </cell>
          <cell r="H405">
            <v>418.15</v>
          </cell>
        </row>
        <row r="406">
          <cell r="F406" t="str">
            <v>P2YC1W3</v>
          </cell>
          <cell r="G406" t="str">
            <v>3-2YD CONT. 1 X WEEKLY</v>
          </cell>
          <cell r="H406">
            <v>418.15</v>
          </cell>
        </row>
        <row r="407">
          <cell r="F407" t="str">
            <v>P2YC1W3</v>
          </cell>
          <cell r="G407" t="str">
            <v>3-2YD CONT. 1 X WEEKLY</v>
          </cell>
          <cell r="H407">
            <v>418.15</v>
          </cell>
        </row>
        <row r="408">
          <cell r="F408" t="str">
            <v>P2YC1W3</v>
          </cell>
          <cell r="G408" t="str">
            <v>3-2YD CONT. 1 X WEEKLY</v>
          </cell>
          <cell r="H408">
            <v>418.15</v>
          </cell>
        </row>
        <row r="409">
          <cell r="F409" t="str">
            <v>P2YC1W3</v>
          </cell>
          <cell r="G409" t="str">
            <v>3-2YD CONT. 1 X WEEKLY</v>
          </cell>
          <cell r="H409">
            <v>418.15</v>
          </cell>
        </row>
        <row r="410">
          <cell r="F410" t="str">
            <v>P2YC1W3</v>
          </cell>
          <cell r="G410" t="str">
            <v>3-2YD CONT. 1 X WEEKLY</v>
          </cell>
          <cell r="H410">
            <v>418.15</v>
          </cell>
        </row>
        <row r="411">
          <cell r="F411" t="str">
            <v>P2YC1W4</v>
          </cell>
          <cell r="G411" t="str">
            <v>4-2YD CONT 1X WKLY</v>
          </cell>
          <cell r="H411">
            <v>557.53</v>
          </cell>
        </row>
        <row r="412">
          <cell r="F412" t="str">
            <v>P2YC1W4</v>
          </cell>
          <cell r="G412" t="str">
            <v>4-2YD CONT 1X WKLY</v>
          </cell>
          <cell r="H412">
            <v>557.53</v>
          </cell>
        </row>
        <row r="413">
          <cell r="F413" t="str">
            <v>P2YC1W4</v>
          </cell>
          <cell r="G413" t="str">
            <v>4-2YD CONT 1X WKLY</v>
          </cell>
          <cell r="H413">
            <v>557.53</v>
          </cell>
        </row>
        <row r="414">
          <cell r="F414" t="str">
            <v>P2YC1W4</v>
          </cell>
          <cell r="G414" t="str">
            <v>4-2YD CONT 1X WKLY</v>
          </cell>
          <cell r="H414">
            <v>557.53</v>
          </cell>
        </row>
        <row r="415">
          <cell r="F415" t="str">
            <v>P2YC1W4</v>
          </cell>
          <cell r="G415" t="str">
            <v>4-2YD CONT 1X WKLY</v>
          </cell>
          <cell r="H415">
            <v>557.53</v>
          </cell>
        </row>
        <row r="416">
          <cell r="F416" t="str">
            <v>P2YC1W4</v>
          </cell>
          <cell r="G416" t="str">
            <v>4-2YD CONT 1X WKLY</v>
          </cell>
          <cell r="H416">
            <v>557.53</v>
          </cell>
        </row>
        <row r="417">
          <cell r="F417" t="str">
            <v>P2YC1W4</v>
          </cell>
          <cell r="G417" t="str">
            <v>4-2YD CONT 1X WKLY</v>
          </cell>
          <cell r="H417">
            <v>557.53</v>
          </cell>
        </row>
        <row r="418">
          <cell r="F418" t="str">
            <v>P2YC1W7</v>
          </cell>
          <cell r="G418" t="str">
            <v>7-2YD CONT 1X WKLY</v>
          </cell>
          <cell r="H418">
            <v>975.68</v>
          </cell>
        </row>
        <row r="419">
          <cell r="F419" t="str">
            <v>P2YC1W7</v>
          </cell>
          <cell r="G419" t="str">
            <v>7-2YD CONT 1X WKLY</v>
          </cell>
          <cell r="H419">
            <v>975.68</v>
          </cell>
        </row>
        <row r="420">
          <cell r="F420" t="str">
            <v>P2YC1W7</v>
          </cell>
          <cell r="G420" t="str">
            <v>7-2YD CONT 1X WKLY</v>
          </cell>
          <cell r="H420">
            <v>975.68</v>
          </cell>
        </row>
        <row r="421">
          <cell r="F421" t="str">
            <v>P2YC1W7</v>
          </cell>
          <cell r="G421" t="str">
            <v>7-2YD CONT 1X WKLY</v>
          </cell>
          <cell r="H421">
            <v>975.68</v>
          </cell>
        </row>
        <row r="422">
          <cell r="F422" t="str">
            <v>P2YC1W7</v>
          </cell>
          <cell r="G422" t="str">
            <v>7-2YD CONT 1X WKLY</v>
          </cell>
          <cell r="H422">
            <v>975.68</v>
          </cell>
        </row>
        <row r="423">
          <cell r="F423" t="str">
            <v>P2YC1W7</v>
          </cell>
          <cell r="G423" t="str">
            <v>7-2YD CONT 1X WKLY</v>
          </cell>
          <cell r="H423">
            <v>975.68</v>
          </cell>
        </row>
        <row r="424">
          <cell r="F424" t="str">
            <v>P2YC1W7</v>
          </cell>
          <cell r="G424" t="str">
            <v>7-2YD CONT 1X WKLY</v>
          </cell>
          <cell r="H424">
            <v>975.68</v>
          </cell>
        </row>
        <row r="425">
          <cell r="F425" t="str">
            <v>P2YC2W1</v>
          </cell>
          <cell r="G425" t="str">
            <v>1-2YD CONT 2  X WEEKLY</v>
          </cell>
          <cell r="H425">
            <v>278.77</v>
          </cell>
        </row>
        <row r="426">
          <cell r="F426" t="str">
            <v>P2YC2W1</v>
          </cell>
          <cell r="G426" t="str">
            <v>1-2YD CONT 2  X WEEKLY</v>
          </cell>
          <cell r="H426">
            <v>278.77</v>
          </cell>
        </row>
        <row r="427">
          <cell r="F427" t="str">
            <v>P2YC2W1</v>
          </cell>
          <cell r="G427" t="str">
            <v>1-2YD CONT 2  X WEEKLY</v>
          </cell>
          <cell r="H427">
            <v>278.77</v>
          </cell>
        </row>
        <row r="428">
          <cell r="F428" t="str">
            <v>P2YC2W1</v>
          </cell>
          <cell r="G428" t="str">
            <v>1-2YD CONT 2  X WEEKLY</v>
          </cell>
          <cell r="H428">
            <v>278.77</v>
          </cell>
        </row>
        <row r="429">
          <cell r="F429" t="str">
            <v>P2YC2W1</v>
          </cell>
          <cell r="G429" t="str">
            <v>1-2YD CONT 2  X WEEKLY</v>
          </cell>
          <cell r="H429">
            <v>278.77</v>
          </cell>
        </row>
        <row r="430">
          <cell r="F430" t="str">
            <v>P2YC2W1</v>
          </cell>
          <cell r="G430" t="str">
            <v>1-2YD CONT 2  X WEEKLY</v>
          </cell>
          <cell r="H430">
            <v>278.77</v>
          </cell>
        </row>
        <row r="431">
          <cell r="F431" t="str">
            <v>P2YC2W1</v>
          </cell>
          <cell r="G431" t="str">
            <v>1-2YD CONT 2  X WEEKLY</v>
          </cell>
          <cell r="H431">
            <v>278.77</v>
          </cell>
        </row>
        <row r="432">
          <cell r="F432" t="str">
            <v>P2YC2W2</v>
          </cell>
          <cell r="G432" t="str">
            <v>2-2YD CONT 2X WKLY</v>
          </cell>
          <cell r="H432">
            <v>557.53</v>
          </cell>
        </row>
        <row r="433">
          <cell r="F433" t="str">
            <v>P2YC2W2</v>
          </cell>
          <cell r="G433" t="str">
            <v>2-2YD CONT 2X WKLY</v>
          </cell>
          <cell r="H433">
            <v>557.53</v>
          </cell>
        </row>
        <row r="434">
          <cell r="F434" t="str">
            <v>P2YC2W2</v>
          </cell>
          <cell r="G434" t="str">
            <v>2-2YD CONT 2X WKLY</v>
          </cell>
          <cell r="H434">
            <v>557.53</v>
          </cell>
        </row>
        <row r="435">
          <cell r="F435" t="str">
            <v>P2YC2W2</v>
          </cell>
          <cell r="G435" t="str">
            <v>2-2YD CONT 2X WKLY</v>
          </cell>
          <cell r="H435">
            <v>557.53</v>
          </cell>
        </row>
        <row r="436">
          <cell r="F436" t="str">
            <v>P2YC2W2</v>
          </cell>
          <cell r="G436" t="str">
            <v>2-2YD CONT 2X WKLY</v>
          </cell>
          <cell r="H436">
            <v>557.53</v>
          </cell>
        </row>
        <row r="437">
          <cell r="F437" t="str">
            <v>P2YC2W2</v>
          </cell>
          <cell r="G437" t="str">
            <v>2-2YD CONT 2X WKLY</v>
          </cell>
          <cell r="H437">
            <v>557.53</v>
          </cell>
        </row>
        <row r="438">
          <cell r="F438" t="str">
            <v>P2YC2W2</v>
          </cell>
          <cell r="G438" t="str">
            <v>2-2YD CONT 2X WKLY</v>
          </cell>
          <cell r="H438">
            <v>557.53</v>
          </cell>
        </row>
        <row r="439">
          <cell r="F439" t="str">
            <v>P2YC2W3</v>
          </cell>
          <cell r="G439" t="str">
            <v>3-2YD CONT 2X WKLY</v>
          </cell>
          <cell r="H439">
            <v>836.3</v>
          </cell>
        </row>
        <row r="440">
          <cell r="F440" t="str">
            <v>P2YC2W3</v>
          </cell>
          <cell r="G440" t="str">
            <v>3-2YD CONT 2X WKLY</v>
          </cell>
          <cell r="H440">
            <v>836.3</v>
          </cell>
        </row>
        <row r="441">
          <cell r="F441" t="str">
            <v>P2YC2W3</v>
          </cell>
          <cell r="G441" t="str">
            <v>3-2YD CONT 2X WKLY</v>
          </cell>
          <cell r="H441">
            <v>836.3</v>
          </cell>
        </row>
        <row r="442">
          <cell r="F442" t="str">
            <v>P2YC2W3</v>
          </cell>
          <cell r="G442" t="str">
            <v>3-2YD CONT 2X WKLY</v>
          </cell>
          <cell r="H442">
            <v>836.3</v>
          </cell>
        </row>
        <row r="443">
          <cell r="F443" t="str">
            <v>P2YC2W3</v>
          </cell>
          <cell r="G443" t="str">
            <v>3-2YD CONT 2X WKLY</v>
          </cell>
          <cell r="H443">
            <v>836.3</v>
          </cell>
        </row>
        <row r="444">
          <cell r="F444" t="str">
            <v>P2YC2W3</v>
          </cell>
          <cell r="G444" t="str">
            <v>3-2YD CONT 2X WKLY</v>
          </cell>
          <cell r="H444">
            <v>836.3</v>
          </cell>
        </row>
        <row r="445">
          <cell r="F445" t="str">
            <v>P2YC2W3</v>
          </cell>
          <cell r="G445" t="str">
            <v>3-2YD CONT 2X WKLY</v>
          </cell>
          <cell r="H445">
            <v>836.3</v>
          </cell>
        </row>
        <row r="446">
          <cell r="F446" t="str">
            <v>P2YC2W7</v>
          </cell>
          <cell r="G446" t="str">
            <v>7-2YD CONT 2X WKLY</v>
          </cell>
          <cell r="H446">
            <v>1951.36</v>
          </cell>
        </row>
        <row r="447">
          <cell r="F447" t="str">
            <v>P2YC2W7</v>
          </cell>
          <cell r="G447" t="str">
            <v>7-2YD CONT 2X WKLY</v>
          </cell>
          <cell r="H447">
            <v>1951.36</v>
          </cell>
        </row>
        <row r="448">
          <cell r="F448" t="str">
            <v>P2YC2W7</v>
          </cell>
          <cell r="G448" t="str">
            <v>7-2YD CONT 2X WKLY</v>
          </cell>
          <cell r="H448">
            <v>1951.36</v>
          </cell>
        </row>
        <row r="449">
          <cell r="F449" t="str">
            <v>P2YC2W7</v>
          </cell>
          <cell r="G449" t="str">
            <v>7-2YD CONT 2X WKLY</v>
          </cell>
          <cell r="H449">
            <v>1951.36</v>
          </cell>
        </row>
        <row r="450">
          <cell r="F450" t="str">
            <v>P2YC2W7</v>
          </cell>
          <cell r="G450" t="str">
            <v>7-2YD CONT 2X WKLY</v>
          </cell>
          <cell r="H450">
            <v>1951.36</v>
          </cell>
        </row>
        <row r="451">
          <cell r="F451" t="str">
            <v>P2YC2W7</v>
          </cell>
          <cell r="G451" t="str">
            <v>7-2YD CONT 2X WKLY</v>
          </cell>
          <cell r="H451">
            <v>1951.36</v>
          </cell>
        </row>
        <row r="452">
          <cell r="F452" t="str">
            <v>P2YC2W7</v>
          </cell>
          <cell r="G452" t="str">
            <v>7-2YD CONT 2X WKLY</v>
          </cell>
          <cell r="H452">
            <v>1951.36</v>
          </cell>
        </row>
        <row r="453">
          <cell r="F453" t="str">
            <v>P2YC3W1</v>
          </cell>
          <cell r="G453" t="str">
            <v>1-2YD CONT. 3 X WEEKLY</v>
          </cell>
          <cell r="H453">
            <v>418.15</v>
          </cell>
        </row>
        <row r="454">
          <cell r="F454" t="str">
            <v>P2YC3W1</v>
          </cell>
          <cell r="G454" t="str">
            <v>1-2YD CONT. 3 X WEEKLY</v>
          </cell>
          <cell r="H454">
            <v>418.15</v>
          </cell>
        </row>
        <row r="455">
          <cell r="F455" t="str">
            <v>P2YC3W1</v>
          </cell>
          <cell r="G455" t="str">
            <v>1-2YD CONT. 3 X WEEKLY</v>
          </cell>
          <cell r="H455">
            <v>418.15</v>
          </cell>
        </row>
        <row r="456">
          <cell r="F456" t="str">
            <v>P2YC3W1</v>
          </cell>
          <cell r="G456" t="str">
            <v>1-2YD CONT. 3 X WEEKLY</v>
          </cell>
          <cell r="H456">
            <v>418.15</v>
          </cell>
        </row>
        <row r="457">
          <cell r="F457" t="str">
            <v>P2YC3W1</v>
          </cell>
          <cell r="G457" t="str">
            <v>1-2YD CONT. 3 X WEEKLY</v>
          </cell>
          <cell r="H457">
            <v>418.15</v>
          </cell>
        </row>
        <row r="458">
          <cell r="F458" t="str">
            <v>P2YC3W1</v>
          </cell>
          <cell r="G458" t="str">
            <v>1-2YD CONT. 3 X WEEKLY</v>
          </cell>
          <cell r="H458">
            <v>418.15</v>
          </cell>
        </row>
        <row r="459">
          <cell r="F459" t="str">
            <v>P2YC3W1</v>
          </cell>
          <cell r="G459" t="str">
            <v>1-2YD CONT. 3 X WEEKLY</v>
          </cell>
          <cell r="H459">
            <v>418.15</v>
          </cell>
        </row>
        <row r="460">
          <cell r="F460" t="str">
            <v>P2YC3W2</v>
          </cell>
          <cell r="G460" t="str">
            <v>2-2YD CONT. 3 X WEEKLY</v>
          </cell>
          <cell r="H460">
            <v>836.3</v>
          </cell>
        </row>
        <row r="461">
          <cell r="F461" t="str">
            <v>P2YC3W2</v>
          </cell>
          <cell r="G461" t="str">
            <v>2-2YD CONT. 3 X WEEKLY</v>
          </cell>
          <cell r="H461">
            <v>836.3</v>
          </cell>
        </row>
        <row r="462">
          <cell r="F462" t="str">
            <v>P2YC3W2</v>
          </cell>
          <cell r="G462" t="str">
            <v>2-2YD CONT. 3 X WEEKLY</v>
          </cell>
          <cell r="H462">
            <v>836.3</v>
          </cell>
        </row>
        <row r="463">
          <cell r="F463" t="str">
            <v>P2YC3W2</v>
          </cell>
          <cell r="G463" t="str">
            <v>2-2YD CONT. 3 X WEEKLY</v>
          </cell>
          <cell r="H463">
            <v>836.3</v>
          </cell>
        </row>
        <row r="464">
          <cell r="F464" t="str">
            <v>P2YC3W2</v>
          </cell>
          <cell r="G464" t="str">
            <v>2-2YD CONT. 3 X WEEKLY</v>
          </cell>
          <cell r="H464">
            <v>836.3</v>
          </cell>
        </row>
        <row r="465">
          <cell r="F465" t="str">
            <v>P2YC3W2</v>
          </cell>
          <cell r="G465" t="str">
            <v>2-2YD CONT. 3 X WEEKLY</v>
          </cell>
          <cell r="H465">
            <v>836.3</v>
          </cell>
        </row>
        <row r="466">
          <cell r="F466" t="str">
            <v>P2YC3W2</v>
          </cell>
          <cell r="G466" t="str">
            <v>2-2YD CONT. 3 X WEEKLY</v>
          </cell>
          <cell r="H466">
            <v>836.3</v>
          </cell>
        </row>
        <row r="467">
          <cell r="F467" t="str">
            <v>P2YC4W1</v>
          </cell>
          <cell r="G467" t="str">
            <v>1-2YD CONT. 4 X WEEKLY</v>
          </cell>
          <cell r="H467">
            <v>557.53</v>
          </cell>
        </row>
        <row r="468">
          <cell r="F468" t="str">
            <v>P2YC4W1</v>
          </cell>
          <cell r="G468" t="str">
            <v>1-2YD CONT. 4 X WEEKLY</v>
          </cell>
          <cell r="H468">
            <v>557.53</v>
          </cell>
        </row>
        <row r="469">
          <cell r="F469" t="str">
            <v>P2YC4W1</v>
          </cell>
          <cell r="G469" t="str">
            <v>1-2YD CONT. 4 X WEEKLY</v>
          </cell>
          <cell r="H469">
            <v>557.53</v>
          </cell>
        </row>
        <row r="470">
          <cell r="F470" t="str">
            <v>P2YC4W1</v>
          </cell>
          <cell r="G470" t="str">
            <v>1-2YD CONT. 4 X WEEKLY</v>
          </cell>
          <cell r="H470">
            <v>557.53</v>
          </cell>
        </row>
        <row r="471">
          <cell r="F471" t="str">
            <v>P2YC4W1</v>
          </cell>
          <cell r="G471" t="str">
            <v>1-2YD CONT. 4 X WEEKLY</v>
          </cell>
          <cell r="H471">
            <v>557.53</v>
          </cell>
        </row>
        <row r="472">
          <cell r="F472" t="str">
            <v>P2YC4W1</v>
          </cell>
          <cell r="G472" t="str">
            <v>1-2YD CONT. 4 X WEEKLY</v>
          </cell>
          <cell r="H472">
            <v>557.53</v>
          </cell>
        </row>
        <row r="473">
          <cell r="F473" t="str">
            <v>P2YC4W1</v>
          </cell>
          <cell r="G473" t="str">
            <v>1-2YD CONT. 4 X WEEKLY</v>
          </cell>
          <cell r="H473">
            <v>557.53</v>
          </cell>
        </row>
        <row r="474">
          <cell r="F474" t="str">
            <v>P2YCE1</v>
          </cell>
          <cell r="G474" t="str">
            <v>1-2YD CONT EOW</v>
          </cell>
          <cell r="H474">
            <v>69.849999999999994</v>
          </cell>
        </row>
        <row r="475">
          <cell r="F475" t="str">
            <v>P2YCE1</v>
          </cell>
          <cell r="G475" t="str">
            <v>1-2YD CONT EOW</v>
          </cell>
          <cell r="H475">
            <v>69.849999999999994</v>
          </cell>
        </row>
        <row r="476">
          <cell r="F476" t="str">
            <v>P2YCE1</v>
          </cell>
          <cell r="G476" t="str">
            <v>1-2YD CONT EOW</v>
          </cell>
          <cell r="H476">
            <v>69.849999999999994</v>
          </cell>
        </row>
        <row r="477">
          <cell r="F477" t="str">
            <v>P2YCE1</v>
          </cell>
          <cell r="G477" t="str">
            <v>1-2YD CONT EOW</v>
          </cell>
          <cell r="H477">
            <v>69.849999999999994</v>
          </cell>
        </row>
        <row r="478">
          <cell r="F478" t="str">
            <v>P2YCE1</v>
          </cell>
          <cell r="G478" t="str">
            <v>1-2YD CONT EOW</v>
          </cell>
          <cell r="H478">
            <v>69.849999999999994</v>
          </cell>
        </row>
        <row r="479">
          <cell r="F479" t="str">
            <v>P2YCE1</v>
          </cell>
          <cell r="G479" t="str">
            <v>1-2YD CONT EOW</v>
          </cell>
          <cell r="H479">
            <v>69.849999999999994</v>
          </cell>
        </row>
        <row r="480">
          <cell r="F480" t="str">
            <v>P2YCE1</v>
          </cell>
          <cell r="G480" t="str">
            <v>1-2YD CONT EOW</v>
          </cell>
          <cell r="H480">
            <v>69.849999999999994</v>
          </cell>
        </row>
        <row r="481">
          <cell r="F481" t="str">
            <v>P4YC1W1</v>
          </cell>
          <cell r="G481" t="str">
            <v>1-4YD CONT. 1 X WEEKLY</v>
          </cell>
          <cell r="H481">
            <v>234.51</v>
          </cell>
        </row>
        <row r="482">
          <cell r="F482" t="str">
            <v>P4YC1W1</v>
          </cell>
          <cell r="G482" t="str">
            <v>1-4YD CONT. 1 X WEEKLY</v>
          </cell>
          <cell r="H482">
            <v>234.51</v>
          </cell>
        </row>
        <row r="483">
          <cell r="F483" t="str">
            <v>P4YC1W1</v>
          </cell>
          <cell r="G483" t="str">
            <v>1-4YD CONT. 1 X WEEKLY</v>
          </cell>
          <cell r="H483">
            <v>234.51</v>
          </cell>
        </row>
        <row r="484">
          <cell r="F484" t="str">
            <v>P4YC1W1</v>
          </cell>
          <cell r="G484" t="str">
            <v>1-4YD CONT. 1 X WEEKLY</v>
          </cell>
          <cell r="H484">
            <v>234.51</v>
          </cell>
        </row>
        <row r="485">
          <cell r="F485" t="str">
            <v>P4YC1W1</v>
          </cell>
          <cell r="G485" t="str">
            <v>1-4YD CONT. 1 X WEEKLY</v>
          </cell>
          <cell r="H485">
            <v>234.51</v>
          </cell>
        </row>
        <row r="486">
          <cell r="F486" t="str">
            <v>P4YC1W1</v>
          </cell>
          <cell r="G486" t="str">
            <v>1-4YD CONT. 1 X WEEKLY</v>
          </cell>
          <cell r="H486">
            <v>234.51</v>
          </cell>
        </row>
        <row r="487">
          <cell r="F487" t="str">
            <v>P4YC1W1</v>
          </cell>
          <cell r="G487" t="str">
            <v>1-4YD CONT. 1 X WEEKLY</v>
          </cell>
          <cell r="H487">
            <v>234.51</v>
          </cell>
        </row>
        <row r="488">
          <cell r="F488" t="str">
            <v>P4YCE1</v>
          </cell>
          <cell r="G488" t="str">
            <v>1-4YD CONT. EOW</v>
          </cell>
          <cell r="H488">
            <v>117.53</v>
          </cell>
        </row>
        <row r="489">
          <cell r="F489" t="str">
            <v>R1.5TC-COM</v>
          </cell>
          <cell r="G489" t="str">
            <v>1.5 YD TEMP CONT PICKUP</v>
          </cell>
          <cell r="H489">
            <v>34.130000000000003</v>
          </cell>
        </row>
        <row r="490">
          <cell r="F490" t="str">
            <v>R1.5TC-COM</v>
          </cell>
          <cell r="G490" t="str">
            <v>1.5 YD TEMP CONT PICKUP</v>
          </cell>
          <cell r="H490">
            <v>34.130000000000003</v>
          </cell>
        </row>
        <row r="491">
          <cell r="F491" t="str">
            <v>R1.5TC-COM</v>
          </cell>
          <cell r="G491" t="str">
            <v>1.5 YD TEMP CONT PICKUP</v>
          </cell>
          <cell r="H491">
            <v>34.130000000000003</v>
          </cell>
        </row>
        <row r="492">
          <cell r="F492" t="str">
            <v>R1.5TC-COM</v>
          </cell>
          <cell r="G492" t="str">
            <v>1.5 YD TEMP CONT PICKUP</v>
          </cell>
          <cell r="H492">
            <v>34.130000000000003</v>
          </cell>
        </row>
        <row r="493">
          <cell r="F493" t="str">
            <v>R1.5TC-COM</v>
          </cell>
          <cell r="G493" t="str">
            <v>1.5 YD TEMP CONT PICKUP</v>
          </cell>
          <cell r="H493">
            <v>34.130000000000003</v>
          </cell>
        </row>
        <row r="494">
          <cell r="F494" t="str">
            <v>R1.5TC-COM</v>
          </cell>
          <cell r="G494" t="str">
            <v>1.5 YD TEMP CONT PICKUP</v>
          </cell>
          <cell r="H494">
            <v>34.130000000000003</v>
          </cell>
        </row>
        <row r="495">
          <cell r="F495" t="str">
            <v>R1.5TC-COM</v>
          </cell>
          <cell r="G495" t="str">
            <v>1.5 YD TEMP CONT PICKUP</v>
          </cell>
          <cell r="H495">
            <v>34.130000000000003</v>
          </cell>
        </row>
        <row r="496">
          <cell r="F496" t="str">
            <v>R1TC-COM</v>
          </cell>
          <cell r="G496" t="str">
            <v>1 YD TEMP CONT PICKUP</v>
          </cell>
          <cell r="H496">
            <v>23.2</v>
          </cell>
        </row>
        <row r="497">
          <cell r="F497" t="str">
            <v>R1TC-COM</v>
          </cell>
          <cell r="G497" t="str">
            <v>1 YD TEMP CONT PICKUP</v>
          </cell>
          <cell r="H497">
            <v>23.2</v>
          </cell>
        </row>
        <row r="498">
          <cell r="F498" t="str">
            <v>R1TC-COM</v>
          </cell>
          <cell r="G498" t="str">
            <v>1 YD TEMP CONT PICKUP</v>
          </cell>
          <cell r="H498">
            <v>23.2</v>
          </cell>
        </row>
        <row r="499">
          <cell r="F499" t="str">
            <v>R1TC-COM</v>
          </cell>
          <cell r="G499" t="str">
            <v>1 YD TEMP CONT PICKUP</v>
          </cell>
          <cell r="H499">
            <v>23.2</v>
          </cell>
        </row>
        <row r="500">
          <cell r="F500" t="str">
            <v>R1TC-COM</v>
          </cell>
          <cell r="G500" t="str">
            <v>1 YD TEMP CONT PICKUP</v>
          </cell>
          <cell r="H500">
            <v>23.2</v>
          </cell>
        </row>
        <row r="501">
          <cell r="F501" t="str">
            <v>R1TC-COM</v>
          </cell>
          <cell r="G501" t="str">
            <v>1 YD TEMP CONT PICKUP</v>
          </cell>
          <cell r="H501">
            <v>23.2</v>
          </cell>
        </row>
        <row r="502">
          <cell r="F502" t="str">
            <v>R1TC-COM</v>
          </cell>
          <cell r="G502" t="str">
            <v>1 YD TEMP CONT PICKUP</v>
          </cell>
          <cell r="H502">
            <v>23.2</v>
          </cell>
        </row>
        <row r="503">
          <cell r="F503" t="str">
            <v>R2TC-COMM</v>
          </cell>
          <cell r="G503" t="str">
            <v>2 YD TEMP CONT PICKUP</v>
          </cell>
          <cell r="H503">
            <v>44.93</v>
          </cell>
        </row>
        <row r="504">
          <cell r="F504" t="str">
            <v>R2TC-COMM</v>
          </cell>
          <cell r="G504" t="str">
            <v>2 YD TEMP CONT PICKUP</v>
          </cell>
          <cell r="H504">
            <v>44.93</v>
          </cell>
        </row>
        <row r="505">
          <cell r="F505" t="str">
            <v>R2TC-COMM</v>
          </cell>
          <cell r="G505" t="str">
            <v>2 YD TEMP CONT PICKUP</v>
          </cell>
          <cell r="H505">
            <v>44.93</v>
          </cell>
        </row>
        <row r="506">
          <cell r="F506" t="str">
            <v>R2TC-COMM</v>
          </cell>
          <cell r="G506" t="str">
            <v>2 YD TEMP CONT PICKUP</v>
          </cell>
          <cell r="H506">
            <v>44.93</v>
          </cell>
        </row>
        <row r="507">
          <cell r="F507" t="str">
            <v>R2TC-COMM</v>
          </cell>
          <cell r="G507" t="str">
            <v>2 YD TEMP CONT PICKUP</v>
          </cell>
          <cell r="H507">
            <v>44.93</v>
          </cell>
        </row>
        <row r="508">
          <cell r="F508" t="str">
            <v>R2TC-COMM</v>
          </cell>
          <cell r="G508" t="str">
            <v>2 YD TEMP CONT PICKUP</v>
          </cell>
          <cell r="H508">
            <v>44.93</v>
          </cell>
        </row>
        <row r="509">
          <cell r="F509" t="str">
            <v>R2TC-COMM</v>
          </cell>
          <cell r="G509" t="str">
            <v>2 YD TEMP CONT PICKUP</v>
          </cell>
          <cell r="H509">
            <v>44.93</v>
          </cell>
        </row>
        <row r="510">
          <cell r="F510" t="str">
            <v>20YQCOMPC</v>
          </cell>
          <cell r="G510" t="str">
            <v>20YD COMP/CORR HAUL FEE</v>
          </cell>
          <cell r="H510">
            <v>294.08999999999997</v>
          </cell>
        </row>
        <row r="511">
          <cell r="F511" t="str">
            <v>20YQCOMPC</v>
          </cell>
          <cell r="G511" t="str">
            <v>20YD COMP/CORR HAUL FEE</v>
          </cell>
          <cell r="H511">
            <v>294.08999999999997</v>
          </cell>
        </row>
        <row r="512">
          <cell r="F512" t="str">
            <v>20YQCOMPC</v>
          </cell>
          <cell r="G512" t="str">
            <v>20YD COMP/CORR HAUL FEE</v>
          </cell>
          <cell r="H512">
            <v>294.08999999999997</v>
          </cell>
        </row>
        <row r="513">
          <cell r="F513" t="str">
            <v>20YQCOMPC</v>
          </cell>
          <cell r="G513" t="str">
            <v>20YD COMP/CORR HAUL FEE</v>
          </cell>
          <cell r="H513">
            <v>294.08999999999997</v>
          </cell>
        </row>
        <row r="514">
          <cell r="F514" t="str">
            <v>20YQCOMPC</v>
          </cell>
          <cell r="G514" t="str">
            <v>20YD COMP/CORR HAUL FEE</v>
          </cell>
          <cell r="H514">
            <v>294.08999999999997</v>
          </cell>
        </row>
        <row r="515">
          <cell r="F515" t="str">
            <v>20YQCOMPC</v>
          </cell>
          <cell r="G515" t="str">
            <v>20YD COMP/CORR HAUL FEE</v>
          </cell>
          <cell r="H515">
            <v>294.08999999999997</v>
          </cell>
        </row>
        <row r="516">
          <cell r="F516" t="str">
            <v>20YQCOMPC</v>
          </cell>
          <cell r="G516" t="str">
            <v>20YD COMP/CORR HAUL FEE</v>
          </cell>
          <cell r="H516">
            <v>294.08999999999997</v>
          </cell>
        </row>
        <row r="517">
          <cell r="F517" t="str">
            <v>40YCOMPT</v>
          </cell>
          <cell r="G517" t="str">
            <v>40YD COMP/TRASH HAUL FEE</v>
          </cell>
          <cell r="H517">
            <v>582.29999999999995</v>
          </cell>
        </row>
        <row r="518">
          <cell r="F518" t="str">
            <v>40YCOMPT</v>
          </cell>
          <cell r="G518" t="str">
            <v>40YD COMP/TRASH HAUL FEE</v>
          </cell>
          <cell r="H518">
            <v>582.29999999999995</v>
          </cell>
        </row>
        <row r="519">
          <cell r="F519" t="str">
            <v>40YCOMPT</v>
          </cell>
          <cell r="G519" t="str">
            <v>40YD COMP/TRASH HAUL FEE</v>
          </cell>
          <cell r="H519">
            <v>582.29999999999995</v>
          </cell>
        </row>
        <row r="520">
          <cell r="F520" t="str">
            <v>40YCOMPT</v>
          </cell>
          <cell r="G520" t="str">
            <v>40YD COMP/TRASH HAUL FEE</v>
          </cell>
          <cell r="H520">
            <v>582.29999999999995</v>
          </cell>
        </row>
        <row r="521">
          <cell r="F521" t="str">
            <v>40YCOMPT</v>
          </cell>
          <cell r="G521" t="str">
            <v>40YD COMP/TRASH HAUL FEE</v>
          </cell>
          <cell r="H521">
            <v>582.29999999999995</v>
          </cell>
        </row>
        <row r="522">
          <cell r="F522" t="str">
            <v>40YCOMPT</v>
          </cell>
          <cell r="G522" t="str">
            <v>40YD COMP/TRASH HAUL FEE</v>
          </cell>
          <cell r="H522">
            <v>582.29999999999995</v>
          </cell>
        </row>
        <row r="523">
          <cell r="F523" t="str">
            <v>40YCOMPT</v>
          </cell>
          <cell r="G523" t="str">
            <v>40YD COMP/TRASH HAUL FEE</v>
          </cell>
          <cell r="H523">
            <v>582.29999999999995</v>
          </cell>
        </row>
        <row r="524">
          <cell r="F524" t="str">
            <v>DEL-RO</v>
          </cell>
          <cell r="G524" t="str">
            <v>DELIVERY FEE - RO</v>
          </cell>
          <cell r="H524">
            <v>50.11</v>
          </cell>
        </row>
        <row r="525">
          <cell r="F525" t="str">
            <v>DEL-RO</v>
          </cell>
          <cell r="G525" t="str">
            <v>DELIVERY FEE - RO</v>
          </cell>
          <cell r="H525">
            <v>50.11</v>
          </cell>
        </row>
        <row r="526">
          <cell r="F526" t="str">
            <v>DEL-RO</v>
          </cell>
          <cell r="G526" t="str">
            <v>DELIVERY FEE - RO</v>
          </cell>
          <cell r="H526">
            <v>50.11</v>
          </cell>
        </row>
        <row r="527">
          <cell r="F527" t="str">
            <v>DEL-RO</v>
          </cell>
          <cell r="G527" t="str">
            <v>DELIVERY FEE - RO</v>
          </cell>
          <cell r="H527">
            <v>50.11</v>
          </cell>
        </row>
        <row r="528">
          <cell r="F528" t="str">
            <v>DEL-RO</v>
          </cell>
          <cell r="G528" t="str">
            <v>DELIVERY FEE - RO</v>
          </cell>
          <cell r="H528">
            <v>50.11</v>
          </cell>
        </row>
        <row r="529">
          <cell r="F529" t="str">
            <v>DEL-RO</v>
          </cell>
          <cell r="G529" t="str">
            <v>DELIVERY FEE - RO</v>
          </cell>
          <cell r="H529">
            <v>50.11</v>
          </cell>
        </row>
        <row r="530">
          <cell r="F530" t="str">
            <v>DEL-RO</v>
          </cell>
          <cell r="G530" t="str">
            <v>DELIVERY FEE - RO</v>
          </cell>
          <cell r="H530">
            <v>50.11</v>
          </cell>
        </row>
        <row r="531">
          <cell r="F531" t="str">
            <v>DISP-RO</v>
          </cell>
          <cell r="G531" t="str">
            <v>DISPOSAL CHARGE - RO</v>
          </cell>
          <cell r="H531">
            <v>70</v>
          </cell>
        </row>
        <row r="532">
          <cell r="F532" t="str">
            <v>DISP-RO</v>
          </cell>
          <cell r="G532" t="str">
            <v>DISPOSAL CHARGE - RO</v>
          </cell>
          <cell r="H532">
            <v>70</v>
          </cell>
        </row>
        <row r="533">
          <cell r="F533" t="str">
            <v>DISP-RO</v>
          </cell>
          <cell r="G533" t="str">
            <v>DISPOSAL CHARGE - RO</v>
          </cell>
          <cell r="H533">
            <v>70</v>
          </cell>
        </row>
        <row r="534">
          <cell r="F534" t="str">
            <v>DISP-RO</v>
          </cell>
          <cell r="G534" t="str">
            <v>DISPOSAL CHARGE - RO</v>
          </cell>
          <cell r="H534">
            <v>70</v>
          </cell>
        </row>
        <row r="535">
          <cell r="F535" t="str">
            <v>DISP-RO</v>
          </cell>
          <cell r="G535" t="str">
            <v>DISPOSAL CHARGE - RO</v>
          </cell>
          <cell r="H535">
            <v>70</v>
          </cell>
        </row>
        <row r="536">
          <cell r="F536" t="str">
            <v>DISP-RO</v>
          </cell>
          <cell r="G536" t="str">
            <v>DISPOSAL CHARGE - RO</v>
          </cell>
          <cell r="H536">
            <v>70</v>
          </cell>
        </row>
        <row r="537">
          <cell r="F537" t="str">
            <v>DISP-RO</v>
          </cell>
          <cell r="G537" t="str">
            <v>DISPOSAL CHARGE - RO</v>
          </cell>
          <cell r="H537">
            <v>70</v>
          </cell>
        </row>
        <row r="538">
          <cell r="F538" t="str">
            <v>HAUL10-RO</v>
          </cell>
          <cell r="G538" t="str">
            <v>HAUL 10 YD</v>
          </cell>
          <cell r="H538">
            <v>155.28</v>
          </cell>
        </row>
        <row r="539">
          <cell r="F539" t="str">
            <v>HAUL10-RO</v>
          </cell>
          <cell r="G539" t="str">
            <v>HAUL 10 YD</v>
          </cell>
          <cell r="H539">
            <v>155.28</v>
          </cell>
        </row>
        <row r="540">
          <cell r="F540" t="str">
            <v>HAUL10-RO</v>
          </cell>
          <cell r="G540" t="str">
            <v>HAUL 10 YD</v>
          </cell>
          <cell r="H540">
            <v>155.28</v>
          </cell>
        </row>
        <row r="541">
          <cell r="F541" t="str">
            <v>HAUL10-RO</v>
          </cell>
          <cell r="G541" t="str">
            <v>HAUL 10 YD</v>
          </cell>
          <cell r="H541">
            <v>155.28</v>
          </cell>
        </row>
        <row r="542">
          <cell r="F542" t="str">
            <v>HAUL10-RO</v>
          </cell>
          <cell r="G542" t="str">
            <v>HAUL 10 YD</v>
          </cell>
          <cell r="H542">
            <v>155.28</v>
          </cell>
        </row>
        <row r="543">
          <cell r="F543" t="str">
            <v>HAUL10-RO</v>
          </cell>
          <cell r="G543" t="str">
            <v>HAUL 10 YD</v>
          </cell>
          <cell r="H543">
            <v>155.28</v>
          </cell>
        </row>
        <row r="544">
          <cell r="F544" t="str">
            <v>HAUL10-RO</v>
          </cell>
          <cell r="G544" t="str">
            <v>HAUL 10 YD</v>
          </cell>
          <cell r="H544">
            <v>155.28</v>
          </cell>
        </row>
        <row r="545">
          <cell r="F545" t="str">
            <v>HAUL10ADD-RO</v>
          </cell>
          <cell r="G545" t="str">
            <v>ADDITIONAL 10 YD HAUL</v>
          </cell>
          <cell r="H545">
            <v>97.05</v>
          </cell>
        </row>
        <row r="546">
          <cell r="F546" t="str">
            <v>HAUL10ADD-RO</v>
          </cell>
          <cell r="G546" t="str">
            <v>ADDITIONAL 10 YD HAUL</v>
          </cell>
          <cell r="H546">
            <v>97.05</v>
          </cell>
        </row>
        <row r="547">
          <cell r="F547" t="str">
            <v>HAUL10ADD-RO</v>
          </cell>
          <cell r="G547" t="str">
            <v>ADDITIONAL 10 YD HAUL</v>
          </cell>
          <cell r="H547">
            <v>97.05</v>
          </cell>
        </row>
        <row r="548">
          <cell r="F548" t="str">
            <v>HAUL10ADD-RO</v>
          </cell>
          <cell r="G548" t="str">
            <v>ADDITIONAL 10 YD HAUL</v>
          </cell>
          <cell r="H548">
            <v>97.05</v>
          </cell>
        </row>
        <row r="549">
          <cell r="F549" t="str">
            <v>HAUL10ADD-RO</v>
          </cell>
          <cell r="G549" t="str">
            <v>ADDITIONAL 10 YD HAUL</v>
          </cell>
          <cell r="H549">
            <v>97.05</v>
          </cell>
        </row>
        <row r="550">
          <cell r="F550" t="str">
            <v>HAUL10ADD-RO</v>
          </cell>
          <cell r="G550" t="str">
            <v>ADDITIONAL 10 YD HAUL</v>
          </cell>
          <cell r="H550">
            <v>97.05</v>
          </cell>
        </row>
        <row r="551">
          <cell r="F551" t="str">
            <v>HAUL10ADD-RO</v>
          </cell>
          <cell r="G551" t="str">
            <v>ADDITIONAL 10 YD HAUL</v>
          </cell>
          <cell r="H551">
            <v>97.05</v>
          </cell>
        </row>
        <row r="552">
          <cell r="F552" t="str">
            <v>HAUL10P-RO</v>
          </cell>
          <cell r="G552" t="str">
            <v>HAUL 10 YD</v>
          </cell>
          <cell r="H552">
            <v>97.05</v>
          </cell>
        </row>
        <row r="553">
          <cell r="F553" t="str">
            <v>HAUL10P-RO</v>
          </cell>
          <cell r="G553" t="str">
            <v>HAUL 10 YD</v>
          </cell>
          <cell r="H553">
            <v>97.05</v>
          </cell>
        </row>
        <row r="554">
          <cell r="F554" t="str">
            <v>HAUL10P-RO</v>
          </cell>
          <cell r="G554" t="str">
            <v>HAUL 10 YD</v>
          </cell>
          <cell r="H554">
            <v>97.05</v>
          </cell>
        </row>
        <row r="555">
          <cell r="F555" t="str">
            <v>HAUL10P-RO</v>
          </cell>
          <cell r="G555" t="str">
            <v>HAUL 10 YD</v>
          </cell>
          <cell r="H555">
            <v>97.05</v>
          </cell>
        </row>
        <row r="556">
          <cell r="F556" t="str">
            <v>HAUL10P-RO</v>
          </cell>
          <cell r="G556" t="str">
            <v>HAUL 10 YD</v>
          </cell>
          <cell r="H556">
            <v>97.05</v>
          </cell>
        </row>
        <row r="557">
          <cell r="F557" t="str">
            <v>HAUL10P-RO</v>
          </cell>
          <cell r="G557" t="str">
            <v>HAUL 10 YD</v>
          </cell>
          <cell r="H557">
            <v>97.05</v>
          </cell>
        </row>
        <row r="558">
          <cell r="F558" t="str">
            <v>HAUL10P-RO</v>
          </cell>
          <cell r="G558" t="str">
            <v>HAUL 10 YD</v>
          </cell>
          <cell r="H558">
            <v>97.05</v>
          </cell>
        </row>
        <row r="559">
          <cell r="F559" t="str">
            <v>HAUL10TEMP-RO</v>
          </cell>
          <cell r="G559" t="str">
            <v>HAUL 10 YD TEMPORARY</v>
          </cell>
          <cell r="H559">
            <v>112.22</v>
          </cell>
        </row>
        <row r="560">
          <cell r="F560" t="str">
            <v>HAUL10TEMP-RO</v>
          </cell>
          <cell r="G560" t="str">
            <v>HAUL 10 YD TEMPORARY</v>
          </cell>
          <cell r="H560">
            <v>112.22</v>
          </cell>
        </row>
        <row r="561">
          <cell r="F561" t="str">
            <v>HAUL10TEMP-RO</v>
          </cell>
          <cell r="G561" t="str">
            <v>HAUL 10 YD TEMPORARY</v>
          </cell>
          <cell r="H561">
            <v>112.22</v>
          </cell>
        </row>
        <row r="562">
          <cell r="F562" t="str">
            <v>HAUL10TEMP-RO</v>
          </cell>
          <cell r="G562" t="str">
            <v>HAUL 10 YD TEMPORARY</v>
          </cell>
          <cell r="H562">
            <v>112.22</v>
          </cell>
        </row>
        <row r="563">
          <cell r="F563" t="str">
            <v>HAUL10TEMP-RO</v>
          </cell>
          <cell r="G563" t="str">
            <v>HAUL 10 YD TEMPORARY</v>
          </cell>
          <cell r="H563">
            <v>112.22</v>
          </cell>
        </row>
        <row r="564">
          <cell r="F564" t="str">
            <v>HAUL10TEMP-RO</v>
          </cell>
          <cell r="G564" t="str">
            <v>HAUL 10 YD TEMPORARY</v>
          </cell>
          <cell r="H564">
            <v>112.22</v>
          </cell>
        </row>
        <row r="565">
          <cell r="F565" t="str">
            <v>HAUL10TEMP-RO</v>
          </cell>
          <cell r="G565" t="str">
            <v>HAUL 10 YD TEMPORARY</v>
          </cell>
          <cell r="H565">
            <v>112.22</v>
          </cell>
        </row>
        <row r="566">
          <cell r="F566" t="str">
            <v>HAUL20-RO</v>
          </cell>
          <cell r="G566" t="str">
            <v>HAUL 20 YD</v>
          </cell>
          <cell r="H566">
            <v>155.28</v>
          </cell>
        </row>
        <row r="567">
          <cell r="F567" t="str">
            <v>HAUL20-RO</v>
          </cell>
          <cell r="G567" t="str">
            <v>HAUL 20 YD</v>
          </cell>
          <cell r="H567">
            <v>155.28</v>
          </cell>
        </row>
        <row r="568">
          <cell r="F568" t="str">
            <v>HAUL20-RO</v>
          </cell>
          <cell r="G568" t="str">
            <v>HAUL 20 YD</v>
          </cell>
          <cell r="H568">
            <v>155.28</v>
          </cell>
        </row>
        <row r="569">
          <cell r="F569" t="str">
            <v>HAUL20-RO</v>
          </cell>
          <cell r="G569" t="str">
            <v>HAUL 20 YD</v>
          </cell>
          <cell r="H569">
            <v>155.28</v>
          </cell>
        </row>
        <row r="570">
          <cell r="F570" t="str">
            <v>HAUL20-RO</v>
          </cell>
          <cell r="G570" t="str">
            <v>HAUL 20 YD</v>
          </cell>
          <cell r="H570">
            <v>155.28</v>
          </cell>
        </row>
        <row r="571">
          <cell r="F571" t="str">
            <v>HAUL20-RO</v>
          </cell>
          <cell r="G571" t="str">
            <v>HAUL 20 YD</v>
          </cell>
          <cell r="H571">
            <v>155.28</v>
          </cell>
        </row>
        <row r="572">
          <cell r="F572" t="str">
            <v>HAUL20-RO</v>
          </cell>
          <cell r="G572" t="str">
            <v>HAUL 20 YD</v>
          </cell>
          <cell r="H572">
            <v>155.28</v>
          </cell>
        </row>
        <row r="573">
          <cell r="F573" t="str">
            <v>HAUL20ADD-RO</v>
          </cell>
          <cell r="G573" t="str">
            <v>ADDITIONAL 20 YD HAUL</v>
          </cell>
          <cell r="H573">
            <v>97.05</v>
          </cell>
        </row>
        <row r="574">
          <cell r="F574" t="str">
            <v>HAUL20ADD-RO</v>
          </cell>
          <cell r="G574" t="str">
            <v>ADDITIONAL 20 YD HAUL</v>
          </cell>
          <cell r="H574">
            <v>97.05</v>
          </cell>
        </row>
        <row r="575">
          <cell r="F575" t="str">
            <v>HAUL20ADD-RO</v>
          </cell>
          <cell r="G575" t="str">
            <v>ADDITIONAL 20 YD HAUL</v>
          </cell>
          <cell r="H575">
            <v>97.05</v>
          </cell>
        </row>
        <row r="576">
          <cell r="F576" t="str">
            <v>HAUL20ADD-RO</v>
          </cell>
          <cell r="G576" t="str">
            <v>ADDITIONAL 20 YD HAUL</v>
          </cell>
          <cell r="H576">
            <v>97.05</v>
          </cell>
        </row>
        <row r="577">
          <cell r="F577" t="str">
            <v>HAUL20ADD-RO</v>
          </cell>
          <cell r="G577" t="str">
            <v>ADDITIONAL 20 YD HAUL</v>
          </cell>
          <cell r="H577">
            <v>97.05</v>
          </cell>
        </row>
        <row r="578">
          <cell r="F578" t="str">
            <v>HAUL20ADD-RO</v>
          </cell>
          <cell r="G578" t="str">
            <v>ADDITIONAL 20 YD HAUL</v>
          </cell>
          <cell r="H578">
            <v>97.05</v>
          </cell>
        </row>
        <row r="579">
          <cell r="F579" t="str">
            <v>HAUL20ADD-RO</v>
          </cell>
          <cell r="G579" t="str">
            <v>ADDITIONAL 20 YD HAUL</v>
          </cell>
          <cell r="H579">
            <v>97.05</v>
          </cell>
        </row>
        <row r="580">
          <cell r="F580" t="str">
            <v>HAUL20P-RO</v>
          </cell>
          <cell r="G580" t="str">
            <v>HAUL 20 YD</v>
          </cell>
          <cell r="H580">
            <v>97.05</v>
          </cell>
        </row>
        <row r="581">
          <cell r="F581" t="str">
            <v>HAUL20P-RO</v>
          </cell>
          <cell r="G581" t="str">
            <v>HAUL 20 YD</v>
          </cell>
          <cell r="H581">
            <v>97.05</v>
          </cell>
        </row>
        <row r="582">
          <cell r="F582" t="str">
            <v>HAUL20P-RO</v>
          </cell>
          <cell r="G582" t="str">
            <v>HAUL 20 YD</v>
          </cell>
          <cell r="H582">
            <v>97.05</v>
          </cell>
        </row>
        <row r="583">
          <cell r="F583" t="str">
            <v>HAUL20P-RO</v>
          </cell>
          <cell r="G583" t="str">
            <v>HAUL 20 YD</v>
          </cell>
          <cell r="H583">
            <v>97.05</v>
          </cell>
        </row>
        <row r="584">
          <cell r="F584" t="str">
            <v>HAUL20P-RO</v>
          </cell>
          <cell r="G584" t="str">
            <v>HAUL 20 YD</v>
          </cell>
          <cell r="H584">
            <v>97.05</v>
          </cell>
        </row>
        <row r="585">
          <cell r="F585" t="str">
            <v>HAUL20P-RO</v>
          </cell>
          <cell r="G585" t="str">
            <v>HAUL 20 YD</v>
          </cell>
          <cell r="H585">
            <v>97.05</v>
          </cell>
        </row>
        <row r="586">
          <cell r="F586" t="str">
            <v>HAUL20P-RO</v>
          </cell>
          <cell r="G586" t="str">
            <v>HAUL 20 YD</v>
          </cell>
          <cell r="H586">
            <v>97.05</v>
          </cell>
        </row>
        <row r="587">
          <cell r="F587" t="str">
            <v>HAUL20TEMP-RO</v>
          </cell>
          <cell r="G587" t="str">
            <v>HAUL 20 YD TEMPORARY</v>
          </cell>
          <cell r="H587">
            <v>112.22</v>
          </cell>
        </row>
        <row r="588">
          <cell r="F588" t="str">
            <v>HAUL20TEMP-RO</v>
          </cell>
          <cell r="G588" t="str">
            <v>HAUL 20 YD TEMPORARY</v>
          </cell>
          <cell r="H588">
            <v>112.22</v>
          </cell>
        </row>
        <row r="589">
          <cell r="F589" t="str">
            <v>HAUL20TEMP-RO</v>
          </cell>
          <cell r="G589" t="str">
            <v>HAUL 20 YD TEMPORARY</v>
          </cell>
          <cell r="H589">
            <v>112.22</v>
          </cell>
        </row>
        <row r="590">
          <cell r="F590" t="str">
            <v>HAUL20TEMP-RO</v>
          </cell>
          <cell r="G590" t="str">
            <v>HAUL 20 YD TEMPORARY</v>
          </cell>
          <cell r="H590">
            <v>112.22</v>
          </cell>
        </row>
        <row r="591">
          <cell r="F591" t="str">
            <v>HAUL20TEMP-RO</v>
          </cell>
          <cell r="G591" t="str">
            <v>HAUL 20 YD TEMPORARY</v>
          </cell>
          <cell r="H591">
            <v>112.22</v>
          </cell>
        </row>
        <row r="592">
          <cell r="F592" t="str">
            <v>HAUL20TEMP-RO</v>
          </cell>
          <cell r="G592" t="str">
            <v>HAUL 20 YD TEMPORARY</v>
          </cell>
          <cell r="H592">
            <v>112.22</v>
          </cell>
        </row>
        <row r="593">
          <cell r="F593" t="str">
            <v>HAUL20TEMP-RO</v>
          </cell>
          <cell r="G593" t="str">
            <v>HAUL 20 YD TEMPORARY</v>
          </cell>
          <cell r="H593">
            <v>112.22</v>
          </cell>
        </row>
        <row r="594">
          <cell r="F594" t="str">
            <v>HAUL30-RO</v>
          </cell>
          <cell r="G594" t="str">
            <v>HAUL 30 YD</v>
          </cell>
          <cell r="H594">
            <v>280.56</v>
          </cell>
        </row>
        <row r="595">
          <cell r="F595" t="str">
            <v>HAUL30-RO</v>
          </cell>
          <cell r="G595" t="str">
            <v>HAUL 30 YD</v>
          </cell>
          <cell r="H595">
            <v>280.56</v>
          </cell>
        </row>
        <row r="596">
          <cell r="F596" t="str">
            <v>HAUL30-RO</v>
          </cell>
          <cell r="G596" t="str">
            <v>HAUL 30 YD</v>
          </cell>
          <cell r="H596">
            <v>280.56</v>
          </cell>
        </row>
        <row r="597">
          <cell r="F597" t="str">
            <v>HAUL30-RO</v>
          </cell>
          <cell r="G597" t="str">
            <v>HAUL 30 YD</v>
          </cell>
          <cell r="H597">
            <v>280.56</v>
          </cell>
        </row>
        <row r="598">
          <cell r="F598" t="str">
            <v>HAUL30-RO</v>
          </cell>
          <cell r="G598" t="str">
            <v>HAUL 30 YD</v>
          </cell>
          <cell r="H598">
            <v>280.56</v>
          </cell>
        </row>
        <row r="599">
          <cell r="F599" t="str">
            <v>HAUL30-RO</v>
          </cell>
          <cell r="G599" t="str">
            <v>HAUL 30 YD</v>
          </cell>
          <cell r="H599">
            <v>280.56</v>
          </cell>
        </row>
        <row r="600">
          <cell r="F600" t="str">
            <v>HAUL30-RO</v>
          </cell>
          <cell r="G600" t="str">
            <v>HAUL 30 YD</v>
          </cell>
          <cell r="H600">
            <v>280.56</v>
          </cell>
        </row>
        <row r="601">
          <cell r="F601" t="str">
            <v>HAUL30ADD-RO</v>
          </cell>
          <cell r="G601" t="str">
            <v>ADDITIONAL 30 YD HAUL</v>
          </cell>
          <cell r="H601">
            <v>121.75</v>
          </cell>
        </row>
        <row r="602">
          <cell r="F602" t="str">
            <v>HAUL30ADD-RO</v>
          </cell>
          <cell r="G602" t="str">
            <v>ADDITIONAL 30 YD HAUL</v>
          </cell>
          <cell r="H602">
            <v>121.75</v>
          </cell>
        </row>
        <row r="603">
          <cell r="F603" t="str">
            <v>HAUL30ADD-RO</v>
          </cell>
          <cell r="G603" t="str">
            <v>ADDITIONAL 30 YD HAUL</v>
          </cell>
          <cell r="H603">
            <v>121.75</v>
          </cell>
        </row>
        <row r="604">
          <cell r="F604" t="str">
            <v>HAUL30ADD-RO</v>
          </cell>
          <cell r="G604" t="str">
            <v>ADDITIONAL 30 YD HAUL</v>
          </cell>
          <cell r="H604">
            <v>121.75</v>
          </cell>
        </row>
        <row r="605">
          <cell r="F605" t="str">
            <v>HAUL30ADD-RO</v>
          </cell>
          <cell r="G605" t="str">
            <v>ADDITIONAL 30 YD HAUL</v>
          </cell>
          <cell r="H605">
            <v>121.75</v>
          </cell>
        </row>
        <row r="606">
          <cell r="F606" t="str">
            <v>HAUL30ADD-RO</v>
          </cell>
          <cell r="G606" t="str">
            <v>ADDITIONAL 30 YD HAUL</v>
          </cell>
          <cell r="H606">
            <v>121.75</v>
          </cell>
        </row>
        <row r="607">
          <cell r="F607" t="str">
            <v>HAUL30ADD-RO</v>
          </cell>
          <cell r="G607" t="str">
            <v>ADDITIONAL 30 YD HAUL</v>
          </cell>
          <cell r="H607">
            <v>121.75</v>
          </cell>
        </row>
        <row r="608">
          <cell r="F608" t="str">
            <v>HAUL30P-RO</v>
          </cell>
          <cell r="G608" t="str">
            <v>HAUL 30 YD</v>
          </cell>
          <cell r="H608">
            <v>121.75</v>
          </cell>
        </row>
        <row r="609">
          <cell r="F609" t="str">
            <v>HAUL30P-RO</v>
          </cell>
          <cell r="G609" t="str">
            <v>HAUL 30 YD</v>
          </cell>
          <cell r="H609">
            <v>121.75</v>
          </cell>
        </row>
        <row r="610">
          <cell r="F610" t="str">
            <v>HAUL30P-RO</v>
          </cell>
          <cell r="G610" t="str">
            <v>HAUL 30 YD</v>
          </cell>
          <cell r="H610">
            <v>121.75</v>
          </cell>
        </row>
        <row r="611">
          <cell r="F611" t="str">
            <v>HAUL30P-RO</v>
          </cell>
          <cell r="G611" t="str">
            <v>HAUL 30 YD</v>
          </cell>
          <cell r="H611">
            <v>121.75</v>
          </cell>
        </row>
        <row r="612">
          <cell r="F612" t="str">
            <v>HAUL30P-RO</v>
          </cell>
          <cell r="G612" t="str">
            <v>HAUL 30 YD</v>
          </cell>
          <cell r="H612">
            <v>121.75</v>
          </cell>
        </row>
        <row r="613">
          <cell r="F613" t="str">
            <v>HAUL30P-RO</v>
          </cell>
          <cell r="G613" t="str">
            <v>HAUL 30 YD</v>
          </cell>
          <cell r="H613">
            <v>121.75</v>
          </cell>
        </row>
        <row r="614">
          <cell r="F614" t="str">
            <v>HAUL30P-RO</v>
          </cell>
          <cell r="G614" t="str">
            <v>HAUL 30 YD</v>
          </cell>
          <cell r="H614">
            <v>121.75</v>
          </cell>
        </row>
        <row r="615">
          <cell r="F615" t="str">
            <v>HAUL30TEMP-RO</v>
          </cell>
          <cell r="G615" t="str">
            <v>HAUL 30 YD TEMPORARY</v>
          </cell>
          <cell r="H615">
            <v>162.1</v>
          </cell>
        </row>
        <row r="616">
          <cell r="F616" t="str">
            <v>HAUL30TEMP-RO</v>
          </cell>
          <cell r="G616" t="str">
            <v>HAUL 30 YD TEMPORARY</v>
          </cell>
          <cell r="H616">
            <v>162.1</v>
          </cell>
        </row>
        <row r="617">
          <cell r="F617" t="str">
            <v>HAUL30TEMP-RO</v>
          </cell>
          <cell r="G617" t="str">
            <v>HAUL 30 YD TEMPORARY</v>
          </cell>
          <cell r="H617">
            <v>162.1</v>
          </cell>
        </row>
        <row r="618">
          <cell r="F618" t="str">
            <v>HAUL30TEMP-RO</v>
          </cell>
          <cell r="G618" t="str">
            <v>HAUL 30 YD TEMPORARY</v>
          </cell>
          <cell r="H618">
            <v>162.1</v>
          </cell>
        </row>
        <row r="619">
          <cell r="F619" t="str">
            <v>HAUL30TEMP-RO</v>
          </cell>
          <cell r="G619" t="str">
            <v>HAUL 30 YD TEMPORARY</v>
          </cell>
          <cell r="H619">
            <v>162.1</v>
          </cell>
        </row>
        <row r="620">
          <cell r="F620" t="str">
            <v>HAUL30TEMP-RO</v>
          </cell>
          <cell r="G620" t="str">
            <v>HAUL 30 YD TEMPORARY</v>
          </cell>
          <cell r="H620">
            <v>162.1</v>
          </cell>
        </row>
        <row r="621">
          <cell r="F621" t="str">
            <v>HAUL30TEMP-RO</v>
          </cell>
          <cell r="G621" t="str">
            <v>HAUL 30 YD TEMPORARY</v>
          </cell>
          <cell r="H621">
            <v>162.1</v>
          </cell>
        </row>
        <row r="622">
          <cell r="F622" t="str">
            <v>QDEL</v>
          </cell>
          <cell r="G622" t="str">
            <v>DROP BOX DELIVERY</v>
          </cell>
          <cell r="H622">
            <v>50.11</v>
          </cell>
        </row>
        <row r="623">
          <cell r="F623" t="str">
            <v>QDEL</v>
          </cell>
          <cell r="G623" t="str">
            <v>DROP BOX DELIVERY</v>
          </cell>
          <cell r="H623">
            <v>50.11</v>
          </cell>
        </row>
        <row r="624">
          <cell r="F624" t="str">
            <v>QDEL</v>
          </cell>
          <cell r="G624" t="str">
            <v>DROP BOX DELIVERY</v>
          </cell>
          <cell r="H624">
            <v>50.11</v>
          </cell>
        </row>
        <row r="625">
          <cell r="F625" t="str">
            <v>QDEL</v>
          </cell>
          <cell r="G625" t="str">
            <v>DROP BOX DELIVERY</v>
          </cell>
          <cell r="H625">
            <v>50.11</v>
          </cell>
        </row>
        <row r="626">
          <cell r="F626" t="str">
            <v>QDEL</v>
          </cell>
          <cell r="G626" t="str">
            <v>DROP BOX DELIVERY</v>
          </cell>
          <cell r="H626">
            <v>50.11</v>
          </cell>
        </row>
        <row r="627">
          <cell r="F627" t="str">
            <v>QDEL</v>
          </cell>
          <cell r="G627" t="str">
            <v>DROP BOX DELIVERY</v>
          </cell>
          <cell r="H627">
            <v>50.11</v>
          </cell>
        </row>
        <row r="628">
          <cell r="F628" t="str">
            <v>QDEL</v>
          </cell>
          <cell r="G628" t="str">
            <v>DROP BOX DELIVERY</v>
          </cell>
          <cell r="H628">
            <v>50.11</v>
          </cell>
        </row>
        <row r="629">
          <cell r="F629" t="str">
            <v>QMILE</v>
          </cell>
          <cell r="G629" t="str">
            <v>MILEAGE CHARGE</v>
          </cell>
          <cell r="H629">
            <v>4.3499999999999996</v>
          </cell>
        </row>
        <row r="630">
          <cell r="F630" t="str">
            <v>QMILE</v>
          </cell>
          <cell r="G630" t="str">
            <v>MILEAGE CHARGE</v>
          </cell>
          <cell r="H630">
            <v>4.3499999999999996</v>
          </cell>
        </row>
        <row r="631">
          <cell r="F631" t="str">
            <v>QMILE</v>
          </cell>
          <cell r="G631" t="str">
            <v>MILEAGE CHARGE</v>
          </cell>
          <cell r="H631">
            <v>4.3499999999999996</v>
          </cell>
        </row>
        <row r="632">
          <cell r="F632" t="str">
            <v>QMILE</v>
          </cell>
          <cell r="G632" t="str">
            <v>MILEAGE CHARGE</v>
          </cell>
          <cell r="H632">
            <v>4.3499999999999996</v>
          </cell>
        </row>
        <row r="633">
          <cell r="F633" t="str">
            <v>QMILE</v>
          </cell>
          <cell r="G633" t="str">
            <v>MILEAGE CHARGE</v>
          </cell>
          <cell r="H633">
            <v>4.3499999999999996</v>
          </cell>
        </row>
        <row r="634">
          <cell r="F634" t="str">
            <v>QMILE</v>
          </cell>
          <cell r="G634" t="str">
            <v>MILEAGE CHARGE</v>
          </cell>
          <cell r="H634">
            <v>4.3499999999999996</v>
          </cell>
        </row>
        <row r="635">
          <cell r="F635" t="str">
            <v>QMILE</v>
          </cell>
          <cell r="G635" t="str">
            <v>MILEAGE CHARGE</v>
          </cell>
          <cell r="H635">
            <v>4.3499999999999996</v>
          </cell>
        </row>
        <row r="636">
          <cell r="F636" t="str">
            <v>QRENT</v>
          </cell>
          <cell r="G636" t="str">
            <v>MONTHLY DROP BOX RENTAL</v>
          </cell>
          <cell r="H636">
            <v>124.69</v>
          </cell>
        </row>
        <row r="637">
          <cell r="F637" t="str">
            <v>QRENT</v>
          </cell>
          <cell r="G637" t="str">
            <v>MONTHLY DROP BOX RENTAL</v>
          </cell>
          <cell r="H637">
            <v>124.69</v>
          </cell>
        </row>
        <row r="638">
          <cell r="F638" t="str">
            <v>QRENT</v>
          </cell>
          <cell r="G638" t="str">
            <v>MONTHLY DROP BOX RENTAL</v>
          </cell>
          <cell r="H638">
            <v>124.69</v>
          </cell>
        </row>
        <row r="639">
          <cell r="F639" t="str">
            <v>QRENT</v>
          </cell>
          <cell r="G639" t="str">
            <v>MONTHLY DROP BOX RENTAL</v>
          </cell>
          <cell r="H639">
            <v>124.69</v>
          </cell>
        </row>
        <row r="640">
          <cell r="F640" t="str">
            <v>QRENT</v>
          </cell>
          <cell r="G640" t="str">
            <v>MONTHLY DROP BOX RENTAL</v>
          </cell>
          <cell r="H640">
            <v>124.69</v>
          </cell>
        </row>
        <row r="641">
          <cell r="F641" t="str">
            <v>QRENT</v>
          </cell>
          <cell r="G641" t="str">
            <v>MONTHLY DROP BOX RENTAL</v>
          </cell>
          <cell r="H641">
            <v>124.69</v>
          </cell>
        </row>
        <row r="642">
          <cell r="F642" t="str">
            <v>QRENT</v>
          </cell>
          <cell r="G642" t="str">
            <v>MONTHLY DROP BOX RENTAL</v>
          </cell>
          <cell r="H642">
            <v>124.69</v>
          </cell>
        </row>
        <row r="643">
          <cell r="F643" t="str">
            <v>RENT10DAY-RO</v>
          </cell>
          <cell r="G643" t="str">
            <v>RENTAL 10 YD TEMP</v>
          </cell>
          <cell r="H643">
            <v>8.1199999999999992</v>
          </cell>
        </row>
        <row r="644">
          <cell r="F644" t="str">
            <v>RENT10DAY-RO</v>
          </cell>
          <cell r="G644" t="str">
            <v>RENTAL 10 YD TEMP</v>
          </cell>
          <cell r="H644">
            <v>8.1199999999999992</v>
          </cell>
        </row>
        <row r="645">
          <cell r="F645" t="str">
            <v>RENT10DAY-RO</v>
          </cell>
          <cell r="G645" t="str">
            <v>RENTAL 10 YD TEMP</v>
          </cell>
          <cell r="H645">
            <v>8.1199999999999992</v>
          </cell>
        </row>
        <row r="646">
          <cell r="F646" t="str">
            <v>RENT10DAY-RO</v>
          </cell>
          <cell r="G646" t="str">
            <v>RENTAL 10 YD TEMP</v>
          </cell>
          <cell r="H646">
            <v>8.1199999999999992</v>
          </cell>
        </row>
        <row r="647">
          <cell r="F647" t="str">
            <v>RENT10DAY-RO</v>
          </cell>
          <cell r="G647" t="str">
            <v>RENTAL 10 YD TEMP</v>
          </cell>
          <cell r="H647">
            <v>8.1199999999999992</v>
          </cell>
        </row>
        <row r="648">
          <cell r="F648" t="str">
            <v>RENT10DAY-RO</v>
          </cell>
          <cell r="G648" t="str">
            <v>RENTAL 10 YD TEMP</v>
          </cell>
          <cell r="H648">
            <v>8.1199999999999992</v>
          </cell>
        </row>
        <row r="649">
          <cell r="F649" t="str">
            <v>RENT10DAY-RO</v>
          </cell>
          <cell r="G649" t="str">
            <v>RENTAL 10 YD TEMP</v>
          </cell>
          <cell r="H649">
            <v>8.1199999999999992</v>
          </cell>
        </row>
        <row r="650">
          <cell r="F650" t="str">
            <v>RENT10MO-RO</v>
          </cell>
          <cell r="G650" t="str">
            <v>RENTAL 10 YD</v>
          </cell>
          <cell r="H650">
            <v>49.5</v>
          </cell>
        </row>
        <row r="651">
          <cell r="F651" t="str">
            <v>RENT10MO-RO</v>
          </cell>
          <cell r="G651" t="str">
            <v>RENTAL 10 YD</v>
          </cell>
          <cell r="H651">
            <v>49.5</v>
          </cell>
        </row>
        <row r="652">
          <cell r="F652" t="str">
            <v>RENT10MO-RO</v>
          </cell>
          <cell r="G652" t="str">
            <v>RENTAL 10 YD</v>
          </cell>
          <cell r="H652">
            <v>49.5</v>
          </cell>
        </row>
        <row r="653">
          <cell r="F653" t="str">
            <v>RENT10MO-RO</v>
          </cell>
          <cell r="G653" t="str">
            <v>RENTAL 10 YD</v>
          </cell>
          <cell r="H653">
            <v>49.5</v>
          </cell>
        </row>
        <row r="654">
          <cell r="F654" t="str">
            <v>RENT10MO-RO</v>
          </cell>
          <cell r="G654" t="str">
            <v>RENTAL 10 YD</v>
          </cell>
          <cell r="H654">
            <v>49.5</v>
          </cell>
        </row>
        <row r="655">
          <cell r="F655" t="str">
            <v>RENT10MO-RO</v>
          </cell>
          <cell r="G655" t="str">
            <v>RENTAL 10 YD</v>
          </cell>
          <cell r="H655">
            <v>49.5</v>
          </cell>
        </row>
        <row r="656">
          <cell r="F656" t="str">
            <v>RENT10MO-RO</v>
          </cell>
          <cell r="G656" t="str">
            <v>RENTAL 10 YD</v>
          </cell>
          <cell r="H656">
            <v>49.5</v>
          </cell>
        </row>
        <row r="657">
          <cell r="F657" t="str">
            <v>RENT10TEMP-RO</v>
          </cell>
          <cell r="G657" t="str">
            <v>RENTAL 10 YD TEMP</v>
          </cell>
          <cell r="H657">
            <v>124.69</v>
          </cell>
        </row>
        <row r="658">
          <cell r="F658" t="str">
            <v>RENT10TEMP-RO</v>
          </cell>
          <cell r="G658" t="str">
            <v>RENTAL 10 YD TEMP</v>
          </cell>
          <cell r="H658">
            <v>124.69</v>
          </cell>
        </row>
        <row r="659">
          <cell r="F659" t="str">
            <v>RENT10TEMP-RO</v>
          </cell>
          <cell r="G659" t="str">
            <v>RENTAL 10 YD TEMP</v>
          </cell>
          <cell r="H659">
            <v>124.69</v>
          </cell>
        </row>
        <row r="660">
          <cell r="F660" t="str">
            <v>RENT10TEMP-RO</v>
          </cell>
          <cell r="G660" t="str">
            <v>RENTAL 10 YD TEMP</v>
          </cell>
          <cell r="H660">
            <v>124.69</v>
          </cell>
        </row>
        <row r="661">
          <cell r="F661" t="str">
            <v>RENT10TEMP-RO</v>
          </cell>
          <cell r="G661" t="str">
            <v>RENTAL 10 YD TEMP</v>
          </cell>
          <cell r="H661">
            <v>124.69</v>
          </cell>
        </row>
        <row r="662">
          <cell r="F662" t="str">
            <v>RENT10TEMP-RO</v>
          </cell>
          <cell r="G662" t="str">
            <v>RENTAL 10 YD TEMP</v>
          </cell>
          <cell r="H662">
            <v>124.69</v>
          </cell>
        </row>
        <row r="663">
          <cell r="F663" t="str">
            <v>RENT10TEMP-RO</v>
          </cell>
          <cell r="G663" t="str">
            <v>RENTAL 10 YD TEMP</v>
          </cell>
          <cell r="H663">
            <v>124.69</v>
          </cell>
        </row>
        <row r="664">
          <cell r="F664" t="str">
            <v>RENT20DAY-RO</v>
          </cell>
          <cell r="G664" t="str">
            <v>RENTAL 20 YD TEMP</v>
          </cell>
          <cell r="H664">
            <v>8.1199999999999992</v>
          </cell>
        </row>
        <row r="665">
          <cell r="F665" t="str">
            <v>RENT20DAY-RO</v>
          </cell>
          <cell r="G665" t="str">
            <v>RENTAL 20 YD TEMP</v>
          </cell>
          <cell r="H665">
            <v>8.1199999999999992</v>
          </cell>
        </row>
        <row r="666">
          <cell r="F666" t="str">
            <v>RENT20DAY-RO</v>
          </cell>
          <cell r="G666" t="str">
            <v>RENTAL 20 YD TEMP</v>
          </cell>
          <cell r="H666">
            <v>8.1199999999999992</v>
          </cell>
        </row>
        <row r="667">
          <cell r="F667" t="str">
            <v>RENT20DAY-RO</v>
          </cell>
          <cell r="G667" t="str">
            <v>RENTAL 20 YD TEMP</v>
          </cell>
          <cell r="H667">
            <v>8.1199999999999992</v>
          </cell>
        </row>
        <row r="668">
          <cell r="F668" t="str">
            <v>RENT20DAY-RO</v>
          </cell>
          <cell r="G668" t="str">
            <v>RENTAL 20 YD TEMP</v>
          </cell>
          <cell r="H668">
            <v>8.1199999999999992</v>
          </cell>
        </row>
        <row r="669">
          <cell r="F669" t="str">
            <v>RENT20DAY-RO</v>
          </cell>
          <cell r="G669" t="str">
            <v>RENTAL 20 YD TEMP</v>
          </cell>
          <cell r="H669">
            <v>8.1199999999999992</v>
          </cell>
        </row>
        <row r="670">
          <cell r="F670" t="str">
            <v>RENT20DAY-RO</v>
          </cell>
          <cell r="G670" t="str">
            <v>RENTAL 20 YD TEMP</v>
          </cell>
          <cell r="H670">
            <v>8.1199999999999992</v>
          </cell>
        </row>
        <row r="671">
          <cell r="F671" t="str">
            <v>RENT20MO-RO</v>
          </cell>
          <cell r="G671" t="str">
            <v>RENTAL 20 YD</v>
          </cell>
          <cell r="H671">
            <v>49.5</v>
          </cell>
        </row>
        <row r="672">
          <cell r="F672" t="str">
            <v>RENT20MO-RO</v>
          </cell>
          <cell r="G672" t="str">
            <v>RENTAL 20 YD</v>
          </cell>
          <cell r="H672">
            <v>49.5</v>
          </cell>
        </row>
        <row r="673">
          <cell r="F673" t="str">
            <v>RENT20MO-RO</v>
          </cell>
          <cell r="G673" t="str">
            <v>RENTAL 20 YD</v>
          </cell>
          <cell r="H673">
            <v>49.5</v>
          </cell>
        </row>
        <row r="674">
          <cell r="F674" t="str">
            <v>RENT20MO-RO</v>
          </cell>
          <cell r="G674" t="str">
            <v>RENTAL 20 YD</v>
          </cell>
          <cell r="H674">
            <v>49.5</v>
          </cell>
        </row>
        <row r="675">
          <cell r="F675" t="str">
            <v>RENT20MO-RO</v>
          </cell>
          <cell r="G675" t="str">
            <v>RENTAL 20 YD</v>
          </cell>
          <cell r="H675">
            <v>49.5</v>
          </cell>
        </row>
        <row r="676">
          <cell r="F676" t="str">
            <v>RENT20MO-RO</v>
          </cell>
          <cell r="G676" t="str">
            <v>RENTAL 20 YD</v>
          </cell>
          <cell r="H676">
            <v>49.5</v>
          </cell>
        </row>
        <row r="677">
          <cell r="F677" t="str">
            <v>RENT20MO-RO</v>
          </cell>
          <cell r="G677" t="str">
            <v>RENTAL 20 YD</v>
          </cell>
          <cell r="H677">
            <v>49.5</v>
          </cell>
        </row>
        <row r="678">
          <cell r="F678" t="str">
            <v>RENT20TEMP-RO</v>
          </cell>
          <cell r="G678" t="str">
            <v>RENTAL 20 YD TEMP</v>
          </cell>
          <cell r="H678">
            <v>124.69</v>
          </cell>
        </row>
        <row r="679">
          <cell r="F679" t="str">
            <v>RENT20TEMP-RO</v>
          </cell>
          <cell r="G679" t="str">
            <v>RENTAL 20 YD TEMP</v>
          </cell>
          <cell r="H679">
            <v>124.69</v>
          </cell>
        </row>
        <row r="680">
          <cell r="F680" t="str">
            <v>RENT20TEMP-RO</v>
          </cell>
          <cell r="G680" t="str">
            <v>RENTAL 20 YD TEMP</v>
          </cell>
          <cell r="H680">
            <v>124.69</v>
          </cell>
        </row>
        <row r="681">
          <cell r="F681" t="str">
            <v>RENT20TEMP-RO</v>
          </cell>
          <cell r="G681" t="str">
            <v>RENTAL 20 YD TEMP</v>
          </cell>
          <cell r="H681">
            <v>124.69</v>
          </cell>
        </row>
        <row r="682">
          <cell r="F682" t="str">
            <v>RENT20TEMP-RO</v>
          </cell>
          <cell r="G682" t="str">
            <v>RENTAL 20 YD TEMP</v>
          </cell>
          <cell r="H682">
            <v>124.69</v>
          </cell>
        </row>
        <row r="683">
          <cell r="F683" t="str">
            <v>RENT20TEMP-RO</v>
          </cell>
          <cell r="G683" t="str">
            <v>RENTAL 20 YD TEMP</v>
          </cell>
          <cell r="H683">
            <v>124.69</v>
          </cell>
        </row>
        <row r="684">
          <cell r="F684" t="str">
            <v>RENT20TEMP-RO</v>
          </cell>
          <cell r="G684" t="str">
            <v>RENTAL 20 YD TEMP</v>
          </cell>
          <cell r="H684">
            <v>124.69</v>
          </cell>
        </row>
        <row r="685">
          <cell r="F685" t="str">
            <v>RENT30DAY-RO</v>
          </cell>
          <cell r="G685" t="str">
            <v>RENTAL 30 YD TEMP</v>
          </cell>
          <cell r="H685">
            <v>8.1199999999999992</v>
          </cell>
        </row>
        <row r="686">
          <cell r="F686" t="str">
            <v>RENT30DAY-RO</v>
          </cell>
          <cell r="G686" t="str">
            <v>RENTAL 30 YD TEMP</v>
          </cell>
          <cell r="H686">
            <v>8.1199999999999992</v>
          </cell>
        </row>
        <row r="687">
          <cell r="F687" t="str">
            <v>RENT30DAY-RO</v>
          </cell>
          <cell r="G687" t="str">
            <v>RENTAL 30 YD TEMP</v>
          </cell>
          <cell r="H687">
            <v>8.1199999999999992</v>
          </cell>
        </row>
        <row r="688">
          <cell r="F688" t="str">
            <v>RENT30DAY-RO</v>
          </cell>
          <cell r="G688" t="str">
            <v>RENTAL 30 YD TEMP</v>
          </cell>
          <cell r="H688">
            <v>8.1199999999999992</v>
          </cell>
        </row>
        <row r="689">
          <cell r="F689" t="str">
            <v>RENT30DAY-RO</v>
          </cell>
          <cell r="G689" t="str">
            <v>RENTAL 30 YD TEMP</v>
          </cell>
          <cell r="H689">
            <v>8.1199999999999992</v>
          </cell>
        </row>
        <row r="690">
          <cell r="F690" t="str">
            <v>RENT30DAY-RO</v>
          </cell>
          <cell r="G690" t="str">
            <v>RENTAL 30 YD TEMP</v>
          </cell>
          <cell r="H690">
            <v>8.1199999999999992</v>
          </cell>
        </row>
        <row r="691">
          <cell r="F691" t="str">
            <v>RENT30DAY-RO</v>
          </cell>
          <cell r="G691" t="str">
            <v>RENTAL 30 YD TEMP</v>
          </cell>
          <cell r="H691">
            <v>8.1199999999999992</v>
          </cell>
        </row>
        <row r="692">
          <cell r="F692" t="str">
            <v>RENT30MO-RO</v>
          </cell>
          <cell r="G692" t="str">
            <v>RENTAL 30 YD</v>
          </cell>
          <cell r="H692">
            <v>135</v>
          </cell>
        </row>
        <row r="693">
          <cell r="F693" t="str">
            <v>RENT30MO-RO</v>
          </cell>
          <cell r="G693" t="str">
            <v>RENTAL 30 YD</v>
          </cell>
          <cell r="H693">
            <v>135</v>
          </cell>
        </row>
        <row r="694">
          <cell r="F694" t="str">
            <v>RENT30MO-RO</v>
          </cell>
          <cell r="G694" t="str">
            <v>RENTAL 30 YD</v>
          </cell>
          <cell r="H694">
            <v>135</v>
          </cell>
        </row>
        <row r="695">
          <cell r="F695" t="str">
            <v>RENT30MO-RO</v>
          </cell>
          <cell r="G695" t="str">
            <v>RENTAL 30 YD</v>
          </cell>
          <cell r="H695">
            <v>135</v>
          </cell>
        </row>
        <row r="696">
          <cell r="F696" t="str">
            <v>RENT30MO-RO</v>
          </cell>
          <cell r="G696" t="str">
            <v>RENTAL 30 YD</v>
          </cell>
          <cell r="H696">
            <v>135</v>
          </cell>
        </row>
        <row r="697">
          <cell r="F697" t="str">
            <v>RENT30MO-RO</v>
          </cell>
          <cell r="G697" t="str">
            <v>RENTAL 30 YD</v>
          </cell>
          <cell r="H697">
            <v>135</v>
          </cell>
        </row>
        <row r="698">
          <cell r="F698" t="str">
            <v>RENT30MO-RO</v>
          </cell>
          <cell r="G698" t="str">
            <v>RENTAL 30 YD</v>
          </cell>
          <cell r="H698">
            <v>135</v>
          </cell>
        </row>
        <row r="699">
          <cell r="F699" t="str">
            <v>RENT30TEMP-RO</v>
          </cell>
          <cell r="G699" t="str">
            <v>RENTAL 30 YD TEMP</v>
          </cell>
          <cell r="H699">
            <v>124.69</v>
          </cell>
        </row>
        <row r="700">
          <cell r="F700" t="str">
            <v>RENT30TEMP-RO</v>
          </cell>
          <cell r="G700" t="str">
            <v>RENTAL 30 YD TEMP</v>
          </cell>
          <cell r="H700">
            <v>124.69</v>
          </cell>
        </row>
        <row r="701">
          <cell r="F701" t="str">
            <v>RENT30TEMP-RO</v>
          </cell>
          <cell r="G701" t="str">
            <v>RENTAL 30 YD TEMP</v>
          </cell>
          <cell r="H701">
            <v>124.69</v>
          </cell>
        </row>
        <row r="702">
          <cell r="F702" t="str">
            <v>RENT30TEMP-RO</v>
          </cell>
          <cell r="G702" t="str">
            <v>RENTAL 30 YD TEMP</v>
          </cell>
          <cell r="H702">
            <v>124.69</v>
          </cell>
        </row>
        <row r="703">
          <cell r="F703" t="str">
            <v>RENT30TEMP-RO</v>
          </cell>
          <cell r="G703" t="str">
            <v>RENTAL 30 YD TEMP</v>
          </cell>
          <cell r="H703">
            <v>124.69</v>
          </cell>
        </row>
        <row r="704">
          <cell r="F704" t="str">
            <v>RENT30TEMP-RO</v>
          </cell>
          <cell r="G704" t="str">
            <v>RENTAL 30 YD TEMP</v>
          </cell>
          <cell r="H704">
            <v>124.69</v>
          </cell>
        </row>
        <row r="705">
          <cell r="F705" t="str">
            <v>RENT30TEMP-RO</v>
          </cell>
          <cell r="G705" t="str">
            <v>RENTAL 30 YD TEMP</v>
          </cell>
          <cell r="H705">
            <v>124.69</v>
          </cell>
        </row>
      </sheetData>
      <sheetData sheetId="4">
        <row r="147">
          <cell r="F147" t="str">
            <v>ACCESS2W-COM</v>
          </cell>
          <cell r="G147" t="str">
            <v>ACCESS/GATE FEE 2X WK</v>
          </cell>
          <cell r="H147">
            <v>9.42</v>
          </cell>
        </row>
        <row r="148">
          <cell r="F148" t="str">
            <v>ACCESS3W-COM</v>
          </cell>
          <cell r="G148" t="str">
            <v>ACCESS/GATE FEE 3X WK</v>
          </cell>
          <cell r="H148">
            <v>14.13</v>
          </cell>
        </row>
        <row r="149">
          <cell r="F149" t="str">
            <v>ACCESSEOW-COM</v>
          </cell>
          <cell r="G149" t="str">
            <v>ACCESS/GATE FEE EOW</v>
          </cell>
          <cell r="H149">
            <v>2.36</v>
          </cell>
        </row>
        <row r="150">
          <cell r="F150" t="str">
            <v>BULKY - COMM</v>
          </cell>
          <cell r="G150" t="str">
            <v>BULKY ITEM PICK UP - COMM</v>
          </cell>
          <cell r="H150">
            <v>17.739999999999998</v>
          </cell>
        </row>
        <row r="151">
          <cell r="F151" t="str">
            <v>CLOCK</v>
          </cell>
          <cell r="G151" t="str">
            <v>COMM LOCK CHARGE</v>
          </cell>
          <cell r="H151">
            <v>2.94</v>
          </cell>
        </row>
        <row r="152">
          <cell r="F152" t="str">
            <v>CLOCK2W</v>
          </cell>
          <cell r="G152" t="str">
            <v>LOCK CHARGE 2X WK</v>
          </cell>
          <cell r="H152">
            <v>5.88</v>
          </cell>
        </row>
        <row r="153">
          <cell r="F153" t="str">
            <v>CLOCKE</v>
          </cell>
          <cell r="G153" t="str">
            <v>LOCK CHARGE EOW</v>
          </cell>
          <cell r="H153">
            <v>1.91</v>
          </cell>
        </row>
        <row r="154">
          <cell r="F154" t="str">
            <v>DEL1-COM</v>
          </cell>
          <cell r="G154" t="str">
            <v>DELIVER 1 YD</v>
          </cell>
          <cell r="H154">
            <v>14.94</v>
          </cell>
        </row>
        <row r="155">
          <cell r="F155" t="str">
            <v>DEL1.5-COM</v>
          </cell>
          <cell r="G155" t="str">
            <v>DELIVER 1.5 YD</v>
          </cell>
          <cell r="H155">
            <v>15.82</v>
          </cell>
        </row>
        <row r="156">
          <cell r="F156" t="str">
            <v>DEL2-COM</v>
          </cell>
          <cell r="G156" t="str">
            <v>DELIVER 2 YD</v>
          </cell>
          <cell r="H156">
            <v>16.760000000000002</v>
          </cell>
        </row>
        <row r="157">
          <cell r="F157" t="str">
            <v>DEL3-COM</v>
          </cell>
          <cell r="G157" t="str">
            <v>DELIVER 3 YD</v>
          </cell>
          <cell r="H157">
            <v>19.59</v>
          </cell>
        </row>
        <row r="158">
          <cell r="F158" t="str">
            <v>DEL4-COM</v>
          </cell>
          <cell r="G158" t="str">
            <v>DELIVER 4 YD</v>
          </cell>
          <cell r="H158">
            <v>21.82</v>
          </cell>
        </row>
        <row r="159">
          <cell r="F159" t="str">
            <v>DEL6-COM</v>
          </cell>
          <cell r="G159" t="str">
            <v>DELIVER 6 YD</v>
          </cell>
          <cell r="H159">
            <v>20.55</v>
          </cell>
        </row>
        <row r="160">
          <cell r="F160" t="str">
            <v>DRIVEIN1-COM</v>
          </cell>
          <cell r="G160" t="str">
            <v>DRIVE IN UP TO 125FT - COM</v>
          </cell>
          <cell r="H160">
            <v>0.94</v>
          </cell>
        </row>
        <row r="161">
          <cell r="F161" t="str">
            <v>DRIVEIN2-COM</v>
          </cell>
          <cell r="G161" t="str">
            <v>DRIVE IN 125FT-150FT - COM</v>
          </cell>
          <cell r="H161">
            <v>2</v>
          </cell>
        </row>
        <row r="162">
          <cell r="F162" t="str">
            <v>DRIVEIN2WK-COM</v>
          </cell>
          <cell r="G162" t="str">
            <v>DRIVE IN 125FT-150FT</v>
          </cell>
          <cell r="H162">
            <v>8.66</v>
          </cell>
        </row>
        <row r="163">
          <cell r="F163" t="str">
            <v>EXTRA-COMM</v>
          </cell>
          <cell r="G163" t="str">
            <v>EXTRA ITEM - COM</v>
          </cell>
          <cell r="H163">
            <v>4.42</v>
          </cell>
        </row>
        <row r="164">
          <cell r="F164" t="str">
            <v>OS - COMM</v>
          </cell>
          <cell r="G164" t="str">
            <v>OVERSIZE CAN - COMM</v>
          </cell>
          <cell r="H164">
            <v>4.34</v>
          </cell>
        </row>
        <row r="165">
          <cell r="F165" t="str">
            <v>OW-COMM</v>
          </cell>
          <cell r="G165" t="str">
            <v>OVERFILL/OVERWEIGHT CAN -</v>
          </cell>
          <cell r="H165">
            <v>4.34</v>
          </cell>
        </row>
        <row r="166">
          <cell r="F166" t="str">
            <v>P1.5YC1W1</v>
          </cell>
          <cell r="G166" t="str">
            <v>1-1.5YD CONT 1 X WEEKLY</v>
          </cell>
          <cell r="H166">
            <v>107.17</v>
          </cell>
        </row>
        <row r="167">
          <cell r="F167" t="str">
            <v>P1.5YC1W2</v>
          </cell>
          <cell r="G167" t="str">
            <v>2-1.5YD CONT 1 X WEEKLY</v>
          </cell>
          <cell r="H167">
            <v>214.34</v>
          </cell>
        </row>
        <row r="168">
          <cell r="F168" t="str">
            <v>P1.5YC2W1</v>
          </cell>
          <cell r="G168" t="str">
            <v>1-1.5YD CONT 2 X WEEKLY</v>
          </cell>
          <cell r="H168">
            <v>214.34</v>
          </cell>
        </row>
        <row r="169">
          <cell r="F169" t="str">
            <v>P1.5YC3W1</v>
          </cell>
          <cell r="G169" t="str">
            <v>1-1.5YD CONT 3 X WEEKLY</v>
          </cell>
          <cell r="H169">
            <v>321.5</v>
          </cell>
        </row>
        <row r="170">
          <cell r="F170" t="str">
            <v>P1.5YC3W2</v>
          </cell>
          <cell r="G170" t="str">
            <v>2-1.5YD CONT 3 X WEEKLY</v>
          </cell>
          <cell r="H170">
            <v>643.01</v>
          </cell>
        </row>
        <row r="171">
          <cell r="F171" t="str">
            <v>P1.5YCE1</v>
          </cell>
          <cell r="G171" t="str">
            <v>1-1.5YD CONT EOW</v>
          </cell>
          <cell r="H171">
            <v>53.71</v>
          </cell>
        </row>
        <row r="172">
          <cell r="F172" t="str">
            <v>P1YC1W1</v>
          </cell>
          <cell r="G172" t="str">
            <v>1-1YD CONT 1 X WEEKLY</v>
          </cell>
          <cell r="H172">
            <v>72.7</v>
          </cell>
        </row>
        <row r="173">
          <cell r="F173" t="str">
            <v>P1YC1W2</v>
          </cell>
          <cell r="G173" t="str">
            <v>2-1YD CONT. 1 X WEEKLY</v>
          </cell>
          <cell r="H173">
            <v>145.4</v>
          </cell>
        </row>
        <row r="174">
          <cell r="F174" t="str">
            <v>RENT1.5-COM</v>
          </cell>
          <cell r="G174" t="str">
            <v>1.5 YD CONT RENTAL</v>
          </cell>
          <cell r="H174">
            <v>19.59</v>
          </cell>
        </row>
        <row r="175">
          <cell r="F175" t="str">
            <v>P1YCE1</v>
          </cell>
          <cell r="G175" t="str">
            <v>1-1YD CONT EOW</v>
          </cell>
          <cell r="H175">
            <v>36.43</v>
          </cell>
        </row>
        <row r="176">
          <cell r="F176" t="str">
            <v>P2YC1W1</v>
          </cell>
          <cell r="G176" t="str">
            <v>1-2YD CONT 1 X WEEKLY</v>
          </cell>
          <cell r="H176">
            <v>139.99</v>
          </cell>
        </row>
        <row r="177">
          <cell r="F177" t="str">
            <v>P2YC1W2</v>
          </cell>
          <cell r="G177" t="str">
            <v>2-2YD CONT. 1 X WEEKLY</v>
          </cell>
          <cell r="H177">
            <v>279.98</v>
          </cell>
        </row>
        <row r="178">
          <cell r="F178" t="str">
            <v>P2YC1W3</v>
          </cell>
          <cell r="G178" t="str">
            <v>3-2YD CONT. 1 X WEEKLY</v>
          </cell>
          <cell r="H178">
            <v>419.97</v>
          </cell>
        </row>
        <row r="179">
          <cell r="F179" t="str">
            <v>P2YC1W4</v>
          </cell>
          <cell r="G179" t="str">
            <v>4-2YD CONT 1X WKLY</v>
          </cell>
          <cell r="H179">
            <v>559.96</v>
          </cell>
        </row>
        <row r="180">
          <cell r="F180" t="str">
            <v>P2YC1W7</v>
          </cell>
          <cell r="G180" t="str">
            <v>7-2YD CONT 1X WKLY</v>
          </cell>
          <cell r="H180">
            <v>979.92</v>
          </cell>
        </row>
        <row r="181">
          <cell r="F181" t="str">
            <v>P2YC2W1</v>
          </cell>
          <cell r="G181" t="str">
            <v>1-2YD CONT 2  X WEEKLY</v>
          </cell>
          <cell r="H181">
            <v>279.98</v>
          </cell>
        </row>
        <row r="182">
          <cell r="F182" t="str">
            <v>P2YC2W2</v>
          </cell>
          <cell r="G182" t="str">
            <v>2-2YD CONT 2X WKLY</v>
          </cell>
          <cell r="H182">
            <v>559.96</v>
          </cell>
        </row>
        <row r="183">
          <cell r="F183" t="str">
            <v>P2YC2W3</v>
          </cell>
          <cell r="G183" t="str">
            <v>3-2YD CONT 2X WKLY</v>
          </cell>
          <cell r="H183">
            <v>839.93</v>
          </cell>
        </row>
        <row r="184">
          <cell r="F184" t="str">
            <v>P2YC2W7</v>
          </cell>
          <cell r="G184" t="str">
            <v>7-2YD CONT 2X WKLY</v>
          </cell>
          <cell r="H184">
            <v>1959.84</v>
          </cell>
        </row>
        <row r="185">
          <cell r="F185" t="str">
            <v>P2YC3W1</v>
          </cell>
          <cell r="G185" t="str">
            <v>1-2YD CONT. 3 X WEEKLY</v>
          </cell>
          <cell r="H185">
            <v>419.97</v>
          </cell>
        </row>
        <row r="186">
          <cell r="F186" t="str">
            <v>P2YC3W2</v>
          </cell>
          <cell r="G186" t="str">
            <v>2-2YD CONT. 3 X WEEKLY</v>
          </cell>
          <cell r="H186">
            <v>839.93</v>
          </cell>
        </row>
        <row r="187">
          <cell r="F187" t="str">
            <v>P2YC4W1</v>
          </cell>
          <cell r="G187" t="str">
            <v>1-2YD CONT. 4 X WEEKLY</v>
          </cell>
          <cell r="H187">
            <v>559.96</v>
          </cell>
        </row>
        <row r="188">
          <cell r="F188" t="str">
            <v>P2YCE1</v>
          </cell>
          <cell r="G188" t="str">
            <v>1-2YD CONT EOW</v>
          </cell>
          <cell r="H188">
            <v>70.16</v>
          </cell>
        </row>
        <row r="189">
          <cell r="F189" t="str">
            <v>P4YC1W1</v>
          </cell>
          <cell r="G189" t="str">
            <v>1-4YD CONT. 1 X WEEKLY</v>
          </cell>
          <cell r="H189">
            <v>235.68</v>
          </cell>
        </row>
        <row r="190">
          <cell r="F190" t="str">
            <v>R1.5TC-COM</v>
          </cell>
          <cell r="G190" t="str">
            <v>1.5 YD TEMP CONT PICKUP</v>
          </cell>
          <cell r="H190">
            <v>34.24</v>
          </cell>
        </row>
        <row r="191">
          <cell r="F191" t="str">
            <v>R1TC-COM</v>
          </cell>
          <cell r="G191" t="str">
            <v>1 YD TEMP CONT PICKUP</v>
          </cell>
          <cell r="H191">
            <v>23.28</v>
          </cell>
        </row>
        <row r="192">
          <cell r="F192" t="str">
            <v>R2TC-COMM</v>
          </cell>
          <cell r="G192" t="str">
            <v>2 YD TEMP CONT PICKUP</v>
          </cell>
          <cell r="H192">
            <v>45.07</v>
          </cell>
        </row>
        <row r="193">
          <cell r="F193" t="str">
            <v>REINSTATE-COMM</v>
          </cell>
          <cell r="G193" t="str">
            <v>REINSTATE FEE-COMM</v>
          </cell>
          <cell r="H193">
            <v>13.94</v>
          </cell>
        </row>
        <row r="194">
          <cell r="F194" t="str">
            <v>RENT1-COM</v>
          </cell>
          <cell r="G194" t="str">
            <v>1 YD CONT RENTAL</v>
          </cell>
          <cell r="H194">
            <v>16.059999999999999</v>
          </cell>
        </row>
        <row r="195">
          <cell r="F195" t="str">
            <v>1.5YCOC1</v>
          </cell>
          <cell r="G195" t="str">
            <v>1-1.5 CONTAINER ON CALL</v>
          </cell>
          <cell r="H195">
            <v>34.229999999999997</v>
          </cell>
        </row>
        <row r="196">
          <cell r="F196" t="str">
            <v>RENT1.5TEMP-COM</v>
          </cell>
          <cell r="G196" t="str">
            <v>1.5 YD TEMP CONT RENTAL</v>
          </cell>
          <cell r="H196">
            <v>28.76</v>
          </cell>
        </row>
        <row r="197">
          <cell r="F197" t="str">
            <v>RENT1TEMP-COM</v>
          </cell>
          <cell r="G197" t="str">
            <v>1 YD TEMP CONT RENTAL</v>
          </cell>
          <cell r="H197">
            <v>25</v>
          </cell>
        </row>
        <row r="198">
          <cell r="F198" t="str">
            <v>RENT2-COM</v>
          </cell>
          <cell r="G198" t="str">
            <v>2 YD CONT RENTAL</v>
          </cell>
          <cell r="H198">
            <v>23.17</v>
          </cell>
        </row>
        <row r="199">
          <cell r="F199" t="str">
            <v>RENT2TEMP-COM</v>
          </cell>
          <cell r="G199" t="str">
            <v>2 YD TEMP CONT RENTAL</v>
          </cell>
          <cell r="H199">
            <v>33.64</v>
          </cell>
        </row>
        <row r="200">
          <cell r="F200" t="str">
            <v>RENT4-COM</v>
          </cell>
          <cell r="G200" t="str">
            <v>4 YD CONT RENTAL</v>
          </cell>
          <cell r="H200">
            <v>36.76</v>
          </cell>
        </row>
        <row r="201">
          <cell r="F201" t="str">
            <v>ROLL-COM</v>
          </cell>
          <cell r="G201" t="str">
            <v>ROLLOUT CONTAINER - COM</v>
          </cell>
          <cell r="H201">
            <v>3.76</v>
          </cell>
        </row>
        <row r="202">
          <cell r="F202" t="str">
            <v>ROLL1W-COM</v>
          </cell>
          <cell r="G202" t="str">
            <v>ROLL OUT FEE 1X WK</v>
          </cell>
          <cell r="H202">
            <v>16.28</v>
          </cell>
        </row>
        <row r="203">
          <cell r="F203" t="str">
            <v>ROLL2W-COM</v>
          </cell>
          <cell r="G203" t="str">
            <v>ROLL OUT FEE 2X WK</v>
          </cell>
          <cell r="H203">
            <v>32.56</v>
          </cell>
        </row>
        <row r="204">
          <cell r="F204" t="str">
            <v>ROLL3W-COM</v>
          </cell>
          <cell r="G204" t="str">
            <v>ROLL OUT FEE 3X WK</v>
          </cell>
          <cell r="H204">
            <v>48.84</v>
          </cell>
        </row>
        <row r="205">
          <cell r="F205" t="str">
            <v>ROLLEOW-COM</v>
          </cell>
          <cell r="G205" t="str">
            <v>ROLL OUT FEE EOW</v>
          </cell>
          <cell r="H205">
            <v>8.16</v>
          </cell>
        </row>
        <row r="206">
          <cell r="F206" t="str">
            <v>WI-COMM</v>
          </cell>
          <cell r="G206" t="str">
            <v>WALK IN - COMM</v>
          </cell>
          <cell r="H206">
            <v>4.07</v>
          </cell>
        </row>
        <row r="207">
          <cell r="F207" t="str">
            <v>WIE-COM</v>
          </cell>
          <cell r="G207" t="str">
            <v>WALK IN 6-25FT EOW</v>
          </cell>
          <cell r="H207">
            <v>2.04</v>
          </cell>
        </row>
        <row r="208">
          <cell r="F208" t="str">
            <v>20R1W1</v>
          </cell>
          <cell r="G208" t="str">
            <v>1-20GAL CAN WEEKLY</v>
          </cell>
          <cell r="H208">
            <v>16.88</v>
          </cell>
        </row>
        <row r="209">
          <cell r="F209" t="str">
            <v>32R1E1</v>
          </cell>
          <cell r="G209" t="str">
            <v>1-32GAL CAN EOW</v>
          </cell>
          <cell r="H209">
            <v>12.36</v>
          </cell>
        </row>
        <row r="210">
          <cell r="F210" t="str">
            <v>32R1M1</v>
          </cell>
          <cell r="G210" t="str">
            <v>1-32GAL CAN MONTHLY</v>
          </cell>
          <cell r="H210">
            <v>6.18</v>
          </cell>
        </row>
        <row r="211">
          <cell r="F211" t="str">
            <v>32R1OC</v>
          </cell>
          <cell r="G211" t="str">
            <v>1-32GAL CAN ON CALL</v>
          </cell>
          <cell r="H211">
            <v>6.18</v>
          </cell>
        </row>
        <row r="212">
          <cell r="F212" t="str">
            <v>32R1W1</v>
          </cell>
          <cell r="G212" t="str">
            <v>1-32GAL CAN WEEKLY</v>
          </cell>
          <cell r="H212">
            <v>19.54</v>
          </cell>
        </row>
        <row r="213">
          <cell r="F213" t="str">
            <v>32R1W2</v>
          </cell>
          <cell r="G213" t="str">
            <v>2-32GAL CANS WEEKLY</v>
          </cell>
          <cell r="H213">
            <v>26.77</v>
          </cell>
        </row>
        <row r="214">
          <cell r="F214" t="str">
            <v>32R1W3</v>
          </cell>
          <cell r="G214" t="str">
            <v>3-32GAL CANS WEEKLY</v>
          </cell>
          <cell r="H214">
            <v>34.880000000000003</v>
          </cell>
        </row>
        <row r="215">
          <cell r="F215" t="str">
            <v>32R1W4</v>
          </cell>
          <cell r="G215" t="str">
            <v>4-32GAL CANS WEEKLY</v>
          </cell>
          <cell r="H215">
            <v>42.46</v>
          </cell>
        </row>
        <row r="216">
          <cell r="F216" t="str">
            <v>32R1W5</v>
          </cell>
          <cell r="G216" t="str">
            <v>5-32 GAL CANS WKLY</v>
          </cell>
          <cell r="H216">
            <v>51.46</v>
          </cell>
        </row>
        <row r="217">
          <cell r="F217" t="str">
            <v>32R1W6</v>
          </cell>
          <cell r="G217" t="str">
            <v>6-32 GAL CANS WKLY</v>
          </cell>
          <cell r="H217">
            <v>61.1</v>
          </cell>
        </row>
        <row r="218">
          <cell r="F218" t="str">
            <v>45R1OC</v>
          </cell>
          <cell r="G218" t="str">
            <v>1-45 GAL CAN ON CALL</v>
          </cell>
          <cell r="H218">
            <v>6.18</v>
          </cell>
        </row>
        <row r="219">
          <cell r="F219" t="str">
            <v>45R1W1</v>
          </cell>
          <cell r="G219" t="str">
            <v>1-45 GAL CAN WKLY</v>
          </cell>
          <cell r="H219">
            <v>31.61</v>
          </cell>
        </row>
        <row r="220">
          <cell r="F220" t="str">
            <v>45RE1</v>
          </cell>
          <cell r="G220" t="str">
            <v>1-45 GAL EOW</v>
          </cell>
          <cell r="H220">
            <v>22.85</v>
          </cell>
        </row>
        <row r="221">
          <cell r="F221" t="str">
            <v>60R1M1</v>
          </cell>
          <cell r="G221" t="str">
            <v>1-60GAL CART MONTHLY</v>
          </cell>
          <cell r="H221">
            <v>33.99</v>
          </cell>
        </row>
        <row r="222">
          <cell r="F222" t="str">
            <v>60R1W1</v>
          </cell>
          <cell r="G222" t="str">
            <v>1-60GAL CART WEEKLY</v>
          </cell>
          <cell r="H222">
            <v>39.44</v>
          </cell>
        </row>
        <row r="223">
          <cell r="F223" t="str">
            <v>ACCESS-RES</v>
          </cell>
          <cell r="G223" t="str">
            <v>ACCESS/GATE CHARGE</v>
          </cell>
          <cell r="H223">
            <v>4.71</v>
          </cell>
        </row>
        <row r="224">
          <cell r="F224" t="str">
            <v>ACCESSEOW-RES</v>
          </cell>
          <cell r="G224" t="str">
            <v>ACCESS/GATE FEE EOW</v>
          </cell>
          <cell r="H224">
            <v>2.36</v>
          </cell>
        </row>
        <row r="225">
          <cell r="F225" t="str">
            <v>BULKY - RES</v>
          </cell>
          <cell r="G225" t="str">
            <v>BULKY ITEM PICK UP - RES</v>
          </cell>
          <cell r="H225">
            <v>17.739999999999998</v>
          </cell>
        </row>
        <row r="226">
          <cell r="F226" t="str">
            <v>DRIVEIN-RES</v>
          </cell>
          <cell r="G226" t="str">
            <v>DRIVE IN - RES</v>
          </cell>
          <cell r="H226">
            <v>2.71</v>
          </cell>
        </row>
        <row r="227">
          <cell r="F227" t="str">
            <v>DRIVEIN1-RES</v>
          </cell>
          <cell r="G227" t="str">
            <v>DRIVE IN UP TO 125FT - RES</v>
          </cell>
          <cell r="H227">
            <v>2.71</v>
          </cell>
        </row>
        <row r="228">
          <cell r="F228" t="str">
            <v>DRIVEIN2-RES</v>
          </cell>
          <cell r="G228" t="str">
            <v>DRIVE IN 125FT-150FT - RES</v>
          </cell>
          <cell r="H228">
            <v>5.41</v>
          </cell>
        </row>
        <row r="229">
          <cell r="F229" t="str">
            <v>DRIVEIN2WK-RES</v>
          </cell>
          <cell r="G229" t="str">
            <v>DRIVE IN 125FT-150FT</v>
          </cell>
          <cell r="H229">
            <v>5.41</v>
          </cell>
        </row>
        <row r="230">
          <cell r="F230" t="str">
            <v>EXTRA-RES</v>
          </cell>
          <cell r="G230" t="str">
            <v>EXTRA ITEM - RES</v>
          </cell>
          <cell r="H230">
            <v>4.54</v>
          </cell>
        </row>
        <row r="231">
          <cell r="F231" t="str">
            <v>OS - RES</v>
          </cell>
          <cell r="G231" t="str">
            <v>OVERSIZE CAN - RES</v>
          </cell>
          <cell r="H231">
            <v>4.34</v>
          </cell>
        </row>
        <row r="232">
          <cell r="F232" t="str">
            <v>OW-RES</v>
          </cell>
          <cell r="G232" t="str">
            <v>OVERFILL / OVERWEIGHT CAN</v>
          </cell>
          <cell r="H232">
            <v>4.34</v>
          </cell>
        </row>
        <row r="233">
          <cell r="F233" t="str">
            <v>SUNKENCAN-RES</v>
          </cell>
          <cell r="G233" t="str">
            <v>ABOVE/UNDER GROUND</v>
          </cell>
          <cell r="H233">
            <v>2.71</v>
          </cell>
        </row>
        <row r="234">
          <cell r="F234" t="str">
            <v>WI-RES</v>
          </cell>
          <cell r="G234" t="str">
            <v>WALK IN/CARRYOUT 5-25FT</v>
          </cell>
          <cell r="H234">
            <v>2.71</v>
          </cell>
        </row>
        <row r="235">
          <cell r="F235" t="str">
            <v>WI2-RES</v>
          </cell>
          <cell r="G235" t="str">
            <v>CARRYOUT OVER 25FT</v>
          </cell>
          <cell r="H235">
            <v>2.71</v>
          </cell>
        </row>
        <row r="236">
          <cell r="F236" t="str">
            <v>20YQCOMPC</v>
          </cell>
          <cell r="G236" t="str">
            <v>20YD COMP/CORR HAUL FEE</v>
          </cell>
          <cell r="H236">
            <v>294.08999999999997</v>
          </cell>
        </row>
        <row r="237">
          <cell r="F237" t="str">
            <v>40YCOMPT</v>
          </cell>
          <cell r="G237" t="str">
            <v>40YD COMP/TRASH HAUL FEE</v>
          </cell>
          <cell r="H237">
            <v>582.29999999999995</v>
          </cell>
        </row>
        <row r="238">
          <cell r="F238" t="str">
            <v>DEL-RO</v>
          </cell>
          <cell r="G238" t="str">
            <v>DELIVERY FEE - RO</v>
          </cell>
          <cell r="H238">
            <v>50.11</v>
          </cell>
        </row>
        <row r="239">
          <cell r="F239" t="str">
            <v>DISP-RO</v>
          </cell>
          <cell r="G239" t="str">
            <v>DISPOSAL CHARGE - RO</v>
          </cell>
          <cell r="H239">
            <v>71.16</v>
          </cell>
        </row>
        <row r="240">
          <cell r="F240" t="str">
            <v>HAUL10-RO</v>
          </cell>
          <cell r="G240" t="str">
            <v>HAUL 10 YD</v>
          </cell>
          <cell r="H240">
            <v>155.28</v>
          </cell>
        </row>
        <row r="241">
          <cell r="F241" t="str">
            <v>HAUL10ADD-RO</v>
          </cell>
          <cell r="G241" t="str">
            <v>ADDITIONAL 10 YD HAUL</v>
          </cell>
          <cell r="H241">
            <v>97.05</v>
          </cell>
        </row>
        <row r="242">
          <cell r="F242" t="str">
            <v>HAUL10P-RO</v>
          </cell>
          <cell r="G242" t="str">
            <v>HAUL 10 YD</v>
          </cell>
          <cell r="H242">
            <v>97.05</v>
          </cell>
        </row>
        <row r="243">
          <cell r="F243" t="str">
            <v>HAUL10TEMP-RO</v>
          </cell>
          <cell r="G243" t="str">
            <v>HAUL 10 YD TEMPORARY</v>
          </cell>
          <cell r="H243">
            <v>112.22</v>
          </cell>
        </row>
        <row r="244">
          <cell r="F244" t="str">
            <v>HAUL20-RO</v>
          </cell>
          <cell r="G244" t="str">
            <v>HAUL 20 YD</v>
          </cell>
          <cell r="H244">
            <v>155.28</v>
          </cell>
        </row>
        <row r="245">
          <cell r="F245" t="str">
            <v>HAUL20ADD-RO</v>
          </cell>
          <cell r="G245" t="str">
            <v>ADDITIONAL 20 YD HAUL</v>
          </cell>
          <cell r="H245">
            <v>97.05</v>
          </cell>
        </row>
        <row r="246">
          <cell r="F246" t="str">
            <v>HAUL20P-RO</v>
          </cell>
          <cell r="G246" t="str">
            <v>HAUL 20 YD</v>
          </cell>
          <cell r="H246">
            <v>97.05</v>
          </cell>
        </row>
        <row r="247">
          <cell r="F247" t="str">
            <v>HAUL20TEMP-RO</v>
          </cell>
          <cell r="G247" t="str">
            <v>HAUL 20 YD TEMPORARY</v>
          </cell>
          <cell r="H247">
            <v>112.22</v>
          </cell>
        </row>
        <row r="248">
          <cell r="F248" t="str">
            <v>HAUL30-RO</v>
          </cell>
          <cell r="G248" t="str">
            <v>HAUL 30 YD</v>
          </cell>
          <cell r="H248">
            <v>280.56</v>
          </cell>
        </row>
        <row r="249">
          <cell r="F249" t="str">
            <v>HAUL30ADD-RO</v>
          </cell>
          <cell r="G249" t="str">
            <v>ADDITIONAL 30 YD HAUL</v>
          </cell>
          <cell r="H249">
            <v>121.75</v>
          </cell>
        </row>
        <row r="250">
          <cell r="F250" t="str">
            <v>HAUL30P-RO</v>
          </cell>
          <cell r="G250" t="str">
            <v>HAUL 30 YD</v>
          </cell>
          <cell r="H250">
            <v>121.75</v>
          </cell>
        </row>
        <row r="251">
          <cell r="F251" t="str">
            <v>HAUL30TEMP-RO</v>
          </cell>
          <cell r="G251" t="str">
            <v>HAUL 30 YD TEMPORARY</v>
          </cell>
          <cell r="H251">
            <v>162.1</v>
          </cell>
        </row>
        <row r="252">
          <cell r="F252" t="str">
            <v>QDEL</v>
          </cell>
          <cell r="G252" t="str">
            <v>DROP BOX DELIVERY</v>
          </cell>
          <cell r="H252">
            <v>50.11</v>
          </cell>
        </row>
        <row r="253">
          <cell r="F253" t="str">
            <v>QMILE</v>
          </cell>
          <cell r="G253" t="str">
            <v>MILEAGE CHARGE</v>
          </cell>
          <cell r="H253">
            <v>4.3499999999999996</v>
          </cell>
        </row>
        <row r="254">
          <cell r="F254" t="str">
            <v>QRENT</v>
          </cell>
          <cell r="G254" t="str">
            <v>MONTHLY DROP BOX RENTAL</v>
          </cell>
          <cell r="H254">
            <v>124.69</v>
          </cell>
        </row>
        <row r="255">
          <cell r="F255" t="str">
            <v>RENT10DAY-RO</v>
          </cell>
          <cell r="G255" t="str">
            <v>RENTAL 10 YD TEMP</v>
          </cell>
          <cell r="H255">
            <v>8.1199999999999992</v>
          </cell>
        </row>
        <row r="256">
          <cell r="F256" t="str">
            <v>RENT10MO-RO</v>
          </cell>
          <cell r="G256" t="str">
            <v>RENTAL 10 YD</v>
          </cell>
          <cell r="H256">
            <v>49.5</v>
          </cell>
        </row>
        <row r="257">
          <cell r="F257" t="str">
            <v>RENT10TEMP-RO</v>
          </cell>
          <cell r="G257" t="str">
            <v>RENTAL 10 YD TEMP</v>
          </cell>
          <cell r="H257">
            <v>124.69</v>
          </cell>
        </row>
        <row r="258">
          <cell r="F258" t="str">
            <v>RENT20DAY-RO</v>
          </cell>
          <cell r="G258" t="str">
            <v>RENTAL 20 YD TEMP</v>
          </cell>
          <cell r="H258">
            <v>8.1199999999999992</v>
          </cell>
        </row>
        <row r="259">
          <cell r="F259" t="str">
            <v>RENT20MO-RO</v>
          </cell>
          <cell r="G259" t="str">
            <v>RENTAL 20 YD</v>
          </cell>
          <cell r="H259">
            <v>49.5</v>
          </cell>
        </row>
        <row r="260">
          <cell r="F260" t="str">
            <v>RENT20TEMP-RO</v>
          </cell>
          <cell r="G260" t="str">
            <v>RENTAL 20 YD TEMP</v>
          </cell>
          <cell r="H260">
            <v>124.69</v>
          </cell>
        </row>
        <row r="261">
          <cell r="F261" t="str">
            <v>RENT30DAY-RO</v>
          </cell>
          <cell r="G261" t="str">
            <v>RENTAL 30 YD TEMP</v>
          </cell>
          <cell r="H261">
            <v>8.1199999999999992</v>
          </cell>
        </row>
        <row r="262">
          <cell r="F262" t="str">
            <v>RENT30MO-RO</v>
          </cell>
          <cell r="G262" t="str">
            <v>RENTAL 30 YD</v>
          </cell>
          <cell r="H262">
            <v>135</v>
          </cell>
        </row>
        <row r="263">
          <cell r="F263" t="str">
            <v>RENT30TEMP-RO</v>
          </cell>
          <cell r="G263" t="str">
            <v>RENTAL 30 YD TEMP</v>
          </cell>
          <cell r="H263">
            <v>124.69</v>
          </cell>
        </row>
        <row r="264">
          <cell r="F264" t="str">
            <v>1.5YCOC1</v>
          </cell>
          <cell r="G264" t="str">
            <v>1-1.5 CONTAINER ON CALL</v>
          </cell>
          <cell r="H264">
            <v>34.229999999999997</v>
          </cell>
        </row>
        <row r="265">
          <cell r="F265" t="str">
            <v>1YCOC1</v>
          </cell>
          <cell r="G265" t="str">
            <v>1-1YD CONTAINER ON CALL</v>
          </cell>
          <cell r="H265">
            <v>23.27</v>
          </cell>
        </row>
        <row r="266">
          <cell r="F266" t="str">
            <v>1.5YCOC1</v>
          </cell>
          <cell r="G266" t="str">
            <v>1-1.5 CONTAINER ON CALL</v>
          </cell>
          <cell r="H266">
            <v>34.229999999999997</v>
          </cell>
        </row>
        <row r="267">
          <cell r="F267" t="str">
            <v>32C1E1</v>
          </cell>
          <cell r="G267" t="str">
            <v>1-32GAL CAN EOW</v>
          </cell>
          <cell r="H267">
            <v>19.16</v>
          </cell>
        </row>
        <row r="268">
          <cell r="F268" t="str">
            <v>32C1M1</v>
          </cell>
          <cell r="G268" t="str">
            <v>1-32GAL CAN 1 X MONTHLY</v>
          </cell>
          <cell r="H268">
            <v>19.16</v>
          </cell>
        </row>
        <row r="269">
          <cell r="F269" t="str">
            <v>32C1OC</v>
          </cell>
          <cell r="G269" t="str">
            <v>1-32GAL CAN ON CALL</v>
          </cell>
          <cell r="H269">
            <v>5.35</v>
          </cell>
        </row>
        <row r="270">
          <cell r="F270" t="str">
            <v>32C1W1</v>
          </cell>
          <cell r="G270" t="str">
            <v>1-32GAL COMM 1 X WEEKLY</v>
          </cell>
          <cell r="H270">
            <v>19.16</v>
          </cell>
        </row>
        <row r="271">
          <cell r="F271" t="str">
            <v>32C1W2</v>
          </cell>
          <cell r="G271" t="str">
            <v>2-32GAL CANS WEEKLY</v>
          </cell>
          <cell r="H271">
            <v>38.28</v>
          </cell>
        </row>
        <row r="272">
          <cell r="F272" t="str">
            <v>32C1W3</v>
          </cell>
          <cell r="G272" t="str">
            <v>3-32GAL CANS WEEKLY</v>
          </cell>
          <cell r="H272">
            <v>57.42</v>
          </cell>
        </row>
        <row r="273">
          <cell r="F273" t="str">
            <v>32C1W4</v>
          </cell>
          <cell r="G273" t="str">
            <v>4-32GAL CANS 1 X WEEKLY</v>
          </cell>
          <cell r="H273">
            <v>76.55</v>
          </cell>
        </row>
        <row r="274">
          <cell r="F274" t="str">
            <v>45C1M1</v>
          </cell>
          <cell r="G274" t="str">
            <v>1-45 GAL COM CAN MONTHLY</v>
          </cell>
          <cell r="H274">
            <v>31.59</v>
          </cell>
        </row>
        <row r="275">
          <cell r="F275" t="str">
            <v>45C1W1</v>
          </cell>
          <cell r="G275" t="str">
            <v>45 GL 1X WK 1 COM</v>
          </cell>
          <cell r="H275">
            <v>31.59</v>
          </cell>
        </row>
        <row r="276">
          <cell r="F276" t="str">
            <v>ACCESS1W-COM</v>
          </cell>
          <cell r="G276" t="str">
            <v>ACCESS/GATE FEE 1X WK</v>
          </cell>
          <cell r="H276">
            <v>4.71</v>
          </cell>
        </row>
        <row r="277">
          <cell r="F277" t="str">
            <v>ACCESS2W-COM</v>
          </cell>
          <cell r="G277" t="str">
            <v>ACCESS/GATE FEE 2X WK</v>
          </cell>
          <cell r="H277">
            <v>9.42</v>
          </cell>
        </row>
        <row r="278">
          <cell r="F278" t="str">
            <v>ACCESS3W-COM</v>
          </cell>
          <cell r="G278" t="str">
            <v>ACCESS/GATE FEE 3X WK</v>
          </cell>
          <cell r="H278">
            <v>14.13</v>
          </cell>
        </row>
        <row r="279">
          <cell r="F279" t="str">
            <v>ACCESSEOW-COM</v>
          </cell>
          <cell r="G279" t="str">
            <v>ACCESS/GATE FEE EOW</v>
          </cell>
          <cell r="H279">
            <v>2.36</v>
          </cell>
        </row>
        <row r="280">
          <cell r="F280" t="str">
            <v>BULKY - COMM</v>
          </cell>
          <cell r="G280" t="str">
            <v>BULKY ITEM PICK UP - COMM</v>
          </cell>
          <cell r="H280">
            <v>17.739999999999998</v>
          </cell>
        </row>
        <row r="281">
          <cell r="F281" t="str">
            <v>CLOCK</v>
          </cell>
          <cell r="G281" t="str">
            <v>COMM LOCK CHARGE</v>
          </cell>
          <cell r="H281">
            <v>2.94</v>
          </cell>
        </row>
        <row r="282">
          <cell r="F282" t="str">
            <v>CLOCK2W</v>
          </cell>
          <cell r="G282" t="str">
            <v>LOCK CHARGE 2X WK</v>
          </cell>
          <cell r="H282">
            <v>5.88</v>
          </cell>
        </row>
        <row r="283">
          <cell r="F283" t="str">
            <v>CLOCKE</v>
          </cell>
          <cell r="G283" t="str">
            <v>LOCK CHARGE EOW</v>
          </cell>
          <cell r="H283">
            <v>1.91</v>
          </cell>
        </row>
        <row r="284">
          <cell r="F284" t="str">
            <v>DEL1-COM</v>
          </cell>
          <cell r="G284" t="str">
            <v>DELIVER 1 YD</v>
          </cell>
          <cell r="H284">
            <v>14.94</v>
          </cell>
        </row>
        <row r="285">
          <cell r="F285" t="str">
            <v>DEL1.5-COM</v>
          </cell>
          <cell r="G285" t="str">
            <v>DELIVER 1.5 YD</v>
          </cell>
          <cell r="H285">
            <v>15.82</v>
          </cell>
        </row>
        <row r="286">
          <cell r="F286" t="str">
            <v>DEL2-COM</v>
          </cell>
          <cell r="G286" t="str">
            <v>DELIVER 2 YD</v>
          </cell>
          <cell r="H286">
            <v>16.760000000000002</v>
          </cell>
        </row>
        <row r="287">
          <cell r="F287" t="str">
            <v>DEL3-COM</v>
          </cell>
          <cell r="G287" t="str">
            <v>DELIVER 3 YD</v>
          </cell>
          <cell r="H287">
            <v>19.59</v>
          </cell>
        </row>
        <row r="288">
          <cell r="F288" t="str">
            <v>DEL4-COM</v>
          </cell>
          <cell r="G288" t="str">
            <v>DELIVER 4 YD</v>
          </cell>
          <cell r="H288">
            <v>21.82</v>
          </cell>
        </row>
        <row r="289">
          <cell r="F289" t="str">
            <v>DEL6-COM</v>
          </cell>
          <cell r="G289" t="str">
            <v>DELIVER 6 YD</v>
          </cell>
          <cell r="H289">
            <v>20.55</v>
          </cell>
        </row>
        <row r="290">
          <cell r="F290" t="str">
            <v>DRIVEIN1-COM</v>
          </cell>
          <cell r="G290" t="str">
            <v>DRIVE IN UP TO 125FT - COM</v>
          </cell>
          <cell r="H290">
            <v>0.94</v>
          </cell>
        </row>
        <row r="291">
          <cell r="F291" t="str">
            <v>DRIVEIN2-COM</v>
          </cell>
          <cell r="G291" t="str">
            <v>DRIVE IN 125FT-150FT - COM</v>
          </cell>
          <cell r="H291">
            <v>2</v>
          </cell>
        </row>
        <row r="292">
          <cell r="F292" t="str">
            <v>DRIVEIN2WK-COM</v>
          </cell>
          <cell r="G292" t="str">
            <v>DRIVE IN 125FT-150FT</v>
          </cell>
          <cell r="H292">
            <v>8.66</v>
          </cell>
        </row>
        <row r="293">
          <cell r="F293" t="str">
            <v>EXTRA-COMM</v>
          </cell>
          <cell r="G293" t="str">
            <v>EXTRA ITEM - COM</v>
          </cell>
          <cell r="H293">
            <v>4.42</v>
          </cell>
        </row>
        <row r="294">
          <cell r="F294" t="str">
            <v>OS - COMM</v>
          </cell>
          <cell r="G294" t="str">
            <v>OVERSIZE CAN - COMM</v>
          </cell>
          <cell r="H294">
            <v>4.34</v>
          </cell>
        </row>
        <row r="295">
          <cell r="F295" t="str">
            <v>OW-COMM</v>
          </cell>
          <cell r="G295" t="str">
            <v>OVERFILL/OVERWEIGHT CAN -</v>
          </cell>
          <cell r="H295">
            <v>4.34</v>
          </cell>
        </row>
        <row r="296">
          <cell r="F296" t="str">
            <v>P1.5YC1W1</v>
          </cell>
          <cell r="G296" t="str">
            <v>1-1.5YD CONT 1 X WEEKLY</v>
          </cell>
          <cell r="H296">
            <v>107.17</v>
          </cell>
        </row>
        <row r="297">
          <cell r="F297" t="str">
            <v>P1.5YC1W2</v>
          </cell>
          <cell r="G297" t="str">
            <v>2-1.5YD CONT 1 X WEEKLY</v>
          </cell>
          <cell r="H297">
            <v>214.34</v>
          </cell>
        </row>
        <row r="298">
          <cell r="F298" t="str">
            <v>P1.5YC2W1</v>
          </cell>
          <cell r="G298" t="str">
            <v>1-1.5YD CONT 2 X WEEKLY</v>
          </cell>
          <cell r="H298">
            <v>214.34</v>
          </cell>
        </row>
        <row r="299">
          <cell r="F299" t="str">
            <v>P1.5YC3W1</v>
          </cell>
          <cell r="G299" t="str">
            <v>1-1.5YD CONT 3 X WEEKLY</v>
          </cell>
          <cell r="H299">
            <v>321.5</v>
          </cell>
        </row>
        <row r="300">
          <cell r="F300" t="str">
            <v>P1.5YC3W2</v>
          </cell>
          <cell r="G300" t="str">
            <v>2-1.5YD CONT 3 X WEEKLY</v>
          </cell>
          <cell r="H300">
            <v>643.01</v>
          </cell>
        </row>
        <row r="301">
          <cell r="F301" t="str">
            <v>P1.5YCE1</v>
          </cell>
          <cell r="G301" t="str">
            <v>1-1.5YD CONT EOW</v>
          </cell>
          <cell r="H301">
            <v>53.71</v>
          </cell>
        </row>
        <row r="302">
          <cell r="F302" t="str">
            <v>P1YC1W1</v>
          </cell>
          <cell r="G302" t="str">
            <v>1-1YD CONT 1 X WEEKLY</v>
          </cell>
          <cell r="H302">
            <v>72.7</v>
          </cell>
        </row>
        <row r="303">
          <cell r="F303" t="str">
            <v>P1YC1W2</v>
          </cell>
          <cell r="G303" t="str">
            <v>2-1YD CONT. 1 X WEEKLY</v>
          </cell>
          <cell r="H303">
            <v>145.4</v>
          </cell>
        </row>
        <row r="304">
          <cell r="F304" t="str">
            <v>1.5YCOC1</v>
          </cell>
          <cell r="G304" t="str">
            <v>1-1.5 CONTAINER ON CALL</v>
          </cell>
          <cell r="H304">
            <v>34.229999999999997</v>
          </cell>
        </row>
        <row r="305">
          <cell r="F305" t="str">
            <v>P1YCE1</v>
          </cell>
          <cell r="G305" t="str">
            <v>1-1YD CONT EOW</v>
          </cell>
          <cell r="H305">
            <v>36.43</v>
          </cell>
        </row>
        <row r="306">
          <cell r="F306" t="str">
            <v>P2YC1W1</v>
          </cell>
          <cell r="G306" t="str">
            <v>1-2YD CONT 1 X WEEKLY</v>
          </cell>
          <cell r="H306">
            <v>139.99</v>
          </cell>
        </row>
        <row r="307">
          <cell r="F307" t="str">
            <v>P2YC1W2</v>
          </cell>
          <cell r="G307" t="str">
            <v>2-2YD CONT. 1 X WEEKLY</v>
          </cell>
          <cell r="H307">
            <v>279.98</v>
          </cell>
        </row>
        <row r="308">
          <cell r="F308" t="str">
            <v>P2YC1W3</v>
          </cell>
          <cell r="G308" t="str">
            <v>3-2YD CONT. 1 X WEEKLY</v>
          </cell>
          <cell r="H308">
            <v>419.97</v>
          </cell>
        </row>
        <row r="309">
          <cell r="F309" t="str">
            <v>P2YC1W4</v>
          </cell>
          <cell r="G309" t="str">
            <v>4-2YD CONT 1X WKLY</v>
          </cell>
          <cell r="H309">
            <v>559.96</v>
          </cell>
        </row>
        <row r="310">
          <cell r="F310" t="str">
            <v>P2YC1W7</v>
          </cell>
          <cell r="G310" t="str">
            <v>7-2YD CONT 1X WKLY</v>
          </cell>
          <cell r="H310">
            <v>979.92</v>
          </cell>
        </row>
        <row r="311">
          <cell r="F311" t="str">
            <v>P2YC2W1</v>
          </cell>
          <cell r="G311" t="str">
            <v>1-2YD CONT 2  X WEEKLY</v>
          </cell>
          <cell r="H311">
            <v>279.98</v>
          </cell>
        </row>
        <row r="312">
          <cell r="F312" t="str">
            <v>P2YC2W2</v>
          </cell>
          <cell r="G312" t="str">
            <v>2-2YD CONT 2X WKLY</v>
          </cell>
          <cell r="H312">
            <v>559.96</v>
          </cell>
        </row>
        <row r="313">
          <cell r="F313" t="str">
            <v>P2YC2W3</v>
          </cell>
          <cell r="G313" t="str">
            <v>3-2YD CONT 2X WKLY</v>
          </cell>
          <cell r="H313">
            <v>839.93</v>
          </cell>
        </row>
        <row r="314">
          <cell r="F314" t="str">
            <v>P2YC2W7</v>
          </cell>
          <cell r="G314" t="str">
            <v>7-2YD CONT 2X WKLY</v>
          </cell>
          <cell r="H314">
            <v>1959.84</v>
          </cell>
        </row>
        <row r="315">
          <cell r="F315" t="str">
            <v>P2YC3W1</v>
          </cell>
          <cell r="G315" t="str">
            <v>1-2YD CONT. 3 X WEEKLY</v>
          </cell>
          <cell r="H315">
            <v>419.97</v>
          </cell>
        </row>
        <row r="316">
          <cell r="F316" t="str">
            <v>P2YC3W2</v>
          </cell>
          <cell r="G316" t="str">
            <v>2-2YD CONT. 3 X WEEKLY</v>
          </cell>
          <cell r="H316">
            <v>839.93</v>
          </cell>
        </row>
        <row r="317">
          <cell r="F317" t="str">
            <v>P2YC4W1</v>
          </cell>
          <cell r="G317" t="str">
            <v>1-2YD CONT. 4 X WEEKLY</v>
          </cell>
          <cell r="H317">
            <v>559.96</v>
          </cell>
        </row>
        <row r="318">
          <cell r="F318" t="str">
            <v>P2YCE1</v>
          </cell>
          <cell r="G318" t="str">
            <v>1-2YD CONT EOW</v>
          </cell>
          <cell r="H318">
            <v>70.16</v>
          </cell>
        </row>
        <row r="319">
          <cell r="F319" t="str">
            <v>P4YC1W1</v>
          </cell>
          <cell r="G319" t="str">
            <v>1-4YD CONT. 1 X WEEKLY</v>
          </cell>
          <cell r="H319">
            <v>235.68</v>
          </cell>
        </row>
        <row r="320">
          <cell r="F320" t="str">
            <v>R1.5TC-COM</v>
          </cell>
          <cell r="G320" t="str">
            <v>1.5 YD TEMP CONT PICKUP</v>
          </cell>
          <cell r="H320">
            <v>34.24</v>
          </cell>
        </row>
        <row r="321">
          <cell r="F321" t="str">
            <v>R1TC-COM</v>
          </cell>
          <cell r="G321" t="str">
            <v>1 YD TEMP CONT PICKUP</v>
          </cell>
          <cell r="H321">
            <v>23.28</v>
          </cell>
        </row>
        <row r="322">
          <cell r="F322" t="str">
            <v>R2TC-COMM</v>
          </cell>
          <cell r="G322" t="str">
            <v>2 YD TEMP CONT PICKUP</v>
          </cell>
          <cell r="H322">
            <v>45.07</v>
          </cell>
        </row>
        <row r="323">
          <cell r="F323" t="str">
            <v>REINSTATE-COMM</v>
          </cell>
          <cell r="G323" t="str">
            <v>REINSTATE FEE-COMM</v>
          </cell>
          <cell r="H323">
            <v>13.94</v>
          </cell>
        </row>
        <row r="324">
          <cell r="F324" t="str">
            <v>RENT1-COM</v>
          </cell>
          <cell r="G324" t="str">
            <v>1 YD CONT RENTAL</v>
          </cell>
          <cell r="H324">
            <v>16.059999999999999</v>
          </cell>
        </row>
        <row r="325">
          <cell r="F325" t="str">
            <v>1.5YCOC1</v>
          </cell>
          <cell r="G325" t="str">
            <v>1-1.5 CONTAINER ON CALL</v>
          </cell>
          <cell r="H325">
            <v>34.229999999999997</v>
          </cell>
        </row>
        <row r="326">
          <cell r="F326" t="str">
            <v>RENT1.5TEMP-COM</v>
          </cell>
          <cell r="G326" t="str">
            <v>1.5 YD TEMP CONT RENTAL</v>
          </cell>
          <cell r="H326">
            <v>28.76</v>
          </cell>
        </row>
        <row r="327">
          <cell r="F327" t="str">
            <v>RENT1TEMP-COM</v>
          </cell>
          <cell r="G327" t="str">
            <v>1 YD TEMP CONT RENTAL</v>
          </cell>
          <cell r="H327">
            <v>25</v>
          </cell>
        </row>
        <row r="328">
          <cell r="F328" t="str">
            <v>RENT2-COM</v>
          </cell>
          <cell r="G328" t="str">
            <v>2 YD CONT RENTAL</v>
          </cell>
          <cell r="H328">
            <v>23.17</v>
          </cell>
        </row>
        <row r="329">
          <cell r="F329" t="str">
            <v>RENT2TEMP-COM</v>
          </cell>
          <cell r="G329" t="str">
            <v>2 YD TEMP CONT RENTAL</v>
          </cell>
          <cell r="H329">
            <v>33.64</v>
          </cell>
        </row>
        <row r="330">
          <cell r="F330" t="str">
            <v>RENT4-COM</v>
          </cell>
          <cell r="G330" t="str">
            <v>4 YD CONT RENTAL</v>
          </cell>
          <cell r="H330">
            <v>36.76</v>
          </cell>
        </row>
        <row r="331">
          <cell r="F331" t="str">
            <v>ROLL-COM</v>
          </cell>
          <cell r="G331" t="str">
            <v>ROLLOUT CONTAINER - COM</v>
          </cell>
          <cell r="H331">
            <v>3.76</v>
          </cell>
        </row>
        <row r="332">
          <cell r="F332" t="str">
            <v>ROLL1W-COM</v>
          </cell>
          <cell r="G332" t="str">
            <v>ROLL OUT FEE 1X WK</v>
          </cell>
          <cell r="H332">
            <v>16.28</v>
          </cell>
        </row>
        <row r="333">
          <cell r="F333" t="str">
            <v>ROLL2W-COM</v>
          </cell>
          <cell r="G333" t="str">
            <v>ROLL OUT FEE 2X WK</v>
          </cell>
          <cell r="H333">
            <v>32.56</v>
          </cell>
        </row>
        <row r="334">
          <cell r="F334" t="str">
            <v>ROLL3W-COM</v>
          </cell>
          <cell r="G334" t="str">
            <v>ROLL OUT FEE 3X WK</v>
          </cell>
          <cell r="H334">
            <v>48.84</v>
          </cell>
        </row>
        <row r="335">
          <cell r="F335" t="str">
            <v>ROLLEOW-COM</v>
          </cell>
          <cell r="G335" t="str">
            <v>ROLL OUT FEE EOW</v>
          </cell>
          <cell r="H335">
            <v>8.16</v>
          </cell>
        </row>
        <row r="336">
          <cell r="F336" t="str">
            <v>WI-COMM</v>
          </cell>
          <cell r="G336" t="str">
            <v>WALK IN - COMM</v>
          </cell>
          <cell r="H336">
            <v>4.07</v>
          </cell>
        </row>
        <row r="337">
          <cell r="F337" t="str">
            <v>WIE-COM</v>
          </cell>
          <cell r="G337" t="str">
            <v>WALK IN 6-25FT EOW</v>
          </cell>
          <cell r="H337">
            <v>2.04</v>
          </cell>
        </row>
        <row r="338">
          <cell r="F338" t="str">
            <v>20R1W1</v>
          </cell>
          <cell r="G338" t="str">
            <v>1-20GAL CAN WEEKLY</v>
          </cell>
          <cell r="H338">
            <v>16.88</v>
          </cell>
        </row>
        <row r="339">
          <cell r="F339" t="str">
            <v>32R1E1</v>
          </cell>
          <cell r="G339" t="str">
            <v>1-32GAL CAN EOW</v>
          </cell>
          <cell r="H339">
            <v>12.36</v>
          </cell>
        </row>
        <row r="340">
          <cell r="F340" t="str">
            <v>32R1M1</v>
          </cell>
          <cell r="G340" t="str">
            <v>1-32GAL CAN MONTHLY</v>
          </cell>
          <cell r="H340">
            <v>6.18</v>
          </cell>
        </row>
        <row r="341">
          <cell r="F341" t="str">
            <v>32R1OC</v>
          </cell>
          <cell r="G341" t="str">
            <v>1-32GAL CAN ON CALL</v>
          </cell>
          <cell r="H341">
            <v>6.18</v>
          </cell>
        </row>
        <row r="342">
          <cell r="F342" t="str">
            <v>32R1W1</v>
          </cell>
          <cell r="G342" t="str">
            <v>1-32GAL CAN WEEKLY</v>
          </cell>
          <cell r="H342">
            <v>19.54</v>
          </cell>
        </row>
        <row r="343">
          <cell r="F343" t="str">
            <v>32R1W2</v>
          </cell>
          <cell r="G343" t="str">
            <v>2-32GAL CANS WEEKLY</v>
          </cell>
          <cell r="H343">
            <v>26.77</v>
          </cell>
        </row>
        <row r="344">
          <cell r="F344" t="str">
            <v>32R1W3</v>
          </cell>
          <cell r="G344" t="str">
            <v>3-32GAL CANS WEEKLY</v>
          </cell>
          <cell r="H344">
            <v>34.880000000000003</v>
          </cell>
        </row>
        <row r="345">
          <cell r="F345" t="str">
            <v>32R1W4</v>
          </cell>
          <cell r="G345" t="str">
            <v>4-32GAL CANS WEEKLY</v>
          </cell>
          <cell r="H345">
            <v>42.46</v>
          </cell>
        </row>
        <row r="346">
          <cell r="F346" t="str">
            <v>32R1W5</v>
          </cell>
          <cell r="G346" t="str">
            <v>5-32 GAL CANS WKLY</v>
          </cell>
          <cell r="H346">
            <v>51.46</v>
          </cell>
        </row>
        <row r="347">
          <cell r="F347" t="str">
            <v>32R1W6</v>
          </cell>
          <cell r="G347" t="str">
            <v>6-32 GAL CANS WKLY</v>
          </cell>
          <cell r="H347">
            <v>61.1</v>
          </cell>
        </row>
        <row r="348">
          <cell r="F348" t="str">
            <v>45R1OC</v>
          </cell>
          <cell r="G348" t="str">
            <v>1-45 GAL CAN ON CALL</v>
          </cell>
          <cell r="H348">
            <v>6.18</v>
          </cell>
        </row>
        <row r="349">
          <cell r="F349" t="str">
            <v>45R1W1</v>
          </cell>
          <cell r="G349" t="str">
            <v>1-45 GAL CAN WKLY</v>
          </cell>
          <cell r="H349">
            <v>31.61</v>
          </cell>
        </row>
        <row r="350">
          <cell r="F350" t="str">
            <v>45RE1</v>
          </cell>
          <cell r="G350" t="str">
            <v>1-45 GAL EOW</v>
          </cell>
          <cell r="H350">
            <v>22.85</v>
          </cell>
        </row>
        <row r="351">
          <cell r="F351" t="str">
            <v>60R1M1</v>
          </cell>
          <cell r="G351" t="str">
            <v>1-60GAL CART MONTHLY</v>
          </cell>
          <cell r="H351">
            <v>33.99</v>
          </cell>
        </row>
        <row r="352">
          <cell r="F352" t="str">
            <v>60R1W1</v>
          </cell>
          <cell r="G352" t="str">
            <v>1-60GAL CART WEEKLY</v>
          </cell>
          <cell r="H352">
            <v>39.44</v>
          </cell>
        </row>
        <row r="353">
          <cell r="F353" t="str">
            <v>ACCESS-RES</v>
          </cell>
          <cell r="G353" t="str">
            <v>ACCESS/GATE CHARGE</v>
          </cell>
          <cell r="H353">
            <v>4.71</v>
          </cell>
        </row>
        <row r="354">
          <cell r="F354" t="str">
            <v>ACCESSEOW-RES</v>
          </cell>
          <cell r="G354" t="str">
            <v>ACCESS/GATE FEE EOW</v>
          </cell>
          <cell r="H354">
            <v>2.36</v>
          </cell>
        </row>
        <row r="355">
          <cell r="F355" t="str">
            <v>BULKY - RES</v>
          </cell>
          <cell r="G355" t="str">
            <v>BULKY ITEM PICK UP - RES</v>
          </cell>
          <cell r="H355">
            <v>17.739999999999998</v>
          </cell>
        </row>
        <row r="356">
          <cell r="F356" t="str">
            <v>DRIVEIN-RES</v>
          </cell>
          <cell r="G356" t="str">
            <v>DRIVE IN - RES</v>
          </cell>
          <cell r="H356">
            <v>2.71</v>
          </cell>
        </row>
        <row r="357">
          <cell r="F357" t="str">
            <v>DRIVEIN1-RES</v>
          </cell>
          <cell r="G357" t="str">
            <v>DRIVE IN UP TO 125FT - RES</v>
          </cell>
          <cell r="H357">
            <v>2.71</v>
          </cell>
        </row>
        <row r="358">
          <cell r="F358" t="str">
            <v>DRIVEIN2-RES</v>
          </cell>
          <cell r="G358" t="str">
            <v>DRIVE IN 125FT-150FT - RES</v>
          </cell>
          <cell r="H358">
            <v>5.41</v>
          </cell>
        </row>
        <row r="359">
          <cell r="F359" t="str">
            <v>DRIVEIN2WK-RES</v>
          </cell>
          <cell r="G359" t="str">
            <v>DRIVE IN 125FT-150FT</v>
          </cell>
          <cell r="H359">
            <v>5.41</v>
          </cell>
        </row>
        <row r="360">
          <cell r="F360" t="str">
            <v>EXTRA-RES</v>
          </cell>
          <cell r="G360" t="str">
            <v>EXTRA ITEM - RES</v>
          </cell>
          <cell r="H360">
            <v>4.54</v>
          </cell>
        </row>
        <row r="361">
          <cell r="F361" t="str">
            <v>OS - RES</v>
          </cell>
          <cell r="G361" t="str">
            <v>OVERSIZE CAN - RES</v>
          </cell>
          <cell r="H361">
            <v>4.34</v>
          </cell>
        </row>
        <row r="362">
          <cell r="F362" t="str">
            <v>OW-RES</v>
          </cell>
          <cell r="G362" t="str">
            <v>OVERFILL / OVERWEIGHT CAN</v>
          </cell>
          <cell r="H362">
            <v>4.34</v>
          </cell>
        </row>
        <row r="363">
          <cell r="F363" t="str">
            <v>SUNKENCAN-RES</v>
          </cell>
          <cell r="G363" t="str">
            <v>ABOVE/UNDER GROUND</v>
          </cell>
          <cell r="H363">
            <v>2.71</v>
          </cell>
        </row>
        <row r="364">
          <cell r="F364" t="str">
            <v>WI-RES</v>
          </cell>
          <cell r="G364" t="str">
            <v>WALK IN/CARRYOUT 5-25FT</v>
          </cell>
          <cell r="H364">
            <v>2.71</v>
          </cell>
        </row>
        <row r="365">
          <cell r="F365" t="str">
            <v>WI2-RES</v>
          </cell>
          <cell r="G365" t="str">
            <v>CARRYOUT OVER 25FT</v>
          </cell>
          <cell r="H365">
            <v>2.71</v>
          </cell>
        </row>
        <row r="366">
          <cell r="F366" t="str">
            <v>20YQCOMPC</v>
          </cell>
          <cell r="G366" t="str">
            <v>20YD COMP/CORR HAUL FEE</v>
          </cell>
          <cell r="H366">
            <v>294.08999999999997</v>
          </cell>
        </row>
        <row r="367">
          <cell r="F367" t="str">
            <v>40YCOMPT</v>
          </cell>
          <cell r="G367" t="str">
            <v>40YD COMP/TRASH HAUL FEE</v>
          </cell>
          <cell r="H367">
            <v>582.29999999999995</v>
          </cell>
        </row>
        <row r="368">
          <cell r="F368" t="str">
            <v>DEL-RO</v>
          </cell>
          <cell r="G368" t="str">
            <v>DELIVERY FEE - RO</v>
          </cell>
          <cell r="H368">
            <v>50.11</v>
          </cell>
        </row>
        <row r="369">
          <cell r="F369" t="str">
            <v>DISP-RO</v>
          </cell>
          <cell r="G369" t="str">
            <v>DISPOSAL CHARGE - RO</v>
          </cell>
          <cell r="H369">
            <v>71.16</v>
          </cell>
        </row>
        <row r="370">
          <cell r="F370" t="str">
            <v>HAUL10-RO</v>
          </cell>
          <cell r="G370" t="str">
            <v>HAUL 10 YD</v>
          </cell>
          <cell r="H370">
            <v>155.28</v>
          </cell>
        </row>
        <row r="371">
          <cell r="F371" t="str">
            <v>HAUL10ADD-RO</v>
          </cell>
          <cell r="G371" t="str">
            <v>ADDITIONAL 10 YD HAUL</v>
          </cell>
          <cell r="H371">
            <v>97.05</v>
          </cell>
        </row>
        <row r="372">
          <cell r="F372" t="str">
            <v>HAUL10P-RO</v>
          </cell>
          <cell r="G372" t="str">
            <v>HAUL 10 YD</v>
          </cell>
          <cell r="H372">
            <v>97.05</v>
          </cell>
        </row>
        <row r="373">
          <cell r="F373" t="str">
            <v>HAUL10TEMP-RO</v>
          </cell>
          <cell r="G373" t="str">
            <v>HAUL 10 YD TEMPORARY</v>
          </cell>
          <cell r="H373">
            <v>112.22</v>
          </cell>
        </row>
        <row r="374">
          <cell r="F374" t="str">
            <v>HAUL20-RO</v>
          </cell>
          <cell r="G374" t="str">
            <v>HAUL 20 YD</v>
          </cell>
          <cell r="H374">
            <v>155.28</v>
          </cell>
        </row>
        <row r="375">
          <cell r="F375" t="str">
            <v>HAUL20ADD-RO</v>
          </cell>
          <cell r="G375" t="str">
            <v>ADDITIONAL 20 YD HAUL</v>
          </cell>
          <cell r="H375">
            <v>97.05</v>
          </cell>
        </row>
        <row r="376">
          <cell r="F376" t="str">
            <v>HAUL20P-RO</v>
          </cell>
          <cell r="G376" t="str">
            <v>HAUL 20 YD</v>
          </cell>
          <cell r="H376">
            <v>97.05</v>
          </cell>
        </row>
        <row r="377">
          <cell r="F377" t="str">
            <v>HAUL20TEMP-RO</v>
          </cell>
          <cell r="G377" t="str">
            <v>HAUL 20 YD TEMPORARY</v>
          </cell>
          <cell r="H377">
            <v>112.22</v>
          </cell>
        </row>
        <row r="378">
          <cell r="F378" t="str">
            <v>HAUL30-RO</v>
          </cell>
          <cell r="G378" t="str">
            <v>HAUL 30 YD</v>
          </cell>
          <cell r="H378">
            <v>280.56</v>
          </cell>
        </row>
        <row r="379">
          <cell r="F379" t="str">
            <v>HAUL30ADD-RO</v>
          </cell>
          <cell r="G379" t="str">
            <v>ADDITIONAL 30 YD HAUL</v>
          </cell>
          <cell r="H379">
            <v>121.75</v>
          </cell>
        </row>
        <row r="380">
          <cell r="F380" t="str">
            <v>HAUL30P-RO</v>
          </cell>
          <cell r="G380" t="str">
            <v>HAUL 30 YD</v>
          </cell>
          <cell r="H380">
            <v>121.75</v>
          </cell>
        </row>
        <row r="381">
          <cell r="F381" t="str">
            <v>HAUL30TEMP-RO</v>
          </cell>
          <cell r="G381" t="str">
            <v>HAUL 30 YD TEMPORARY</v>
          </cell>
          <cell r="H381">
            <v>162.1</v>
          </cell>
        </row>
        <row r="382">
          <cell r="F382" t="str">
            <v>QDEL</v>
          </cell>
          <cell r="G382" t="str">
            <v>DROP BOX DELIVERY</v>
          </cell>
          <cell r="H382">
            <v>50.11</v>
          </cell>
        </row>
        <row r="383">
          <cell r="F383" t="str">
            <v>QMILE</v>
          </cell>
          <cell r="G383" t="str">
            <v>MILEAGE CHARGE</v>
          </cell>
          <cell r="H383">
            <v>4.3499999999999996</v>
          </cell>
        </row>
        <row r="384">
          <cell r="F384" t="str">
            <v>QRENT</v>
          </cell>
          <cell r="G384" t="str">
            <v>MONTHLY DROP BOX RENTAL</v>
          </cell>
          <cell r="H384">
            <v>124.69</v>
          </cell>
        </row>
        <row r="385">
          <cell r="F385" t="str">
            <v>RENT10DAY-RO</v>
          </cell>
          <cell r="G385" t="str">
            <v>RENTAL 10 YD TEMP</v>
          </cell>
          <cell r="H385">
            <v>8.1199999999999992</v>
          </cell>
        </row>
        <row r="386">
          <cell r="F386" t="str">
            <v>RENT10MO-RO</v>
          </cell>
          <cell r="G386" t="str">
            <v>RENTAL 10 YD</v>
          </cell>
          <cell r="H386">
            <v>49.5</v>
          </cell>
        </row>
        <row r="387">
          <cell r="F387" t="str">
            <v>RENT10TEMP-RO</v>
          </cell>
          <cell r="G387" t="str">
            <v>RENTAL 10 YD TEMP</v>
          </cell>
          <cell r="H387">
            <v>124.69</v>
          </cell>
        </row>
        <row r="388">
          <cell r="F388" t="str">
            <v>RENT20DAY-RO</v>
          </cell>
          <cell r="G388" t="str">
            <v>RENTAL 20 YD TEMP</v>
          </cell>
          <cell r="H388">
            <v>8.1199999999999992</v>
          </cell>
        </row>
        <row r="389">
          <cell r="F389" t="str">
            <v>RENT20MO-RO</v>
          </cell>
          <cell r="G389" t="str">
            <v>RENTAL 20 YD</v>
          </cell>
          <cell r="H389">
            <v>49.5</v>
          </cell>
        </row>
        <row r="390">
          <cell r="F390" t="str">
            <v>RENT20TEMP-RO</v>
          </cell>
          <cell r="G390" t="str">
            <v>RENTAL 20 YD TEMP</v>
          </cell>
          <cell r="H390">
            <v>124.69</v>
          </cell>
        </row>
        <row r="391">
          <cell r="F391" t="str">
            <v>RENT30DAY-RO</v>
          </cell>
          <cell r="G391" t="str">
            <v>RENTAL 30 YD TEMP</v>
          </cell>
          <cell r="H391">
            <v>8.1199999999999992</v>
          </cell>
        </row>
        <row r="392">
          <cell r="F392" t="str">
            <v>RENT30MO-RO</v>
          </cell>
          <cell r="G392" t="str">
            <v>RENTAL 30 YD</v>
          </cell>
          <cell r="H392">
            <v>135</v>
          </cell>
        </row>
        <row r="393">
          <cell r="F393" t="str">
            <v>RENT30TEMP-RO</v>
          </cell>
          <cell r="G393" t="str">
            <v>RENTAL 30 YD TEMP</v>
          </cell>
          <cell r="H393">
            <v>124.69</v>
          </cell>
        </row>
        <row r="394">
          <cell r="F394" t="str">
            <v>1.5YCOC1</v>
          </cell>
          <cell r="G394" t="str">
            <v>1-1.5 CONTAINER ON CALL</v>
          </cell>
          <cell r="H394">
            <v>34.229999999999997</v>
          </cell>
        </row>
        <row r="395">
          <cell r="F395" t="str">
            <v>1YCOC1</v>
          </cell>
          <cell r="G395" t="str">
            <v>1-1YD CONTAINER ON CALL</v>
          </cell>
          <cell r="H395">
            <v>23.27</v>
          </cell>
        </row>
        <row r="396">
          <cell r="F396" t="str">
            <v>1.5YCOC1</v>
          </cell>
          <cell r="G396" t="str">
            <v>1-1.5 CONTAINER ON CALL</v>
          </cell>
          <cell r="H396">
            <v>34.229999999999997</v>
          </cell>
        </row>
        <row r="397">
          <cell r="F397" t="str">
            <v>32C1E1</v>
          </cell>
          <cell r="G397" t="str">
            <v>1-32GAL CAN EOW</v>
          </cell>
          <cell r="H397">
            <v>19.16</v>
          </cell>
        </row>
        <row r="398">
          <cell r="F398" t="str">
            <v>32C1M1</v>
          </cell>
          <cell r="G398" t="str">
            <v>1-32GAL CAN 1 X MONTHLY</v>
          </cell>
          <cell r="H398">
            <v>19.16</v>
          </cell>
        </row>
        <row r="399">
          <cell r="F399" t="str">
            <v>32C1OC</v>
          </cell>
          <cell r="G399" t="str">
            <v>1-32GAL CAN ON CALL</v>
          </cell>
          <cell r="H399">
            <v>5.35</v>
          </cell>
        </row>
        <row r="400">
          <cell r="F400" t="str">
            <v>32C1W1</v>
          </cell>
          <cell r="G400" t="str">
            <v>1-32GAL COMM 1 X WEEKLY</v>
          </cell>
          <cell r="H400">
            <v>19.16</v>
          </cell>
        </row>
        <row r="401">
          <cell r="F401" t="str">
            <v>32C1W2</v>
          </cell>
          <cell r="G401" t="str">
            <v>2-32GAL CANS WEEKLY</v>
          </cell>
          <cell r="H401">
            <v>38.28</v>
          </cell>
        </row>
        <row r="402">
          <cell r="F402" t="str">
            <v>32C1W3</v>
          </cell>
          <cell r="G402" t="str">
            <v>3-32GAL CANS WEEKLY</v>
          </cell>
          <cell r="H402">
            <v>57.42</v>
          </cell>
        </row>
        <row r="403">
          <cell r="F403" t="str">
            <v>32C1W4</v>
          </cell>
          <cell r="G403" t="str">
            <v>4-32GAL CANS 1 X WEEKLY</v>
          </cell>
          <cell r="H403">
            <v>76.55</v>
          </cell>
        </row>
        <row r="404">
          <cell r="F404" t="str">
            <v>45C1M1</v>
          </cell>
          <cell r="G404" t="str">
            <v>1-45 GAL COM CAN MONTHLY</v>
          </cell>
          <cell r="H404">
            <v>31.59</v>
          </cell>
        </row>
        <row r="405">
          <cell r="F405" t="str">
            <v>45C1W1</v>
          </cell>
          <cell r="G405" t="str">
            <v>45 GL 1X WK 1 COM</v>
          </cell>
          <cell r="H405">
            <v>31.59</v>
          </cell>
        </row>
        <row r="406">
          <cell r="F406" t="str">
            <v>ACCESS1W-COM</v>
          </cell>
          <cell r="G406" t="str">
            <v>ACCESS/GATE FEE 1X WK</v>
          </cell>
          <cell r="H406">
            <v>4.71</v>
          </cell>
        </row>
        <row r="407">
          <cell r="F407" t="str">
            <v>ACCESS2W-COM</v>
          </cell>
          <cell r="G407" t="str">
            <v>ACCESS/GATE FEE 2X WK</v>
          </cell>
          <cell r="H407">
            <v>9.42</v>
          </cell>
        </row>
        <row r="408">
          <cell r="F408" t="str">
            <v>ACCESS3W-COM</v>
          </cell>
          <cell r="G408" t="str">
            <v>ACCESS/GATE FEE 3X WK</v>
          </cell>
          <cell r="H408">
            <v>14.13</v>
          </cell>
        </row>
        <row r="409">
          <cell r="F409" t="str">
            <v>ACCESSEOW-COM</v>
          </cell>
          <cell r="G409" t="str">
            <v>ACCESS/GATE FEE EOW</v>
          </cell>
          <cell r="H409">
            <v>2.36</v>
          </cell>
        </row>
        <row r="410">
          <cell r="F410" t="str">
            <v>BULKY - COMM</v>
          </cell>
          <cell r="G410" t="str">
            <v>BULKY ITEM PICK UP - COMM</v>
          </cell>
          <cell r="H410">
            <v>17.739999999999998</v>
          </cell>
        </row>
        <row r="411">
          <cell r="F411" t="str">
            <v>CLOCK</v>
          </cell>
          <cell r="G411" t="str">
            <v>COMM LOCK CHARGE</v>
          </cell>
          <cell r="H411">
            <v>2.94</v>
          </cell>
        </row>
        <row r="412">
          <cell r="F412" t="str">
            <v>CLOCK2W</v>
          </cell>
          <cell r="G412" t="str">
            <v>LOCK CHARGE 2X WK</v>
          </cell>
          <cell r="H412">
            <v>5.88</v>
          </cell>
        </row>
        <row r="413">
          <cell r="F413" t="str">
            <v>CLOCKE</v>
          </cell>
          <cell r="G413" t="str">
            <v>LOCK CHARGE EOW</v>
          </cell>
          <cell r="H413">
            <v>1.91</v>
          </cell>
        </row>
        <row r="414">
          <cell r="F414" t="str">
            <v>CTRIP</v>
          </cell>
          <cell r="G414" t="str">
            <v>SPECIAL OFF RTE TRIP FEE</v>
          </cell>
          <cell r="H414">
            <v>88.82</v>
          </cell>
        </row>
        <row r="415">
          <cell r="F415" t="str">
            <v>DEL1-COM</v>
          </cell>
          <cell r="G415" t="str">
            <v>DELIVER 1 YD</v>
          </cell>
          <cell r="H415">
            <v>14.94</v>
          </cell>
        </row>
        <row r="416">
          <cell r="F416" t="str">
            <v>DEL1.5-COM</v>
          </cell>
          <cell r="G416" t="str">
            <v>DELIVER 1.5 YD</v>
          </cell>
          <cell r="H416">
            <v>15.82</v>
          </cell>
        </row>
        <row r="417">
          <cell r="F417" t="str">
            <v>DEL2-COM</v>
          </cell>
          <cell r="G417" t="str">
            <v>DELIVER 2 YD</v>
          </cell>
          <cell r="H417">
            <v>16.760000000000002</v>
          </cell>
        </row>
        <row r="418">
          <cell r="F418" t="str">
            <v>DEL3-COM</v>
          </cell>
          <cell r="G418" t="str">
            <v>DELIVER 3 YD</v>
          </cell>
          <cell r="H418">
            <v>19.59</v>
          </cell>
        </row>
        <row r="419">
          <cell r="F419" t="str">
            <v>DEL4-COM</v>
          </cell>
          <cell r="G419" t="str">
            <v>DELIVER 4 YD</v>
          </cell>
          <cell r="H419">
            <v>21.82</v>
          </cell>
        </row>
        <row r="420">
          <cell r="F420" t="str">
            <v>DEL6-COM</v>
          </cell>
          <cell r="G420" t="str">
            <v>DELIVER 6 YD</v>
          </cell>
          <cell r="H420">
            <v>20.55</v>
          </cell>
        </row>
        <row r="421">
          <cell r="F421" t="str">
            <v>DRIVEIN1-COM</v>
          </cell>
          <cell r="G421" t="str">
            <v>DRIVE IN UP TO 125FT - COM</v>
          </cell>
          <cell r="H421">
            <v>0.94</v>
          </cell>
        </row>
        <row r="422">
          <cell r="F422" t="str">
            <v>DRIVEIN2-COM</v>
          </cell>
          <cell r="G422" t="str">
            <v>DRIVE IN 125FT-150FT - COM</v>
          </cell>
          <cell r="H422">
            <v>2</v>
          </cell>
        </row>
        <row r="423">
          <cell r="F423" t="str">
            <v>DRIVEIN2WK-COM</v>
          </cell>
          <cell r="G423" t="str">
            <v>DRIVE IN 125FT-150FT</v>
          </cell>
          <cell r="H423">
            <v>8.66</v>
          </cell>
        </row>
        <row r="424">
          <cell r="F424" t="str">
            <v>EXTRA-COMM</v>
          </cell>
          <cell r="G424" t="str">
            <v>EXTRA ITEM - COM</v>
          </cell>
          <cell r="H424">
            <v>4.42</v>
          </cell>
        </row>
        <row r="425">
          <cell r="F425" t="str">
            <v>OS - COMM</v>
          </cell>
          <cell r="G425" t="str">
            <v>OVERSIZE CAN - COMM</v>
          </cell>
          <cell r="H425">
            <v>4.34</v>
          </cell>
        </row>
        <row r="426">
          <cell r="F426" t="str">
            <v>OW-COMM</v>
          </cell>
          <cell r="G426" t="str">
            <v>OVERFILL/OVERWEIGHT CAN -</v>
          </cell>
          <cell r="H426">
            <v>4.34</v>
          </cell>
        </row>
        <row r="427">
          <cell r="F427" t="str">
            <v>P1.5YC1W1</v>
          </cell>
          <cell r="G427" t="str">
            <v>1-1.5YD CONT 1 X WEEKLY</v>
          </cell>
          <cell r="H427">
            <v>107.17</v>
          </cell>
        </row>
        <row r="428">
          <cell r="F428" t="str">
            <v>P1.5YC1W2</v>
          </cell>
          <cell r="G428" t="str">
            <v>2-1.5YD CONT 1 X WEEKLY</v>
          </cell>
          <cell r="H428">
            <v>214.34</v>
          </cell>
        </row>
        <row r="429">
          <cell r="F429" t="str">
            <v>P1.5YC2W1</v>
          </cell>
          <cell r="G429" t="str">
            <v>1-1.5YD CONT 2 X WEEKLY</v>
          </cell>
          <cell r="H429">
            <v>214.34</v>
          </cell>
        </row>
        <row r="430">
          <cell r="F430" t="str">
            <v>P1.5YC3W1</v>
          </cell>
          <cell r="G430" t="str">
            <v>1-1.5YD CONT 3 X WEEKLY</v>
          </cell>
          <cell r="H430">
            <v>321.5</v>
          </cell>
        </row>
        <row r="431">
          <cell r="F431" t="str">
            <v>P1.5YC3W2</v>
          </cell>
          <cell r="G431" t="str">
            <v>2-1.5YD CONT 3 X WEEKLY</v>
          </cell>
          <cell r="H431">
            <v>643.01</v>
          </cell>
        </row>
        <row r="432">
          <cell r="F432" t="str">
            <v>P1.5YCE1</v>
          </cell>
          <cell r="G432" t="str">
            <v>1-1.5YD CONT EOW</v>
          </cell>
          <cell r="H432">
            <v>53.71</v>
          </cell>
        </row>
        <row r="433">
          <cell r="F433" t="str">
            <v>P1YC1W1</v>
          </cell>
          <cell r="G433" t="str">
            <v>1-1YD CONT 1 X WEEKLY</v>
          </cell>
          <cell r="H433">
            <v>72.7</v>
          </cell>
        </row>
        <row r="434">
          <cell r="F434" t="str">
            <v>P1YC1W2</v>
          </cell>
          <cell r="G434" t="str">
            <v>2-1YD CONT. 1 X WEEKLY</v>
          </cell>
          <cell r="H434">
            <v>145.4</v>
          </cell>
        </row>
        <row r="435">
          <cell r="F435" t="str">
            <v>P1YC2W1</v>
          </cell>
          <cell r="G435" t="str">
            <v>1-1YD CONT 2X WKLY</v>
          </cell>
          <cell r="H435">
            <v>145.4</v>
          </cell>
        </row>
        <row r="436">
          <cell r="F436" t="str">
            <v>P1YCE1</v>
          </cell>
          <cell r="G436" t="str">
            <v>1-1YD CONT EOW</v>
          </cell>
          <cell r="H436">
            <v>36.43</v>
          </cell>
        </row>
        <row r="437">
          <cell r="F437" t="str">
            <v>P2YC1W1</v>
          </cell>
          <cell r="G437" t="str">
            <v>1-2YD CONT 1 X WEEKLY</v>
          </cell>
          <cell r="H437">
            <v>139.99</v>
          </cell>
        </row>
        <row r="438">
          <cell r="F438" t="str">
            <v>P2YC1W2</v>
          </cell>
          <cell r="G438" t="str">
            <v>2-2YD CONT. 1 X WEEKLY</v>
          </cell>
          <cell r="H438">
            <v>279.98</v>
          </cell>
        </row>
        <row r="439">
          <cell r="F439" t="str">
            <v>P2YC1W3</v>
          </cell>
          <cell r="G439" t="str">
            <v>3-2YD CONT. 1 X WEEKLY</v>
          </cell>
          <cell r="H439">
            <v>419.97</v>
          </cell>
        </row>
        <row r="440">
          <cell r="F440" t="str">
            <v>P2YC1W4</v>
          </cell>
          <cell r="G440" t="str">
            <v>4-2YD CONT 1X WKLY</v>
          </cell>
          <cell r="H440">
            <v>559.96</v>
          </cell>
        </row>
        <row r="441">
          <cell r="F441" t="str">
            <v>P2YC1W7</v>
          </cell>
          <cell r="G441" t="str">
            <v>7-2YD CONT 1X WKLY</v>
          </cell>
          <cell r="H441">
            <v>979.92</v>
          </cell>
        </row>
        <row r="442">
          <cell r="F442" t="str">
            <v>P2YC2W1</v>
          </cell>
          <cell r="G442" t="str">
            <v>1-2YD CONT 2  X WEEKLY</v>
          </cell>
          <cell r="H442">
            <v>279.98</v>
          </cell>
        </row>
        <row r="443">
          <cell r="F443" t="str">
            <v>P2YC2W2</v>
          </cell>
          <cell r="G443" t="str">
            <v>2-2YD CONT 2X WKLY</v>
          </cell>
          <cell r="H443">
            <v>559.96</v>
          </cell>
        </row>
        <row r="444">
          <cell r="F444" t="str">
            <v>P2YC2W3</v>
          </cell>
          <cell r="G444" t="str">
            <v>3-2YD CONT 2X WKLY</v>
          </cell>
          <cell r="H444">
            <v>839.93</v>
          </cell>
        </row>
        <row r="445">
          <cell r="F445" t="str">
            <v>P2YC2W7</v>
          </cell>
          <cell r="G445" t="str">
            <v>7-2YD CONT 2X WKLY</v>
          </cell>
          <cell r="H445">
            <v>1959.84</v>
          </cell>
        </row>
        <row r="446">
          <cell r="F446" t="str">
            <v>P2YC3W1</v>
          </cell>
          <cell r="G446" t="str">
            <v>1-2YD CONT. 3 X WEEKLY</v>
          </cell>
          <cell r="H446">
            <v>419.97</v>
          </cell>
        </row>
        <row r="447">
          <cell r="F447" t="str">
            <v>P2YC3W2</v>
          </cell>
          <cell r="G447" t="str">
            <v>2-2YD CONT. 3 X WEEKLY</v>
          </cell>
          <cell r="H447">
            <v>839.93</v>
          </cell>
        </row>
        <row r="448">
          <cell r="F448" t="str">
            <v>P2YC4W1</v>
          </cell>
          <cell r="G448" t="str">
            <v>1-2YD CONT. 4 X WEEKLY</v>
          </cell>
          <cell r="H448">
            <v>559.96</v>
          </cell>
        </row>
        <row r="449">
          <cell r="F449" t="str">
            <v>P2YCE1</v>
          </cell>
          <cell r="G449" t="str">
            <v>1-2YD CONT EOW</v>
          </cell>
          <cell r="H449">
            <v>70.16</v>
          </cell>
        </row>
        <row r="450">
          <cell r="F450" t="str">
            <v>P4YC1W1</v>
          </cell>
          <cell r="G450" t="str">
            <v>1-4YD CONT. 1 X WEEKLY</v>
          </cell>
          <cell r="H450">
            <v>235.68</v>
          </cell>
        </row>
        <row r="451">
          <cell r="F451" t="str">
            <v>P4YCE1</v>
          </cell>
          <cell r="G451" t="str">
            <v>1-4YD CONT. EOW</v>
          </cell>
          <cell r="H451">
            <v>118.11</v>
          </cell>
        </row>
        <row r="452">
          <cell r="F452" t="str">
            <v>R1.5TC-COM</v>
          </cell>
          <cell r="G452" t="str">
            <v>1.5 YD TEMP CONT PICKUP</v>
          </cell>
          <cell r="H452">
            <v>34.24</v>
          </cell>
        </row>
        <row r="453">
          <cell r="F453" t="str">
            <v>R1TC-COM</v>
          </cell>
          <cell r="G453" t="str">
            <v>1 YD TEMP CONT PICKUP</v>
          </cell>
          <cell r="H453">
            <v>23.28</v>
          </cell>
        </row>
        <row r="454">
          <cell r="F454" t="str">
            <v>R2TC-COMM</v>
          </cell>
          <cell r="G454" t="str">
            <v>2 YD TEMP CONT PICKUP</v>
          </cell>
          <cell r="H454">
            <v>45.07</v>
          </cell>
        </row>
        <row r="455">
          <cell r="F455" t="str">
            <v>REINSTATE-COMM</v>
          </cell>
          <cell r="G455" t="str">
            <v>REINSTATE FEE-COMM</v>
          </cell>
          <cell r="H455">
            <v>13.94</v>
          </cell>
        </row>
        <row r="456">
          <cell r="F456" t="str">
            <v>RENT1-COM</v>
          </cell>
          <cell r="G456" t="str">
            <v>1 YD CONT RENTAL</v>
          </cell>
          <cell r="H456">
            <v>16.059999999999999</v>
          </cell>
        </row>
        <row r="457">
          <cell r="F457" t="str">
            <v>P1YC2W1</v>
          </cell>
          <cell r="G457" t="str">
            <v>1-1YD CONT 2X WKLY</v>
          </cell>
          <cell r="H457">
            <v>145.4</v>
          </cell>
        </row>
        <row r="458">
          <cell r="F458" t="str">
            <v>RENT1.5TEMP-COM</v>
          </cell>
          <cell r="G458" t="str">
            <v>1.5 YD TEMP CONT RENTAL</v>
          </cell>
          <cell r="H458">
            <v>28.76</v>
          </cell>
        </row>
        <row r="459">
          <cell r="F459" t="str">
            <v>RENT1TEMP-COM</v>
          </cell>
          <cell r="G459" t="str">
            <v>1 YD TEMP CONT RENTAL</v>
          </cell>
          <cell r="H459">
            <v>25</v>
          </cell>
        </row>
        <row r="460">
          <cell r="F460" t="str">
            <v>RENT2-COM</v>
          </cell>
          <cell r="G460" t="str">
            <v>2 YD CONT RENTAL</v>
          </cell>
          <cell r="H460">
            <v>23.17</v>
          </cell>
        </row>
        <row r="461">
          <cell r="F461" t="str">
            <v>RENT2TEMP-COM</v>
          </cell>
          <cell r="G461" t="str">
            <v>2 YD TEMP CONT RENTAL</v>
          </cell>
          <cell r="H461">
            <v>33.64</v>
          </cell>
        </row>
        <row r="462">
          <cell r="F462" t="str">
            <v>RENT4-COM</v>
          </cell>
          <cell r="G462" t="str">
            <v>4 YD CONT RENTAL</v>
          </cell>
          <cell r="H462">
            <v>36.76</v>
          </cell>
        </row>
        <row r="463">
          <cell r="F463" t="str">
            <v>ROLL-COM</v>
          </cell>
          <cell r="G463" t="str">
            <v>ROLLOUT CONTAINER - COM</v>
          </cell>
          <cell r="H463">
            <v>3.76</v>
          </cell>
        </row>
        <row r="464">
          <cell r="F464" t="str">
            <v>ROLL1W-COM</v>
          </cell>
          <cell r="G464" t="str">
            <v>ROLL OUT FEE 1X WK</v>
          </cell>
          <cell r="H464">
            <v>16.28</v>
          </cell>
        </row>
        <row r="465">
          <cell r="F465" t="str">
            <v>ROLL2W-COM</v>
          </cell>
          <cell r="G465" t="str">
            <v>ROLL OUT FEE 2X WK</v>
          </cell>
          <cell r="H465">
            <v>32.56</v>
          </cell>
        </row>
        <row r="466">
          <cell r="F466" t="str">
            <v>ROLL3W-COM</v>
          </cell>
          <cell r="G466" t="str">
            <v>ROLL OUT FEE 3X WK</v>
          </cell>
          <cell r="H466">
            <v>48.84</v>
          </cell>
        </row>
        <row r="467">
          <cell r="F467" t="str">
            <v>ROLLEOW-COM</v>
          </cell>
          <cell r="G467" t="str">
            <v>ROLL OUT FEE EOW</v>
          </cell>
          <cell r="H467">
            <v>8.16</v>
          </cell>
        </row>
        <row r="468">
          <cell r="F468" t="str">
            <v>WI-COMM</v>
          </cell>
          <cell r="G468" t="str">
            <v>WALK IN - COMM</v>
          </cell>
          <cell r="H468">
            <v>4.07</v>
          </cell>
        </row>
        <row r="469">
          <cell r="F469" t="str">
            <v>WIE-COM</v>
          </cell>
          <cell r="G469" t="str">
            <v>WALK IN 6-25FT EOW</v>
          </cell>
          <cell r="H469">
            <v>2.04</v>
          </cell>
        </row>
        <row r="470">
          <cell r="F470" t="str">
            <v>20R1W1</v>
          </cell>
          <cell r="G470" t="str">
            <v>1-20GAL CAN WEEKLY</v>
          </cell>
          <cell r="H470">
            <v>16.88</v>
          </cell>
        </row>
        <row r="471">
          <cell r="F471" t="str">
            <v>32R1E1</v>
          </cell>
          <cell r="G471" t="str">
            <v>1-32GAL CAN EOW</v>
          </cell>
          <cell r="H471">
            <v>12.36</v>
          </cell>
        </row>
        <row r="472">
          <cell r="F472" t="str">
            <v>32R1M1</v>
          </cell>
          <cell r="G472" t="str">
            <v>1-32GAL CAN MONTHLY</v>
          </cell>
          <cell r="H472">
            <v>6.18</v>
          </cell>
        </row>
        <row r="473">
          <cell r="F473" t="str">
            <v>32R1OC</v>
          </cell>
          <cell r="G473" t="str">
            <v>1-32GAL CAN ON CALL</v>
          </cell>
          <cell r="H473">
            <v>6.18</v>
          </cell>
        </row>
        <row r="474">
          <cell r="F474" t="str">
            <v>32R1W1</v>
          </cell>
          <cell r="G474" t="str">
            <v>1-32GAL CAN WEEKLY</v>
          </cell>
          <cell r="H474">
            <v>19.54</v>
          </cell>
        </row>
        <row r="475">
          <cell r="F475" t="str">
            <v>32R1W2</v>
          </cell>
          <cell r="G475" t="str">
            <v>2-32GAL CANS WEEKLY</v>
          </cell>
          <cell r="H475">
            <v>26.77</v>
          </cell>
        </row>
        <row r="476">
          <cell r="F476" t="str">
            <v>32R1W3</v>
          </cell>
          <cell r="G476" t="str">
            <v>3-32GAL CANS WEEKLY</v>
          </cell>
          <cell r="H476">
            <v>34.880000000000003</v>
          </cell>
        </row>
        <row r="477">
          <cell r="F477" t="str">
            <v>32R1W4</v>
          </cell>
          <cell r="G477" t="str">
            <v>4-32GAL CANS WEEKLY</v>
          </cell>
          <cell r="H477">
            <v>42.46</v>
          </cell>
        </row>
        <row r="478">
          <cell r="F478" t="str">
            <v>32R1W5</v>
          </cell>
          <cell r="G478" t="str">
            <v>5-32 GAL CANS WKLY</v>
          </cell>
          <cell r="H478">
            <v>51.46</v>
          </cell>
        </row>
        <row r="479">
          <cell r="F479" t="str">
            <v>32R1W6</v>
          </cell>
          <cell r="G479" t="str">
            <v>6-32 GAL CANS WKLY</v>
          </cell>
          <cell r="H479">
            <v>61.1</v>
          </cell>
        </row>
        <row r="480">
          <cell r="F480" t="str">
            <v>45R1OC</v>
          </cell>
          <cell r="G480" t="str">
            <v>1-45 GAL CAN ON CALL</v>
          </cell>
          <cell r="H480">
            <v>6.18</v>
          </cell>
        </row>
        <row r="481">
          <cell r="F481" t="str">
            <v>45R1W1</v>
          </cell>
          <cell r="G481" t="str">
            <v>1-45 GAL CAN WKLY</v>
          </cell>
          <cell r="H481">
            <v>31.61</v>
          </cell>
        </row>
        <row r="482">
          <cell r="F482" t="str">
            <v>45RE1</v>
          </cell>
          <cell r="G482" t="str">
            <v>1-45 GAL EOW</v>
          </cell>
          <cell r="H482">
            <v>22.85</v>
          </cell>
        </row>
        <row r="483">
          <cell r="F483" t="str">
            <v>60R1M1</v>
          </cell>
          <cell r="G483" t="str">
            <v>1-60GAL CART MONTHLY</v>
          </cell>
          <cell r="H483">
            <v>33.99</v>
          </cell>
        </row>
        <row r="484">
          <cell r="F484" t="str">
            <v>60R1W1</v>
          </cell>
          <cell r="G484" t="str">
            <v>1-60GAL CART WEEKLY</v>
          </cell>
          <cell r="H484">
            <v>39.44</v>
          </cell>
        </row>
        <row r="485">
          <cell r="F485" t="str">
            <v>ACCESS-RES</v>
          </cell>
          <cell r="G485" t="str">
            <v>ACCESS/GATE CHARGE</v>
          </cell>
          <cell r="H485">
            <v>4.71</v>
          </cell>
        </row>
        <row r="486">
          <cell r="F486" t="str">
            <v>ACCESSEOW-RES</v>
          </cell>
          <cell r="G486" t="str">
            <v>ACCESS/GATE FEE EOW</v>
          </cell>
          <cell r="H486">
            <v>2.36</v>
          </cell>
        </row>
        <row r="487">
          <cell r="F487" t="str">
            <v>BULKY - RES</v>
          </cell>
          <cell r="G487" t="str">
            <v>BULKY ITEM PICK UP - RES</v>
          </cell>
          <cell r="H487">
            <v>17.739999999999998</v>
          </cell>
        </row>
        <row r="488">
          <cell r="F488" t="str">
            <v>DRIVEIN-RES</v>
          </cell>
          <cell r="G488" t="str">
            <v>DRIVE IN - RES</v>
          </cell>
          <cell r="H488">
            <v>2.71</v>
          </cell>
        </row>
        <row r="489">
          <cell r="F489" t="str">
            <v>DRIVEIN1-RES</v>
          </cell>
          <cell r="G489" t="str">
            <v>DRIVE IN UP TO 125FT - RES</v>
          </cell>
          <cell r="H489">
            <v>2.71</v>
          </cell>
        </row>
        <row r="490">
          <cell r="F490" t="str">
            <v>DRIVEIN2-RES</v>
          </cell>
          <cell r="G490" t="str">
            <v>DRIVE IN 125FT-150FT - RES</v>
          </cell>
          <cell r="H490">
            <v>5.41</v>
          </cell>
        </row>
        <row r="491">
          <cell r="F491" t="str">
            <v>DRIVEIN2WK-RES</v>
          </cell>
          <cell r="G491" t="str">
            <v>DRIVE IN 125FT-150FT</v>
          </cell>
          <cell r="H491">
            <v>5.41</v>
          </cell>
        </row>
        <row r="492">
          <cell r="F492" t="str">
            <v>EXTRA-RES</v>
          </cell>
          <cell r="G492" t="str">
            <v>EXTRA ITEM - RES</v>
          </cell>
          <cell r="H492">
            <v>4.54</v>
          </cell>
        </row>
        <row r="493">
          <cell r="F493" t="str">
            <v>OS - RES</v>
          </cell>
          <cell r="G493" t="str">
            <v>OVERSIZE CAN - RES</v>
          </cell>
          <cell r="H493">
            <v>4.34</v>
          </cell>
        </row>
        <row r="494">
          <cell r="F494" t="str">
            <v>OW-RES</v>
          </cell>
          <cell r="G494" t="str">
            <v>OVERFILL / OVERWEIGHT CAN</v>
          </cell>
          <cell r="H494">
            <v>4.34</v>
          </cell>
        </row>
        <row r="495">
          <cell r="F495" t="str">
            <v>RTRIP</v>
          </cell>
          <cell r="G495" t="str">
            <v>SPECIAL OFF RTE TRIP FEE</v>
          </cell>
          <cell r="H495">
            <v>88.82</v>
          </cell>
        </row>
        <row r="496">
          <cell r="F496" t="str">
            <v>SUNKENCAN-RES</v>
          </cell>
          <cell r="G496" t="str">
            <v>ABOVE/UNDER GROUND</v>
          </cell>
          <cell r="H496">
            <v>2.71</v>
          </cell>
        </row>
        <row r="497">
          <cell r="F497" t="str">
            <v>WI-RES</v>
          </cell>
          <cell r="G497" t="str">
            <v>WALK IN/CARRYOUT 5-25FT</v>
          </cell>
          <cell r="H497">
            <v>2.71</v>
          </cell>
        </row>
        <row r="498">
          <cell r="F498" t="str">
            <v>WI2-RES</v>
          </cell>
          <cell r="G498" t="str">
            <v>CARRYOUT OVER 25FT</v>
          </cell>
          <cell r="H498">
            <v>2.71</v>
          </cell>
        </row>
        <row r="499">
          <cell r="F499" t="str">
            <v>20YQCOMPC</v>
          </cell>
          <cell r="G499" t="str">
            <v>20YD COMP/CORR HAUL FEE</v>
          </cell>
          <cell r="H499">
            <v>294.08999999999997</v>
          </cell>
        </row>
        <row r="500">
          <cell r="F500" t="str">
            <v>40YCOMPT</v>
          </cell>
          <cell r="G500" t="str">
            <v>40YD COMP/TRASH HAUL FEE</v>
          </cell>
          <cell r="H500">
            <v>582.29999999999995</v>
          </cell>
        </row>
        <row r="501">
          <cell r="F501" t="str">
            <v>DEL-RO</v>
          </cell>
          <cell r="G501" t="str">
            <v>DELIVERY FEE - RO</v>
          </cell>
          <cell r="H501">
            <v>50.11</v>
          </cell>
        </row>
        <row r="502">
          <cell r="F502" t="str">
            <v>DISP-RO</v>
          </cell>
          <cell r="G502" t="str">
            <v>DISPOSAL CHARGE - RO</v>
          </cell>
          <cell r="H502">
            <v>71.16</v>
          </cell>
        </row>
        <row r="503">
          <cell r="F503" t="str">
            <v>HAUL10-RO</v>
          </cell>
          <cell r="G503" t="str">
            <v>HAUL 10 YD</v>
          </cell>
          <cell r="H503">
            <v>155.28</v>
          </cell>
        </row>
        <row r="504">
          <cell r="F504" t="str">
            <v>HAUL10ADD-RO</v>
          </cell>
          <cell r="G504" t="str">
            <v>ADDITIONAL 10 YD HAUL</v>
          </cell>
          <cell r="H504">
            <v>97.05</v>
          </cell>
        </row>
        <row r="505">
          <cell r="F505" t="str">
            <v>HAUL10P-RO</v>
          </cell>
          <cell r="G505" t="str">
            <v>HAUL 10 YD</v>
          </cell>
          <cell r="H505">
            <v>97.05</v>
          </cell>
        </row>
        <row r="506">
          <cell r="F506" t="str">
            <v>HAUL10TEMP-RO</v>
          </cell>
          <cell r="G506" t="str">
            <v>HAUL 10 YD TEMPORARY</v>
          </cell>
          <cell r="H506">
            <v>112.22</v>
          </cell>
        </row>
        <row r="507">
          <cell r="F507" t="str">
            <v>HAUL20-RO</v>
          </cell>
          <cell r="G507" t="str">
            <v>HAUL 20 YD</v>
          </cell>
          <cell r="H507">
            <v>155.28</v>
          </cell>
        </row>
        <row r="508">
          <cell r="F508" t="str">
            <v>HAUL20ADD-RO</v>
          </cell>
          <cell r="G508" t="str">
            <v>ADDITIONAL 20 YD HAUL</v>
          </cell>
          <cell r="H508">
            <v>97.05</v>
          </cell>
        </row>
        <row r="509">
          <cell r="F509" t="str">
            <v>HAUL20P-RO</v>
          </cell>
          <cell r="G509" t="str">
            <v>HAUL 20 YD</v>
          </cell>
          <cell r="H509">
            <v>97.05</v>
          </cell>
        </row>
        <row r="510">
          <cell r="F510" t="str">
            <v>HAUL20TEMP-RO</v>
          </cell>
          <cell r="G510" t="str">
            <v>HAUL 20 YD TEMPORARY</v>
          </cell>
          <cell r="H510">
            <v>112.22</v>
          </cell>
        </row>
        <row r="511">
          <cell r="F511" t="str">
            <v>HAUL30-RO</v>
          </cell>
          <cell r="G511" t="str">
            <v>HAUL 30 YD</v>
          </cell>
          <cell r="H511">
            <v>280.56</v>
          </cell>
        </row>
        <row r="512">
          <cell r="F512" t="str">
            <v>HAUL30ADD-RO</v>
          </cell>
          <cell r="G512" t="str">
            <v>ADDITIONAL 30 YD HAUL</v>
          </cell>
          <cell r="H512">
            <v>121.75</v>
          </cell>
        </row>
        <row r="513">
          <cell r="F513" t="str">
            <v>HAUL30P-RO</v>
          </cell>
          <cell r="G513" t="str">
            <v>HAUL 30 YD</v>
          </cell>
          <cell r="H513">
            <v>121.75</v>
          </cell>
        </row>
        <row r="514">
          <cell r="F514" t="str">
            <v>HAUL30TEMP-RO</v>
          </cell>
          <cell r="G514" t="str">
            <v>HAUL 30 YD TEMPORARY</v>
          </cell>
          <cell r="H514">
            <v>162.1</v>
          </cell>
        </row>
        <row r="515">
          <cell r="F515" t="str">
            <v>QDEL</v>
          </cell>
          <cell r="G515" t="str">
            <v>DROP BOX DELIVERY</v>
          </cell>
          <cell r="H515">
            <v>50.11</v>
          </cell>
        </row>
        <row r="516">
          <cell r="F516" t="str">
            <v>QMILE</v>
          </cell>
          <cell r="G516" t="str">
            <v>MILEAGE CHARGE</v>
          </cell>
          <cell r="H516">
            <v>4.3499999999999996</v>
          </cell>
        </row>
        <row r="517">
          <cell r="F517" t="str">
            <v>QRENT</v>
          </cell>
          <cell r="G517" t="str">
            <v>MONTHLY DROP BOX RENTAL</v>
          </cell>
          <cell r="H517">
            <v>124.69</v>
          </cell>
        </row>
        <row r="518">
          <cell r="F518" t="str">
            <v>RENT10DAY-RO</v>
          </cell>
          <cell r="G518" t="str">
            <v>RENTAL 10 YD TEMP</v>
          </cell>
          <cell r="H518">
            <v>8.1199999999999992</v>
          </cell>
        </row>
        <row r="519">
          <cell r="F519" t="str">
            <v>RENT10MO-RO</v>
          </cell>
          <cell r="G519" t="str">
            <v>RENTAL 10 YD</v>
          </cell>
          <cell r="H519">
            <v>49.5</v>
          </cell>
        </row>
        <row r="520">
          <cell r="F520" t="str">
            <v>RENT10TEMP-RO</v>
          </cell>
          <cell r="G520" t="str">
            <v>RENTAL 10 YD TEMP</v>
          </cell>
          <cell r="H520">
            <v>124.69</v>
          </cell>
        </row>
        <row r="521">
          <cell r="F521" t="str">
            <v>RENT20DAY-RO</v>
          </cell>
          <cell r="G521" t="str">
            <v>RENTAL 20 YD TEMP</v>
          </cell>
          <cell r="H521">
            <v>8.1199999999999992</v>
          </cell>
        </row>
        <row r="522">
          <cell r="F522" t="str">
            <v>RENT20MO-RO</v>
          </cell>
          <cell r="G522" t="str">
            <v>RENTAL 20 YD</v>
          </cell>
          <cell r="H522">
            <v>49.5</v>
          </cell>
        </row>
        <row r="523">
          <cell r="F523" t="str">
            <v>RENT20TEMP-RO</v>
          </cell>
          <cell r="G523" t="str">
            <v>RENTAL 20 YD TEMP</v>
          </cell>
          <cell r="H523">
            <v>124.69</v>
          </cell>
        </row>
        <row r="524">
          <cell r="F524" t="str">
            <v>RENT30DAY-RO</v>
          </cell>
          <cell r="G524" t="str">
            <v>RENTAL 30 YD TEMP</v>
          </cell>
          <cell r="H524">
            <v>8.1199999999999992</v>
          </cell>
        </row>
        <row r="525">
          <cell r="F525" t="str">
            <v>RENT30MO-RO</v>
          </cell>
          <cell r="G525" t="str">
            <v>RENTAL 30 YD</v>
          </cell>
          <cell r="H525">
            <v>135</v>
          </cell>
        </row>
        <row r="526">
          <cell r="F526" t="str">
            <v>RENT30TEMP-RO</v>
          </cell>
          <cell r="G526" t="str">
            <v>RENTAL 30 YD TEMP</v>
          </cell>
          <cell r="H526">
            <v>124.69</v>
          </cell>
        </row>
        <row r="527">
          <cell r="F527" t="str">
            <v>P1YC2W1</v>
          </cell>
          <cell r="G527" t="str">
            <v>1-1YD CONT 2X WKLY</v>
          </cell>
          <cell r="H527">
            <v>145.4</v>
          </cell>
        </row>
        <row r="528">
          <cell r="F528" t="str">
            <v>1YCOC1</v>
          </cell>
          <cell r="G528" t="str">
            <v>1-1YD CONTAINER ON CALL</v>
          </cell>
          <cell r="H528">
            <v>23.27</v>
          </cell>
        </row>
        <row r="529">
          <cell r="F529" t="str">
            <v>P1YC2W1</v>
          </cell>
          <cell r="G529" t="str">
            <v>1-1YD CONT 2X WKLY</v>
          </cell>
          <cell r="H529">
            <v>145.4</v>
          </cell>
        </row>
        <row r="530">
          <cell r="F530" t="str">
            <v>32C1E1</v>
          </cell>
          <cell r="G530" t="str">
            <v>1-32GAL CAN EOW</v>
          </cell>
          <cell r="H530">
            <v>19.16</v>
          </cell>
        </row>
        <row r="531">
          <cell r="F531" t="str">
            <v>32C1M1</v>
          </cell>
          <cell r="G531" t="str">
            <v>1-32GAL CAN 1 X MONTHLY</v>
          </cell>
          <cell r="H531">
            <v>19.16</v>
          </cell>
        </row>
        <row r="532">
          <cell r="F532" t="str">
            <v>32C1OC</v>
          </cell>
          <cell r="G532" t="str">
            <v>1-32GAL CAN ON CALL</v>
          </cell>
          <cell r="H532">
            <v>5.35</v>
          </cell>
        </row>
        <row r="533">
          <cell r="F533" t="str">
            <v>32C1W1</v>
          </cell>
          <cell r="G533" t="str">
            <v>1-32GAL COMM 1 X WEEKLY</v>
          </cell>
          <cell r="H533">
            <v>19.16</v>
          </cell>
        </row>
        <row r="534">
          <cell r="F534" t="str">
            <v>32C1W2</v>
          </cell>
          <cell r="G534" t="str">
            <v>2-32GAL CANS WEEKLY</v>
          </cell>
          <cell r="H534">
            <v>38.28</v>
          </cell>
        </row>
        <row r="535">
          <cell r="F535" t="str">
            <v>32C1W3</v>
          </cell>
          <cell r="G535" t="str">
            <v>3-32GAL CANS WEEKLY</v>
          </cell>
          <cell r="H535">
            <v>57.42</v>
          </cell>
        </row>
        <row r="536">
          <cell r="F536" t="str">
            <v>32C1W4</v>
          </cell>
          <cell r="G536" t="str">
            <v>4-32GAL CANS 1 X WEEKLY</v>
          </cell>
          <cell r="H536">
            <v>76.55</v>
          </cell>
        </row>
        <row r="537">
          <cell r="F537" t="str">
            <v>45C1M1</v>
          </cell>
          <cell r="G537" t="str">
            <v>1-45 GAL COM CAN MONTHLY</v>
          </cell>
          <cell r="H537">
            <v>31.59</v>
          </cell>
        </row>
        <row r="538">
          <cell r="F538" t="str">
            <v>45C1W1</v>
          </cell>
          <cell r="G538" t="str">
            <v>45 GL 1X WK 1 COM</v>
          </cell>
          <cell r="H538">
            <v>31.59</v>
          </cell>
        </row>
        <row r="539">
          <cell r="F539" t="str">
            <v>ACCESS1W-COM</v>
          </cell>
          <cell r="G539" t="str">
            <v>ACCESS/GATE FEE 1X WK</v>
          </cell>
          <cell r="H539">
            <v>4.71</v>
          </cell>
        </row>
        <row r="540">
          <cell r="F540" t="str">
            <v>ACCESS2W-COM</v>
          </cell>
          <cell r="G540" t="str">
            <v>ACCESS/GATE FEE 2X WK</v>
          </cell>
          <cell r="H540">
            <v>9.42</v>
          </cell>
        </row>
        <row r="541">
          <cell r="F541" t="str">
            <v>ACCESS3W-COM</v>
          </cell>
          <cell r="G541" t="str">
            <v>ACCESS/GATE FEE 3X WK</v>
          </cell>
          <cell r="H541">
            <v>14.13</v>
          </cell>
        </row>
        <row r="542">
          <cell r="F542" t="str">
            <v>ACCESSEOW-COM</v>
          </cell>
          <cell r="G542" t="str">
            <v>ACCESS/GATE FEE EOW</v>
          </cell>
          <cell r="H542">
            <v>2.36</v>
          </cell>
        </row>
        <row r="543">
          <cell r="F543" t="str">
            <v>BULKY - COMM</v>
          </cell>
          <cell r="G543" t="str">
            <v>BULKY ITEM PICK UP - COMM</v>
          </cell>
          <cell r="H543">
            <v>17.739999999999998</v>
          </cell>
        </row>
        <row r="544">
          <cell r="F544" t="str">
            <v>CLOCK</v>
          </cell>
          <cell r="G544" t="str">
            <v>COMM LOCK CHARGE</v>
          </cell>
          <cell r="H544">
            <v>2.94</v>
          </cell>
        </row>
        <row r="545">
          <cell r="F545" t="str">
            <v>CLOCK2W</v>
          </cell>
          <cell r="G545" t="str">
            <v>LOCK CHARGE 2X WK</v>
          </cell>
          <cell r="H545">
            <v>5.88</v>
          </cell>
        </row>
        <row r="546">
          <cell r="F546" t="str">
            <v>CLOCKE</v>
          </cell>
          <cell r="G546" t="str">
            <v>LOCK CHARGE EOW</v>
          </cell>
          <cell r="H546">
            <v>1.91</v>
          </cell>
        </row>
        <row r="547">
          <cell r="F547" t="str">
            <v>DEL1-COM</v>
          </cell>
          <cell r="G547" t="str">
            <v>DELIVER 1 YD</v>
          </cell>
          <cell r="H547">
            <v>14.94</v>
          </cell>
        </row>
        <row r="548">
          <cell r="F548" t="str">
            <v>DEL1.5-COM</v>
          </cell>
          <cell r="G548" t="str">
            <v>DELIVER 1.5 YD</v>
          </cell>
          <cell r="H548">
            <v>15.82</v>
          </cell>
        </row>
        <row r="549">
          <cell r="F549" t="str">
            <v>DEL2-COM</v>
          </cell>
          <cell r="G549" t="str">
            <v>DELIVER 2 YD</v>
          </cell>
          <cell r="H549">
            <v>16.760000000000002</v>
          </cell>
        </row>
        <row r="550">
          <cell r="F550" t="str">
            <v>DEL3-COM</v>
          </cell>
          <cell r="G550" t="str">
            <v>DELIVER 3 YD</v>
          </cell>
          <cell r="H550">
            <v>19.59</v>
          </cell>
        </row>
        <row r="551">
          <cell r="F551" t="str">
            <v>DEL4-COM</v>
          </cell>
          <cell r="G551" t="str">
            <v>DELIVER 4 YD</v>
          </cell>
          <cell r="H551">
            <v>21.82</v>
          </cell>
        </row>
        <row r="552">
          <cell r="F552" t="str">
            <v>DEL6-COM</v>
          </cell>
          <cell r="G552" t="str">
            <v>DELIVER 6 YD</v>
          </cell>
          <cell r="H552">
            <v>20.55</v>
          </cell>
        </row>
        <row r="553">
          <cell r="F553" t="str">
            <v>DRIVEIN1-COM</v>
          </cell>
          <cell r="G553" t="str">
            <v>DRIVE IN UP TO 125FT - COM</v>
          </cell>
          <cell r="H553">
            <v>0.94</v>
          </cell>
        </row>
        <row r="554">
          <cell r="F554" t="str">
            <v>DRIVEIN2-COM</v>
          </cell>
          <cell r="G554" t="str">
            <v>DRIVE IN 125FT-150FT - COM</v>
          </cell>
          <cell r="H554">
            <v>2</v>
          </cell>
        </row>
        <row r="555">
          <cell r="F555" t="str">
            <v>DRIVEIN2WK-COM</v>
          </cell>
          <cell r="G555" t="str">
            <v>DRIVE IN 125FT-150FT</v>
          </cell>
          <cell r="H555">
            <v>8.66</v>
          </cell>
        </row>
        <row r="556">
          <cell r="F556" t="str">
            <v>EXTRA-COMM</v>
          </cell>
          <cell r="G556" t="str">
            <v>EXTRA ITEM - COM</v>
          </cell>
          <cell r="H556">
            <v>4.42</v>
          </cell>
        </row>
        <row r="557">
          <cell r="F557" t="str">
            <v>OS - COMM</v>
          </cell>
          <cell r="G557" t="str">
            <v>OVERSIZE CAN - COMM</v>
          </cell>
          <cell r="H557">
            <v>4.34</v>
          </cell>
        </row>
        <row r="558">
          <cell r="F558" t="str">
            <v>OW-COMM</v>
          </cell>
          <cell r="G558" t="str">
            <v>OVERFILL/OVERWEIGHT CAN -</v>
          </cell>
          <cell r="H558">
            <v>4.34</v>
          </cell>
        </row>
        <row r="559">
          <cell r="F559" t="str">
            <v>P1.5YC1W1</v>
          </cell>
          <cell r="G559" t="str">
            <v>1-1.5YD CONT 1 X WEEKLY</v>
          </cell>
          <cell r="H559">
            <v>107.17</v>
          </cell>
        </row>
        <row r="560">
          <cell r="F560" t="str">
            <v>P1.5YC1W2</v>
          </cell>
          <cell r="G560" t="str">
            <v>2-1.5YD CONT 1 X WEEKLY</v>
          </cell>
          <cell r="H560">
            <v>214.34</v>
          </cell>
        </row>
        <row r="561">
          <cell r="F561" t="str">
            <v>P1.5YC2W1</v>
          </cell>
          <cell r="G561" t="str">
            <v>1-1.5YD CONT 2 X WEEKLY</v>
          </cell>
          <cell r="H561">
            <v>214.34</v>
          </cell>
        </row>
        <row r="562">
          <cell r="F562" t="str">
            <v>P1.5YC3W1</v>
          </cell>
          <cell r="G562" t="str">
            <v>1-1.5YD CONT 3 X WEEKLY</v>
          </cell>
          <cell r="H562">
            <v>321.5</v>
          </cell>
        </row>
        <row r="563">
          <cell r="F563" t="str">
            <v>P1.5YC3W2</v>
          </cell>
          <cell r="G563" t="str">
            <v>2-1.5YD CONT 3 X WEEKLY</v>
          </cell>
          <cell r="H563">
            <v>643.01</v>
          </cell>
        </row>
        <row r="564">
          <cell r="F564" t="str">
            <v>P1.5YCE1</v>
          </cell>
          <cell r="G564" t="str">
            <v>1-1.5YD CONT EOW</v>
          </cell>
          <cell r="H564">
            <v>53.71</v>
          </cell>
        </row>
        <row r="565">
          <cell r="F565" t="str">
            <v>P1YC1W1</v>
          </cell>
          <cell r="G565" t="str">
            <v>1-1YD CONT 1 X WEEKLY</v>
          </cell>
          <cell r="H565">
            <v>72.7</v>
          </cell>
        </row>
        <row r="566">
          <cell r="F566" t="str">
            <v>P1YC1W2</v>
          </cell>
          <cell r="G566" t="str">
            <v>2-1YD CONT. 1 X WEEKLY</v>
          </cell>
          <cell r="H566">
            <v>145.4</v>
          </cell>
        </row>
        <row r="567">
          <cell r="F567" t="str">
            <v>P1YC2W1</v>
          </cell>
          <cell r="G567" t="str">
            <v>1-1YD CONT 2X WKLY</v>
          </cell>
          <cell r="H567">
            <v>145.4</v>
          </cell>
        </row>
        <row r="568">
          <cell r="F568" t="str">
            <v>P1YCE1</v>
          </cell>
          <cell r="G568" t="str">
            <v>1-1YD CONT EOW</v>
          </cell>
          <cell r="H568">
            <v>36.43</v>
          </cell>
        </row>
        <row r="569">
          <cell r="F569" t="str">
            <v>P2YC1W1</v>
          </cell>
          <cell r="G569" t="str">
            <v>1-2YD CONT 1 X WEEKLY</v>
          </cell>
          <cell r="H569">
            <v>139.99</v>
          </cell>
        </row>
        <row r="570">
          <cell r="F570" t="str">
            <v>P2YC1W2</v>
          </cell>
          <cell r="G570" t="str">
            <v>2-2YD CONT. 1 X WEEKLY</v>
          </cell>
          <cell r="H570">
            <v>279.98</v>
          </cell>
        </row>
        <row r="571">
          <cell r="F571" t="str">
            <v>P2YC1W3</v>
          </cell>
          <cell r="G571" t="str">
            <v>3-2YD CONT. 1 X WEEKLY</v>
          </cell>
          <cell r="H571">
            <v>419.97</v>
          </cell>
        </row>
        <row r="572">
          <cell r="F572" t="str">
            <v>P2YC1W4</v>
          </cell>
          <cell r="G572" t="str">
            <v>4-2YD CONT 1X WKLY</v>
          </cell>
          <cell r="H572">
            <v>559.96</v>
          </cell>
        </row>
        <row r="573">
          <cell r="F573" t="str">
            <v>P2YC1W7</v>
          </cell>
          <cell r="G573" t="str">
            <v>7-2YD CONT 1X WKLY</v>
          </cell>
          <cell r="H573">
            <v>979.92</v>
          </cell>
        </row>
        <row r="574">
          <cell r="F574" t="str">
            <v>P2YC2W1</v>
          </cell>
          <cell r="G574" t="str">
            <v>1-2YD CONT 2  X WEEKLY</v>
          </cell>
          <cell r="H574">
            <v>279.98</v>
          </cell>
        </row>
        <row r="575">
          <cell r="F575" t="str">
            <v>P2YC2W2</v>
          </cell>
          <cell r="G575" t="str">
            <v>2-2YD CONT 2X WKLY</v>
          </cell>
          <cell r="H575">
            <v>559.96</v>
          </cell>
        </row>
        <row r="576">
          <cell r="F576" t="str">
            <v>P2YC2W3</v>
          </cell>
          <cell r="G576" t="str">
            <v>3-2YD CONT 2X WKLY</v>
          </cell>
          <cell r="H576">
            <v>839.93</v>
          </cell>
        </row>
        <row r="577">
          <cell r="F577" t="str">
            <v>P2YC2W7</v>
          </cell>
          <cell r="G577" t="str">
            <v>7-2YD CONT 2X WKLY</v>
          </cell>
          <cell r="H577">
            <v>1959.84</v>
          </cell>
        </row>
        <row r="578">
          <cell r="F578" t="str">
            <v>P2YC3W1</v>
          </cell>
          <cell r="G578" t="str">
            <v>1-2YD CONT. 3 X WEEKLY</v>
          </cell>
          <cell r="H578">
            <v>419.97</v>
          </cell>
        </row>
        <row r="579">
          <cell r="F579" t="str">
            <v>P2YC3W2</v>
          </cell>
          <cell r="G579" t="str">
            <v>2-2YD CONT. 3 X WEEKLY</v>
          </cell>
          <cell r="H579">
            <v>839.93</v>
          </cell>
        </row>
        <row r="580">
          <cell r="F580" t="str">
            <v>P2YC4W1</v>
          </cell>
          <cell r="G580" t="str">
            <v>1-2YD CONT. 4 X WEEKLY</v>
          </cell>
          <cell r="H580">
            <v>559.96</v>
          </cell>
        </row>
        <row r="581">
          <cell r="F581" t="str">
            <v>P2YCE1</v>
          </cell>
          <cell r="G581" t="str">
            <v>1-2YD CONT EOW</v>
          </cell>
          <cell r="H581">
            <v>70.16</v>
          </cell>
        </row>
        <row r="582">
          <cell r="F582" t="str">
            <v>P4YC1W1</v>
          </cell>
          <cell r="G582" t="str">
            <v>1-4YD CONT. 1 X WEEKLY</v>
          </cell>
          <cell r="H582">
            <v>235.68</v>
          </cell>
        </row>
        <row r="583">
          <cell r="F583" t="str">
            <v>R1.5TC-COM</v>
          </cell>
          <cell r="G583" t="str">
            <v>1.5 YD TEMP CONT PICKUP</v>
          </cell>
          <cell r="H583">
            <v>34.24</v>
          </cell>
        </row>
        <row r="584">
          <cell r="F584" t="str">
            <v>R1TC-COM</v>
          </cell>
          <cell r="G584" t="str">
            <v>1 YD TEMP CONT PICKUP</v>
          </cell>
          <cell r="H584">
            <v>23.28</v>
          </cell>
        </row>
        <row r="585">
          <cell r="F585" t="str">
            <v>R2TC-COMM</v>
          </cell>
          <cell r="G585" t="str">
            <v>2 YD TEMP CONT PICKUP</v>
          </cell>
          <cell r="H585">
            <v>45.07</v>
          </cell>
        </row>
        <row r="586">
          <cell r="F586" t="str">
            <v>REINSTATE-COMM</v>
          </cell>
          <cell r="G586" t="str">
            <v>REINSTATE FEE-COMM</v>
          </cell>
          <cell r="H586">
            <v>13.94</v>
          </cell>
        </row>
        <row r="587">
          <cell r="F587" t="str">
            <v>RENT1-COM</v>
          </cell>
          <cell r="G587" t="str">
            <v>1 YD CONT RENTAL</v>
          </cell>
          <cell r="H587">
            <v>16.059999999999999</v>
          </cell>
        </row>
        <row r="588">
          <cell r="F588" t="str">
            <v>P1YC2W1</v>
          </cell>
          <cell r="G588" t="str">
            <v>1-1YD CONT 2X WKLY</v>
          </cell>
          <cell r="H588">
            <v>145.4</v>
          </cell>
        </row>
        <row r="589">
          <cell r="F589" t="str">
            <v>RENT1.5TEMP-COM</v>
          </cell>
          <cell r="G589" t="str">
            <v>1.5 YD TEMP CONT RENTAL</v>
          </cell>
          <cell r="H589">
            <v>28.76</v>
          </cell>
        </row>
        <row r="590">
          <cell r="F590" t="str">
            <v>RENT1TEMP-COM</v>
          </cell>
          <cell r="G590" t="str">
            <v>1 YD TEMP CONT RENTAL</v>
          </cell>
          <cell r="H590">
            <v>25</v>
          </cell>
        </row>
        <row r="591">
          <cell r="F591" t="str">
            <v>RENT2-COM</v>
          </cell>
          <cell r="G591" t="str">
            <v>2 YD CONT RENTAL</v>
          </cell>
          <cell r="H591">
            <v>23.17</v>
          </cell>
        </row>
        <row r="592">
          <cell r="F592" t="str">
            <v>RENT2TEMP-COM</v>
          </cell>
          <cell r="G592" t="str">
            <v>2 YD TEMP CONT RENTAL</v>
          </cell>
          <cell r="H592">
            <v>33.64</v>
          </cell>
        </row>
        <row r="593">
          <cell r="F593" t="str">
            <v>RENT4-COM</v>
          </cell>
          <cell r="G593" t="str">
            <v>4 YD CONT RENTAL</v>
          </cell>
          <cell r="H593">
            <v>36.76</v>
          </cell>
        </row>
        <row r="594">
          <cell r="F594" t="str">
            <v>ROLL-COM</v>
          </cell>
          <cell r="G594" t="str">
            <v>ROLLOUT CONTAINER - COM</v>
          </cell>
          <cell r="H594">
            <v>3.76</v>
          </cell>
        </row>
        <row r="595">
          <cell r="F595" t="str">
            <v>ROLL1W-COM</v>
          </cell>
          <cell r="G595" t="str">
            <v>ROLL OUT FEE 1X WK</v>
          </cell>
          <cell r="H595">
            <v>16.28</v>
          </cell>
        </row>
        <row r="596">
          <cell r="F596" t="str">
            <v>ROLL2W-COM</v>
          </cell>
          <cell r="G596" t="str">
            <v>ROLL OUT FEE 2X WK</v>
          </cell>
          <cell r="H596">
            <v>32.56</v>
          </cell>
        </row>
        <row r="597">
          <cell r="F597" t="str">
            <v>ROLL3W-COM</v>
          </cell>
          <cell r="G597" t="str">
            <v>ROLL OUT FEE 3X WK</v>
          </cell>
          <cell r="H597">
            <v>48.84</v>
          </cell>
        </row>
        <row r="598">
          <cell r="F598" t="str">
            <v>ROLLEOW-COM</v>
          </cell>
          <cell r="G598" t="str">
            <v>ROLL OUT FEE EOW</v>
          </cell>
          <cell r="H598">
            <v>8.16</v>
          </cell>
        </row>
        <row r="599">
          <cell r="F599" t="str">
            <v>WI-COMM</v>
          </cell>
          <cell r="G599" t="str">
            <v>WALK IN - COMM</v>
          </cell>
          <cell r="H599">
            <v>4.07</v>
          </cell>
        </row>
        <row r="600">
          <cell r="F600" t="str">
            <v>WIE-COM</v>
          </cell>
          <cell r="G600" t="str">
            <v>WALK IN 6-25FT EOW</v>
          </cell>
          <cell r="H600">
            <v>2.04</v>
          </cell>
        </row>
        <row r="601">
          <cell r="F601" t="str">
            <v>20R1W1</v>
          </cell>
          <cell r="G601" t="str">
            <v>1-20GAL CAN WEEKLY</v>
          </cell>
          <cell r="H601">
            <v>16.88</v>
          </cell>
        </row>
        <row r="602">
          <cell r="F602" t="str">
            <v>32R1E1</v>
          </cell>
          <cell r="G602" t="str">
            <v>1-32GAL CAN EOW</v>
          </cell>
          <cell r="H602">
            <v>12.36</v>
          </cell>
        </row>
        <row r="603">
          <cell r="F603" t="str">
            <v>32R1M1</v>
          </cell>
          <cell r="G603" t="str">
            <v>1-32GAL CAN MONTHLY</v>
          </cell>
          <cell r="H603">
            <v>6.18</v>
          </cell>
        </row>
        <row r="604">
          <cell r="F604" t="str">
            <v>32R1OC</v>
          </cell>
          <cell r="G604" t="str">
            <v>1-32GAL CAN ON CALL</v>
          </cell>
          <cell r="H604">
            <v>6.18</v>
          </cell>
        </row>
        <row r="605">
          <cell r="F605" t="str">
            <v>32R1W1</v>
          </cell>
          <cell r="G605" t="str">
            <v>1-32GAL CAN WEEKLY</v>
          </cell>
          <cell r="H605">
            <v>19.54</v>
          </cell>
        </row>
        <row r="606">
          <cell r="F606" t="str">
            <v>32R1W2</v>
          </cell>
          <cell r="G606" t="str">
            <v>2-32GAL CANS WEEKLY</v>
          </cell>
          <cell r="H606">
            <v>26.77</v>
          </cell>
        </row>
        <row r="607">
          <cell r="F607" t="str">
            <v>32R1W3</v>
          </cell>
          <cell r="G607" t="str">
            <v>3-32GAL CANS WEEKLY</v>
          </cell>
          <cell r="H607">
            <v>34.880000000000003</v>
          </cell>
        </row>
        <row r="608">
          <cell r="F608" t="str">
            <v>32R1W4</v>
          </cell>
          <cell r="G608" t="str">
            <v>4-32GAL CANS WEEKLY</v>
          </cell>
          <cell r="H608">
            <v>42.46</v>
          </cell>
        </row>
        <row r="609">
          <cell r="F609" t="str">
            <v>32R1W5</v>
          </cell>
          <cell r="G609" t="str">
            <v>5-32 GAL CANS WKLY</v>
          </cell>
          <cell r="H609">
            <v>51.46</v>
          </cell>
        </row>
        <row r="610">
          <cell r="F610" t="str">
            <v>32R1W6</v>
          </cell>
          <cell r="G610" t="str">
            <v>6-32 GAL CANS WKLY</v>
          </cell>
          <cell r="H610">
            <v>61.1</v>
          </cell>
        </row>
        <row r="611">
          <cell r="F611" t="str">
            <v>45R1OC</v>
          </cell>
          <cell r="G611" t="str">
            <v>1-45 GAL CAN ON CALL</v>
          </cell>
          <cell r="H611">
            <v>6.18</v>
          </cell>
        </row>
        <row r="612">
          <cell r="F612" t="str">
            <v>45R1W1</v>
          </cell>
          <cell r="G612" t="str">
            <v>1-45 GAL CAN WKLY</v>
          </cell>
          <cell r="H612">
            <v>31.61</v>
          </cell>
        </row>
        <row r="613">
          <cell r="F613" t="str">
            <v>45RE1</v>
          </cell>
          <cell r="G613" t="str">
            <v>1-45 GAL EOW</v>
          </cell>
          <cell r="H613">
            <v>22.85</v>
          </cell>
        </row>
        <row r="614">
          <cell r="F614" t="str">
            <v>60R1M1</v>
          </cell>
          <cell r="G614" t="str">
            <v>1-60GAL CART MONTHLY</v>
          </cell>
          <cell r="H614">
            <v>33.99</v>
          </cell>
        </row>
        <row r="615">
          <cell r="F615" t="str">
            <v>60R1W1</v>
          </cell>
          <cell r="G615" t="str">
            <v>1-60GAL CART WEEKLY</v>
          </cell>
          <cell r="H615">
            <v>39.44</v>
          </cell>
        </row>
        <row r="616">
          <cell r="F616" t="str">
            <v>ACCESS-RES</v>
          </cell>
          <cell r="G616" t="str">
            <v>ACCESS/GATE CHARGE</v>
          </cell>
          <cell r="H616">
            <v>4.71</v>
          </cell>
        </row>
        <row r="617">
          <cell r="F617" t="str">
            <v>ACCESSEOW-RES</v>
          </cell>
          <cell r="G617" t="str">
            <v>ACCESS/GATE FEE EOW</v>
          </cell>
          <cell r="H617">
            <v>2.36</v>
          </cell>
        </row>
        <row r="618">
          <cell r="F618" t="str">
            <v>BULKY - RES</v>
          </cell>
          <cell r="G618" t="str">
            <v>BULKY ITEM PICK UP - RES</v>
          </cell>
          <cell r="H618">
            <v>17.739999999999998</v>
          </cell>
        </row>
        <row r="619">
          <cell r="F619" t="str">
            <v>DRIVEIN-RES</v>
          </cell>
          <cell r="G619" t="str">
            <v>DRIVE IN - RES</v>
          </cell>
          <cell r="H619">
            <v>2.71</v>
          </cell>
        </row>
        <row r="620">
          <cell r="F620" t="str">
            <v>DRIVEIN1-RES</v>
          </cell>
          <cell r="G620" t="str">
            <v>DRIVE IN UP TO 125FT - RES</v>
          </cell>
          <cell r="H620">
            <v>2.71</v>
          </cell>
        </row>
        <row r="621">
          <cell r="F621" t="str">
            <v>DRIVEIN2-RES</v>
          </cell>
          <cell r="G621" t="str">
            <v>DRIVE IN 125FT-150FT - RES</v>
          </cell>
          <cell r="H621">
            <v>5.41</v>
          </cell>
        </row>
        <row r="622">
          <cell r="F622" t="str">
            <v>DRIVEIN2WK-RES</v>
          </cell>
          <cell r="G622" t="str">
            <v>DRIVE IN 125FT-150FT</v>
          </cell>
          <cell r="H622">
            <v>5.41</v>
          </cell>
        </row>
        <row r="623">
          <cell r="F623" t="str">
            <v>EXTRA-RES</v>
          </cell>
          <cell r="G623" t="str">
            <v>EXTRA ITEM - RES</v>
          </cell>
          <cell r="H623">
            <v>4.54</v>
          </cell>
        </row>
        <row r="624">
          <cell r="F624" t="str">
            <v>OS - RES</v>
          </cell>
          <cell r="G624" t="str">
            <v>OVERSIZE CAN - RES</v>
          </cell>
          <cell r="H624">
            <v>4.34</v>
          </cell>
        </row>
        <row r="625">
          <cell r="F625" t="str">
            <v>OW-RES</v>
          </cell>
          <cell r="G625" t="str">
            <v>OVERFILL / OVERWEIGHT CAN</v>
          </cell>
          <cell r="H625">
            <v>4.34</v>
          </cell>
        </row>
        <row r="626">
          <cell r="F626" t="str">
            <v>SUNKENCAN-RES</v>
          </cell>
          <cell r="G626" t="str">
            <v>ABOVE/UNDER GROUND</v>
          </cell>
          <cell r="H626">
            <v>2.71</v>
          </cell>
        </row>
        <row r="627">
          <cell r="F627" t="str">
            <v>WI-RES</v>
          </cell>
          <cell r="G627" t="str">
            <v>WALK IN/CARRYOUT 5-25FT</v>
          </cell>
          <cell r="H627">
            <v>2.71</v>
          </cell>
        </row>
        <row r="628">
          <cell r="F628" t="str">
            <v>WI2-RES</v>
          </cell>
          <cell r="G628" t="str">
            <v>CARRYOUT OVER 25FT</v>
          </cell>
          <cell r="H628">
            <v>2.71</v>
          </cell>
        </row>
        <row r="629">
          <cell r="F629" t="str">
            <v>20YQCOMPC</v>
          </cell>
          <cell r="G629" t="str">
            <v>20YD COMP/CORR HAUL FEE</v>
          </cell>
          <cell r="H629">
            <v>294.08999999999997</v>
          </cell>
        </row>
        <row r="630">
          <cell r="F630" t="str">
            <v>40YCOMPT</v>
          </cell>
          <cell r="G630" t="str">
            <v>40YD COMP/TRASH HAUL FEE</v>
          </cell>
          <cell r="H630">
            <v>582.29999999999995</v>
          </cell>
        </row>
        <row r="631">
          <cell r="F631" t="str">
            <v>DEL-RO</v>
          </cell>
          <cell r="G631" t="str">
            <v>DELIVERY FEE - RO</v>
          </cell>
          <cell r="H631">
            <v>50.11</v>
          </cell>
        </row>
        <row r="632">
          <cell r="F632" t="str">
            <v>DISP-RO</v>
          </cell>
          <cell r="G632" t="str">
            <v>DISPOSAL CHARGE - RO</v>
          </cell>
          <cell r="H632">
            <v>71.16</v>
          </cell>
        </row>
        <row r="633">
          <cell r="F633" t="str">
            <v>HAUL10-RO</v>
          </cell>
          <cell r="G633" t="str">
            <v>HAUL 10 YD</v>
          </cell>
          <cell r="H633">
            <v>155.28</v>
          </cell>
        </row>
        <row r="634">
          <cell r="F634" t="str">
            <v>HAUL10ADD-RO</v>
          </cell>
          <cell r="G634" t="str">
            <v>ADDITIONAL 10 YD HAUL</v>
          </cell>
          <cell r="H634">
            <v>97.05</v>
          </cell>
        </row>
        <row r="635">
          <cell r="F635" t="str">
            <v>HAUL10P-RO</v>
          </cell>
          <cell r="G635" t="str">
            <v>HAUL 10 YD</v>
          </cell>
          <cell r="H635">
            <v>97.05</v>
          </cell>
        </row>
        <row r="636">
          <cell r="F636" t="str">
            <v>HAUL10TEMP-RO</v>
          </cell>
          <cell r="G636" t="str">
            <v>HAUL 10 YD TEMPORARY</v>
          </cell>
          <cell r="H636">
            <v>112.22</v>
          </cell>
        </row>
        <row r="637">
          <cell r="F637" t="str">
            <v>HAUL20-RO</v>
          </cell>
          <cell r="G637" t="str">
            <v>HAUL 20 YD</v>
          </cell>
          <cell r="H637">
            <v>155.28</v>
          </cell>
        </row>
        <row r="638">
          <cell r="F638" t="str">
            <v>HAUL20ADD-RO</v>
          </cell>
          <cell r="G638" t="str">
            <v>ADDITIONAL 20 YD HAUL</v>
          </cell>
          <cell r="H638">
            <v>97.05</v>
          </cell>
        </row>
        <row r="639">
          <cell r="F639" t="str">
            <v>HAUL20P-RO</v>
          </cell>
          <cell r="G639" t="str">
            <v>HAUL 20 YD</v>
          </cell>
          <cell r="H639">
            <v>97.05</v>
          </cell>
        </row>
        <row r="640">
          <cell r="F640" t="str">
            <v>HAUL20TEMP-RO</v>
          </cell>
          <cell r="G640" t="str">
            <v>HAUL 20 YD TEMPORARY</v>
          </cell>
          <cell r="H640">
            <v>112.22</v>
          </cell>
        </row>
        <row r="641">
          <cell r="F641" t="str">
            <v>HAUL30-RO</v>
          </cell>
          <cell r="G641" t="str">
            <v>HAUL 30 YD</v>
          </cell>
          <cell r="H641">
            <v>280.56</v>
          </cell>
        </row>
        <row r="642">
          <cell r="F642" t="str">
            <v>HAUL30ADD-RO</v>
          </cell>
          <cell r="G642" t="str">
            <v>ADDITIONAL 30 YD HAUL</v>
          </cell>
          <cell r="H642">
            <v>121.75</v>
          </cell>
        </row>
        <row r="643">
          <cell r="F643" t="str">
            <v>HAUL30P-RO</v>
          </cell>
          <cell r="G643" t="str">
            <v>HAUL 30 YD</v>
          </cell>
          <cell r="H643">
            <v>121.75</v>
          </cell>
        </row>
        <row r="644">
          <cell r="F644" t="str">
            <v>HAUL30TEMP-RO</v>
          </cell>
          <cell r="G644" t="str">
            <v>HAUL 30 YD TEMPORARY</v>
          </cell>
          <cell r="H644">
            <v>162.1</v>
          </cell>
        </row>
        <row r="645">
          <cell r="F645" t="str">
            <v>QDEL</v>
          </cell>
          <cell r="G645" t="str">
            <v>DROP BOX DELIVERY</v>
          </cell>
          <cell r="H645">
            <v>50.11</v>
          </cell>
        </row>
        <row r="646">
          <cell r="F646" t="str">
            <v>QMILE</v>
          </cell>
          <cell r="G646" t="str">
            <v>MILEAGE CHARGE</v>
          </cell>
          <cell r="H646">
            <v>4.3499999999999996</v>
          </cell>
        </row>
        <row r="647">
          <cell r="F647" t="str">
            <v>QRENT</v>
          </cell>
          <cell r="G647" t="str">
            <v>MONTHLY DROP BOX RENTAL</v>
          </cell>
          <cell r="H647">
            <v>124.69</v>
          </cell>
        </row>
        <row r="648">
          <cell r="F648" t="str">
            <v>RENT10DAY-RO</v>
          </cell>
          <cell r="G648" t="str">
            <v>RENTAL 10 YD TEMP</v>
          </cell>
          <cell r="H648">
            <v>8.1199999999999992</v>
          </cell>
        </row>
        <row r="649">
          <cell r="F649" t="str">
            <v>RENT10MO-RO</v>
          </cell>
          <cell r="G649" t="str">
            <v>RENTAL 10 YD</v>
          </cell>
          <cell r="H649">
            <v>49.5</v>
          </cell>
        </row>
        <row r="650">
          <cell r="F650" t="str">
            <v>RENT10TEMP-RO</v>
          </cell>
          <cell r="G650" t="str">
            <v>RENTAL 10 YD TEMP</v>
          </cell>
          <cell r="H650">
            <v>124.69</v>
          </cell>
        </row>
        <row r="651">
          <cell r="F651" t="str">
            <v>RENT20DAY-RO</v>
          </cell>
          <cell r="G651" t="str">
            <v>RENTAL 20 YD TEMP</v>
          </cell>
          <cell r="H651">
            <v>8.1199999999999992</v>
          </cell>
        </row>
        <row r="652">
          <cell r="F652" t="str">
            <v>RENT20MO-RO</v>
          </cell>
          <cell r="G652" t="str">
            <v>RENTAL 20 YD</v>
          </cell>
          <cell r="H652">
            <v>49.5</v>
          </cell>
        </row>
        <row r="653">
          <cell r="F653" t="str">
            <v>RENT20TEMP-RO</v>
          </cell>
          <cell r="G653" t="str">
            <v>RENTAL 20 YD TEMP</v>
          </cell>
          <cell r="H653">
            <v>124.69</v>
          </cell>
        </row>
        <row r="654">
          <cell r="F654" t="str">
            <v>RENT30DAY-RO</v>
          </cell>
          <cell r="G654" t="str">
            <v>RENTAL 30 YD TEMP</v>
          </cell>
          <cell r="H654">
            <v>8.1199999999999992</v>
          </cell>
        </row>
        <row r="655">
          <cell r="F655" t="str">
            <v>RENT30MO-RO</v>
          </cell>
          <cell r="G655" t="str">
            <v>RENTAL 30 YD</v>
          </cell>
          <cell r="H655">
            <v>135</v>
          </cell>
        </row>
        <row r="656">
          <cell r="F656" t="str">
            <v>RENT30TEMP-RO</v>
          </cell>
          <cell r="G656" t="str">
            <v>RENTAL 30 YD TEMP</v>
          </cell>
          <cell r="H656">
            <v>124.69</v>
          </cell>
        </row>
        <row r="657">
          <cell r="F657" t="str">
            <v>P1YC2W1</v>
          </cell>
          <cell r="G657" t="str">
            <v>1-1YD CONT 2X WKLY</v>
          </cell>
          <cell r="H657">
            <v>145.4</v>
          </cell>
        </row>
        <row r="658">
          <cell r="F658" t="str">
            <v>1YCOC1</v>
          </cell>
          <cell r="G658" t="str">
            <v>1-1YD CONTAINER ON CALL</v>
          </cell>
          <cell r="H658">
            <v>23.27</v>
          </cell>
        </row>
        <row r="659">
          <cell r="F659" t="str">
            <v>2YCOC1</v>
          </cell>
          <cell r="G659" t="str">
            <v>1-2YD CONTAINER ON CALL</v>
          </cell>
          <cell r="H659">
            <v>45.06</v>
          </cell>
        </row>
        <row r="660">
          <cell r="F660" t="str">
            <v>32C1E1</v>
          </cell>
          <cell r="G660" t="str">
            <v>1-32GAL CAN EOW</v>
          </cell>
          <cell r="H660">
            <v>19.16</v>
          </cell>
        </row>
        <row r="661">
          <cell r="F661" t="str">
            <v>32C1M1</v>
          </cell>
          <cell r="G661" t="str">
            <v>1-32GAL CAN 1 X MONTHLY</v>
          </cell>
          <cell r="H661">
            <v>19.16</v>
          </cell>
        </row>
        <row r="662">
          <cell r="F662" t="str">
            <v>32C1OC</v>
          </cell>
          <cell r="G662" t="str">
            <v>1-32GAL CAN ON CALL</v>
          </cell>
          <cell r="H662">
            <v>5.35</v>
          </cell>
        </row>
        <row r="663">
          <cell r="F663" t="str">
            <v>32C1W1</v>
          </cell>
          <cell r="G663" t="str">
            <v>1-32GAL COMM 1 X WEEKLY</v>
          </cell>
          <cell r="H663">
            <v>19.16</v>
          </cell>
        </row>
        <row r="664">
          <cell r="F664" t="str">
            <v>32C1W2</v>
          </cell>
          <cell r="G664" t="str">
            <v>2-32GAL CANS WEEKLY</v>
          </cell>
          <cell r="H664">
            <v>38.28</v>
          </cell>
        </row>
        <row r="665">
          <cell r="F665" t="str">
            <v>32C1W3</v>
          </cell>
          <cell r="G665" t="str">
            <v>3-32GAL CANS WEEKLY</v>
          </cell>
          <cell r="H665">
            <v>57.42</v>
          </cell>
        </row>
        <row r="666">
          <cell r="F666" t="str">
            <v>32C1W4</v>
          </cell>
          <cell r="G666" t="str">
            <v>4-32GAL CANS 1 X WEEKLY</v>
          </cell>
          <cell r="H666">
            <v>76.55</v>
          </cell>
        </row>
        <row r="667">
          <cell r="F667" t="str">
            <v>45C1M1</v>
          </cell>
          <cell r="G667" t="str">
            <v>1-45 GAL COM CAN MONTHLY</v>
          </cell>
          <cell r="H667">
            <v>31.59</v>
          </cell>
        </row>
        <row r="668">
          <cell r="F668" t="str">
            <v>45C1W1</v>
          </cell>
          <cell r="G668" t="str">
            <v>45 GL 1X WK 1 COM</v>
          </cell>
          <cell r="H668">
            <v>31.59</v>
          </cell>
        </row>
        <row r="669">
          <cell r="F669" t="str">
            <v>ACCESS1W-COM</v>
          </cell>
          <cell r="G669" t="str">
            <v>ACCESS/GATE FEE 1X WK</v>
          </cell>
          <cell r="H669">
            <v>4.71</v>
          </cell>
        </row>
        <row r="670">
          <cell r="F670" t="str">
            <v>ACCESS2W-COM</v>
          </cell>
          <cell r="G670" t="str">
            <v>ACCESS/GATE FEE 2X WK</v>
          </cell>
          <cell r="H670">
            <v>9.42</v>
          </cell>
        </row>
        <row r="671">
          <cell r="F671" t="str">
            <v>ACCESS3W-COM</v>
          </cell>
          <cell r="G671" t="str">
            <v>ACCESS/GATE FEE 3X WK</v>
          </cell>
          <cell r="H671">
            <v>14.13</v>
          </cell>
        </row>
        <row r="672">
          <cell r="F672" t="str">
            <v>ACCESSEOW-COM</v>
          </cell>
          <cell r="G672" t="str">
            <v>ACCESS/GATE FEE EOW</v>
          </cell>
          <cell r="H672">
            <v>2.36</v>
          </cell>
        </row>
        <row r="673">
          <cell r="F673" t="str">
            <v>BULKY - COMM</v>
          </cell>
          <cell r="G673" t="str">
            <v>BULKY ITEM PICK UP - COMM</v>
          </cell>
          <cell r="H673">
            <v>17.739999999999998</v>
          </cell>
        </row>
        <row r="674">
          <cell r="F674" t="str">
            <v>CLOCK</v>
          </cell>
          <cell r="G674" t="str">
            <v>COMM LOCK CHARGE</v>
          </cell>
          <cell r="H674">
            <v>2.94</v>
          </cell>
        </row>
        <row r="675">
          <cell r="F675" t="str">
            <v>CLOCK2W</v>
          </cell>
          <cell r="G675" t="str">
            <v>LOCK CHARGE 2X WK</v>
          </cell>
          <cell r="H675">
            <v>5.88</v>
          </cell>
        </row>
        <row r="676">
          <cell r="F676" t="str">
            <v>CLOCKE</v>
          </cell>
          <cell r="G676" t="str">
            <v>LOCK CHARGE EOW</v>
          </cell>
          <cell r="H676">
            <v>1.91</v>
          </cell>
        </row>
        <row r="677">
          <cell r="F677" t="str">
            <v>DEL1-COM</v>
          </cell>
          <cell r="G677" t="str">
            <v>DELIVER 1 YD</v>
          </cell>
          <cell r="H677">
            <v>14.94</v>
          </cell>
        </row>
        <row r="678">
          <cell r="F678" t="str">
            <v>DEL1.5-COM</v>
          </cell>
          <cell r="G678" t="str">
            <v>DELIVER 1.5 YD</v>
          </cell>
          <cell r="H678">
            <v>15.82</v>
          </cell>
        </row>
        <row r="679">
          <cell r="F679" t="str">
            <v>DEL2-COM</v>
          </cell>
          <cell r="G679" t="str">
            <v>DELIVER 2 YD</v>
          </cell>
          <cell r="H679">
            <v>16.760000000000002</v>
          </cell>
        </row>
        <row r="680">
          <cell r="F680" t="str">
            <v>DEL3-COM</v>
          </cell>
          <cell r="G680" t="str">
            <v>DELIVER 3 YD</v>
          </cell>
          <cell r="H680">
            <v>19.59</v>
          </cell>
        </row>
        <row r="681">
          <cell r="F681" t="str">
            <v>DEL4-COM</v>
          </cell>
          <cell r="G681" t="str">
            <v>DELIVER 4 YD</v>
          </cell>
          <cell r="H681">
            <v>21.82</v>
          </cell>
        </row>
        <row r="682">
          <cell r="F682" t="str">
            <v>DEL6-COM</v>
          </cell>
          <cell r="G682" t="str">
            <v>DELIVER 6 YD</v>
          </cell>
          <cell r="H682">
            <v>20.55</v>
          </cell>
        </row>
        <row r="683">
          <cell r="F683" t="str">
            <v>DRIVEIN1-COM</v>
          </cell>
          <cell r="G683" t="str">
            <v>DRIVE IN UP TO 125FT - COM</v>
          </cell>
          <cell r="H683">
            <v>0.94</v>
          </cell>
        </row>
        <row r="684">
          <cell r="F684" t="str">
            <v>DRIVEIN2-COM</v>
          </cell>
          <cell r="G684" t="str">
            <v>DRIVE IN 125FT-150FT - COM</v>
          </cell>
          <cell r="H684">
            <v>2</v>
          </cell>
        </row>
        <row r="685">
          <cell r="F685" t="str">
            <v>DRIVEIN2WK-COM</v>
          </cell>
          <cell r="G685" t="str">
            <v>DRIVE IN 125FT-150FT</v>
          </cell>
          <cell r="H685">
            <v>8.66</v>
          </cell>
        </row>
        <row r="686">
          <cell r="F686" t="str">
            <v>EXTRA-COMM</v>
          </cell>
          <cell r="G686" t="str">
            <v>EXTRA ITEM - COM</v>
          </cell>
          <cell r="H686">
            <v>4.42</v>
          </cell>
        </row>
        <row r="687">
          <cell r="F687" t="str">
            <v>OS - COMM</v>
          </cell>
          <cell r="G687" t="str">
            <v>OVERSIZE CAN - COMM</v>
          </cell>
          <cell r="H687">
            <v>4.34</v>
          </cell>
        </row>
        <row r="688">
          <cell r="F688" t="str">
            <v>OW-COMM</v>
          </cell>
          <cell r="G688" t="str">
            <v>OVERFILL/OVERWEIGHT CAN -</v>
          </cell>
          <cell r="H688">
            <v>4.34</v>
          </cell>
        </row>
        <row r="689">
          <cell r="F689" t="str">
            <v>P1.5YC1W1</v>
          </cell>
          <cell r="G689" t="str">
            <v>1-1.5YD CONT 1 X WEEKLY</v>
          </cell>
          <cell r="H689">
            <v>107.17</v>
          </cell>
        </row>
        <row r="690">
          <cell r="F690" t="str">
            <v>P1.5YC1W2</v>
          </cell>
          <cell r="G690" t="str">
            <v>2-1.5YD CONT 1 X WEEKLY</v>
          </cell>
          <cell r="H690">
            <v>214.34</v>
          </cell>
        </row>
        <row r="691">
          <cell r="F691" t="str">
            <v>P1.5YC2W1</v>
          </cell>
          <cell r="G691" t="str">
            <v>1-1.5YD CONT 2 X WEEKLY</v>
          </cell>
          <cell r="H691">
            <v>214.34</v>
          </cell>
        </row>
        <row r="692">
          <cell r="F692" t="str">
            <v>P1.5YC3W1</v>
          </cell>
          <cell r="G692" t="str">
            <v>1-1.5YD CONT 3 X WEEKLY</v>
          </cell>
          <cell r="H692">
            <v>321.5</v>
          </cell>
        </row>
        <row r="693">
          <cell r="F693" t="str">
            <v>P1.5YC3W2</v>
          </cell>
          <cell r="G693" t="str">
            <v>2-1.5YD CONT 3 X WEEKLY</v>
          </cell>
          <cell r="H693">
            <v>643.01</v>
          </cell>
        </row>
        <row r="694">
          <cell r="F694" t="str">
            <v>P1.5YCE1</v>
          </cell>
          <cell r="G694" t="str">
            <v>1-1.5YD CONT EOW</v>
          </cell>
          <cell r="H694">
            <v>53.71</v>
          </cell>
        </row>
        <row r="695">
          <cell r="F695" t="str">
            <v>P1YC1W1</v>
          </cell>
          <cell r="G695" t="str">
            <v>1-1YD CONT 1 X WEEKLY</v>
          </cell>
          <cell r="H695">
            <v>72.7</v>
          </cell>
        </row>
        <row r="696">
          <cell r="F696" t="str">
            <v>P1YC1W2</v>
          </cell>
          <cell r="G696" t="str">
            <v>2-1YD CONT. 1 X WEEKLY</v>
          </cell>
          <cell r="H696">
            <v>145.4</v>
          </cell>
        </row>
        <row r="697">
          <cell r="F697" t="str">
            <v>2YCOC1</v>
          </cell>
          <cell r="G697" t="str">
            <v>1-2YD CONTAINER ON CALL</v>
          </cell>
          <cell r="H697">
            <v>45.06</v>
          </cell>
        </row>
        <row r="698">
          <cell r="F698" t="str">
            <v>P1YCE1</v>
          </cell>
          <cell r="G698" t="str">
            <v>1-1YD CONT EOW</v>
          </cell>
          <cell r="H698">
            <v>36.43</v>
          </cell>
        </row>
        <row r="699">
          <cell r="F699" t="str">
            <v>P2YC1W1</v>
          </cell>
          <cell r="G699" t="str">
            <v>1-2YD CONT 1 X WEEKLY</v>
          </cell>
          <cell r="H699">
            <v>139.99</v>
          </cell>
        </row>
        <row r="700">
          <cell r="F700" t="str">
            <v>P2YC1W2</v>
          </cell>
          <cell r="G700" t="str">
            <v>2-2YD CONT. 1 X WEEKLY</v>
          </cell>
          <cell r="H700">
            <v>279.98</v>
          </cell>
        </row>
        <row r="701">
          <cell r="F701" t="str">
            <v>P2YC1W3</v>
          </cell>
          <cell r="G701" t="str">
            <v>3-2YD CONT. 1 X WEEKLY</v>
          </cell>
          <cell r="H701">
            <v>419.97</v>
          </cell>
        </row>
        <row r="702">
          <cell r="F702" t="str">
            <v>P2YC1W4</v>
          </cell>
          <cell r="G702" t="str">
            <v>4-2YD CONT 1X WKLY</v>
          </cell>
          <cell r="H702">
            <v>559.96</v>
          </cell>
        </row>
        <row r="703">
          <cell r="F703" t="str">
            <v>P2YC1W7</v>
          </cell>
          <cell r="G703" t="str">
            <v>7-2YD CONT 1X WKLY</v>
          </cell>
          <cell r="H703">
            <v>979.92</v>
          </cell>
        </row>
        <row r="704">
          <cell r="F704" t="str">
            <v>P2YC2W1</v>
          </cell>
          <cell r="G704" t="str">
            <v>1-2YD CONT 2  X WEEKLY</v>
          </cell>
          <cell r="H704">
            <v>279.98</v>
          </cell>
        </row>
        <row r="705">
          <cell r="F705" t="str">
            <v>P2YC2W2</v>
          </cell>
          <cell r="G705" t="str">
            <v>2-2YD CONT 2X WKLY</v>
          </cell>
          <cell r="H705">
            <v>559.96</v>
          </cell>
        </row>
        <row r="706">
          <cell r="F706" t="str">
            <v>P2YC2W3</v>
          </cell>
          <cell r="G706" t="str">
            <v>3-2YD CONT 2X WKLY</v>
          </cell>
          <cell r="H706">
            <v>839.93</v>
          </cell>
        </row>
        <row r="707">
          <cell r="F707" t="str">
            <v>P2YC2W7</v>
          </cell>
          <cell r="G707" t="str">
            <v>7-2YD CONT 2X WKLY</v>
          </cell>
          <cell r="H707">
            <v>1959.84</v>
          </cell>
        </row>
        <row r="708">
          <cell r="F708" t="str">
            <v>P2YC3W1</v>
          </cell>
          <cell r="G708" t="str">
            <v>1-2YD CONT. 3 X WEEKLY</v>
          </cell>
          <cell r="H708">
            <v>419.97</v>
          </cell>
        </row>
        <row r="709">
          <cell r="F709" t="str">
            <v>P2YC3W2</v>
          </cell>
          <cell r="G709" t="str">
            <v>2-2YD CONT. 3 X WEEKLY</v>
          </cell>
          <cell r="H709">
            <v>839.93</v>
          </cell>
        </row>
        <row r="710">
          <cell r="F710" t="str">
            <v>P2YC4W1</v>
          </cell>
          <cell r="G710" t="str">
            <v>1-2YD CONT. 4 X WEEKLY</v>
          </cell>
          <cell r="H710">
            <v>559.96</v>
          </cell>
        </row>
        <row r="711">
          <cell r="F711" t="str">
            <v>P2YCE1</v>
          </cell>
          <cell r="G711" t="str">
            <v>1-2YD CONT EOW</v>
          </cell>
          <cell r="H711">
            <v>70.16</v>
          </cell>
        </row>
        <row r="712">
          <cell r="F712" t="str">
            <v>P4YC1W1</v>
          </cell>
          <cell r="G712" t="str">
            <v>1-4YD CONT. 1 X WEEKLY</v>
          </cell>
          <cell r="H712">
            <v>235.68</v>
          </cell>
        </row>
        <row r="713">
          <cell r="F713" t="str">
            <v>R1.5TC-COM</v>
          </cell>
          <cell r="G713" t="str">
            <v>1.5 YD TEMP CONT PICKUP</v>
          </cell>
          <cell r="H713">
            <v>34.24</v>
          </cell>
        </row>
        <row r="714">
          <cell r="F714" t="str">
            <v>R1TC-COM</v>
          </cell>
          <cell r="G714" t="str">
            <v>1 YD TEMP CONT PICKUP</v>
          </cell>
          <cell r="H714">
            <v>23.28</v>
          </cell>
        </row>
        <row r="715">
          <cell r="F715" t="str">
            <v>R2TC-COMM</v>
          </cell>
          <cell r="G715" t="str">
            <v>2 YD TEMP CONT PICKUP</v>
          </cell>
          <cell r="H715">
            <v>45.07</v>
          </cell>
        </row>
        <row r="716">
          <cell r="F716" t="str">
            <v>REINSTATE-COMM</v>
          </cell>
          <cell r="G716" t="str">
            <v>REINSTATE FEE-COMM</v>
          </cell>
          <cell r="H716">
            <v>13.94</v>
          </cell>
        </row>
        <row r="717">
          <cell r="F717" t="str">
            <v>RENT1-COM</v>
          </cell>
          <cell r="G717" t="str">
            <v>1 YD CONT RENTAL</v>
          </cell>
          <cell r="H717">
            <v>16.059999999999999</v>
          </cell>
        </row>
        <row r="718">
          <cell r="F718" t="str">
            <v>2YCOC1</v>
          </cell>
          <cell r="G718" t="str">
            <v>1-2YD CONTAINER ON CALL</v>
          </cell>
          <cell r="H718">
            <v>45.06</v>
          </cell>
        </row>
        <row r="719">
          <cell r="F719" t="str">
            <v>RENT1.5TEMP-COM</v>
          </cell>
          <cell r="G719" t="str">
            <v>1.5 YD TEMP CONT RENTAL</v>
          </cell>
          <cell r="H719">
            <v>28.76</v>
          </cell>
        </row>
        <row r="720">
          <cell r="F720" t="str">
            <v>RENT1TEMP-COM</v>
          </cell>
          <cell r="G720" t="str">
            <v>1 YD TEMP CONT RENTAL</v>
          </cell>
          <cell r="H720">
            <v>25</v>
          </cell>
        </row>
        <row r="721">
          <cell r="F721" t="str">
            <v>RENT2-COM</v>
          </cell>
          <cell r="G721" t="str">
            <v>2 YD CONT RENTAL</v>
          </cell>
          <cell r="H721">
            <v>23.17</v>
          </cell>
        </row>
        <row r="722">
          <cell r="F722" t="str">
            <v>RENT2TEMP-COM</v>
          </cell>
          <cell r="G722" t="str">
            <v>2 YD TEMP CONT RENTAL</v>
          </cell>
          <cell r="H722">
            <v>33.64</v>
          </cell>
        </row>
        <row r="723">
          <cell r="F723" t="str">
            <v>RENT4-COM</v>
          </cell>
          <cell r="G723" t="str">
            <v>4 YD CONT RENTAL</v>
          </cell>
          <cell r="H723">
            <v>36.76</v>
          </cell>
        </row>
        <row r="724">
          <cell r="F724" t="str">
            <v>ROLL-COM</v>
          </cell>
          <cell r="G724" t="str">
            <v>ROLLOUT CONTAINER - COM</v>
          </cell>
          <cell r="H724">
            <v>3.76</v>
          </cell>
        </row>
        <row r="725">
          <cell r="F725" t="str">
            <v>ROLL1W-COM</v>
          </cell>
          <cell r="G725" t="str">
            <v>ROLL OUT FEE 1X WK</v>
          </cell>
          <cell r="H725">
            <v>16.28</v>
          </cell>
        </row>
        <row r="726">
          <cell r="F726" t="str">
            <v>ROLL2W-COM</v>
          </cell>
          <cell r="G726" t="str">
            <v>ROLL OUT FEE 2X WK</v>
          </cell>
          <cell r="H726">
            <v>32.56</v>
          </cell>
        </row>
        <row r="727">
          <cell r="F727" t="str">
            <v>ROLL3W-COM</v>
          </cell>
          <cell r="G727" t="str">
            <v>ROLL OUT FEE 3X WK</v>
          </cell>
          <cell r="H727">
            <v>48.84</v>
          </cell>
        </row>
        <row r="728">
          <cell r="F728" t="str">
            <v>ROLLEOW-COM</v>
          </cell>
          <cell r="G728" t="str">
            <v>ROLL OUT FEE EOW</v>
          </cell>
          <cell r="H728">
            <v>8.16</v>
          </cell>
        </row>
        <row r="729">
          <cell r="F729" t="str">
            <v>WI-COMM</v>
          </cell>
          <cell r="G729" t="str">
            <v>WALK IN - COMM</v>
          </cell>
          <cell r="H729">
            <v>4.07</v>
          </cell>
        </row>
        <row r="730">
          <cell r="F730" t="str">
            <v>WIE-COM</v>
          </cell>
          <cell r="G730" t="str">
            <v>WALK IN 6-25FT EOW</v>
          </cell>
          <cell r="H730">
            <v>2.04</v>
          </cell>
        </row>
        <row r="731">
          <cell r="F731" t="str">
            <v>20R1W1</v>
          </cell>
          <cell r="G731" t="str">
            <v>1-20GAL CAN WEEKLY</v>
          </cell>
          <cell r="H731">
            <v>16.88</v>
          </cell>
        </row>
        <row r="732">
          <cell r="F732" t="str">
            <v>32R1E1</v>
          </cell>
          <cell r="G732" t="str">
            <v>1-32GAL CAN EOW</v>
          </cell>
          <cell r="H732">
            <v>12.36</v>
          </cell>
        </row>
        <row r="733">
          <cell r="F733" t="str">
            <v>32R1M1</v>
          </cell>
          <cell r="G733" t="str">
            <v>1-32GAL CAN MONTHLY</v>
          </cell>
          <cell r="H733">
            <v>6.18</v>
          </cell>
        </row>
        <row r="734">
          <cell r="F734" t="str">
            <v>32R1OC</v>
          </cell>
          <cell r="G734" t="str">
            <v>1-32GAL CAN ON CALL</v>
          </cell>
          <cell r="H734">
            <v>6.18</v>
          </cell>
        </row>
        <row r="735">
          <cell r="F735" t="str">
            <v>32R1W1</v>
          </cell>
          <cell r="G735" t="str">
            <v>1-32GAL CAN WEEKLY</v>
          </cell>
          <cell r="H735">
            <v>19.54</v>
          </cell>
        </row>
        <row r="736">
          <cell r="F736" t="str">
            <v>32R1W2</v>
          </cell>
          <cell r="G736" t="str">
            <v>2-32GAL CANS WEEKLY</v>
          </cell>
          <cell r="H736">
            <v>26.77</v>
          </cell>
        </row>
        <row r="737">
          <cell r="F737" t="str">
            <v>32R1W3</v>
          </cell>
          <cell r="G737" t="str">
            <v>3-32GAL CANS WEEKLY</v>
          </cell>
          <cell r="H737">
            <v>34.880000000000003</v>
          </cell>
        </row>
        <row r="738">
          <cell r="F738" t="str">
            <v>32R1W4</v>
          </cell>
          <cell r="G738" t="str">
            <v>4-32GAL CANS WEEKLY</v>
          </cell>
          <cell r="H738">
            <v>42.46</v>
          </cell>
        </row>
        <row r="739">
          <cell r="F739" t="str">
            <v>32R1W5</v>
          </cell>
          <cell r="G739" t="str">
            <v>5-32 GAL CANS WKLY</v>
          </cell>
          <cell r="H739">
            <v>51.46</v>
          </cell>
        </row>
        <row r="740">
          <cell r="F740" t="str">
            <v>32R1W6</v>
          </cell>
          <cell r="G740" t="str">
            <v>6-32 GAL CANS WKLY</v>
          </cell>
          <cell r="H740">
            <v>61.1</v>
          </cell>
        </row>
        <row r="741">
          <cell r="F741" t="str">
            <v>45R1OC</v>
          </cell>
          <cell r="G741" t="str">
            <v>1-45 GAL CAN ON CALL</v>
          </cell>
          <cell r="H741">
            <v>6.18</v>
          </cell>
        </row>
        <row r="742">
          <cell r="F742" t="str">
            <v>45R1W1</v>
          </cell>
          <cell r="G742" t="str">
            <v>1-45 GAL CAN WKLY</v>
          </cell>
          <cell r="H742">
            <v>31.61</v>
          </cell>
        </row>
        <row r="743">
          <cell r="F743" t="str">
            <v>45RE1</v>
          </cell>
          <cell r="G743" t="str">
            <v>1-45 GAL EOW</v>
          </cell>
          <cell r="H743">
            <v>22.85</v>
          </cell>
        </row>
        <row r="744">
          <cell r="F744" t="str">
            <v>60R1M1</v>
          </cell>
          <cell r="G744" t="str">
            <v>1-60GAL CART MONTHLY</v>
          </cell>
          <cell r="H744">
            <v>33.99</v>
          </cell>
        </row>
        <row r="745">
          <cell r="F745" t="str">
            <v>60R1W1</v>
          </cell>
          <cell r="G745" t="str">
            <v>1-60GAL CART WEEKLY</v>
          </cell>
          <cell r="H745">
            <v>39.44</v>
          </cell>
        </row>
        <row r="746">
          <cell r="F746" t="str">
            <v>ACCESS-RES</v>
          </cell>
          <cell r="G746" t="str">
            <v>ACCESS/GATE CHARGE</v>
          </cell>
          <cell r="H746">
            <v>4.71</v>
          </cell>
        </row>
        <row r="747">
          <cell r="F747" t="str">
            <v>ACCESSEOW-RES</v>
          </cell>
          <cell r="G747" t="str">
            <v>ACCESS/GATE FEE EOW</v>
          </cell>
          <cell r="H747">
            <v>2.36</v>
          </cell>
        </row>
        <row r="748">
          <cell r="F748" t="str">
            <v>BULKY - RES</v>
          </cell>
          <cell r="G748" t="str">
            <v>BULKY ITEM PICK UP - RES</v>
          </cell>
          <cell r="H748">
            <v>17.739999999999998</v>
          </cell>
        </row>
        <row r="749">
          <cell r="F749" t="str">
            <v>DRIVEIN-RES</v>
          </cell>
          <cell r="G749" t="str">
            <v>DRIVE IN - RES</v>
          </cell>
          <cell r="H749">
            <v>2.71</v>
          </cell>
        </row>
        <row r="750">
          <cell r="F750" t="str">
            <v>DRIVEIN1-RES</v>
          </cell>
          <cell r="G750" t="str">
            <v>DRIVE IN UP TO 125FT - RES</v>
          </cell>
          <cell r="H750">
            <v>2.71</v>
          </cell>
        </row>
        <row r="751">
          <cell r="F751" t="str">
            <v>DRIVEIN2-RES</v>
          </cell>
          <cell r="G751" t="str">
            <v>DRIVE IN 125FT-150FT - RES</v>
          </cell>
          <cell r="H751">
            <v>5.41</v>
          </cell>
        </row>
        <row r="752">
          <cell r="F752" t="str">
            <v>DRIVEIN2WK-RES</v>
          </cell>
          <cell r="G752" t="str">
            <v>DRIVE IN 125FT-150FT</v>
          </cell>
          <cell r="H752">
            <v>5.41</v>
          </cell>
        </row>
        <row r="753">
          <cell r="F753" t="str">
            <v>EXTRA-RES</v>
          </cell>
          <cell r="G753" t="str">
            <v>EXTRA ITEM - RES</v>
          </cell>
          <cell r="H753">
            <v>4.54</v>
          </cell>
        </row>
        <row r="754">
          <cell r="F754" t="str">
            <v>OS - RES</v>
          </cell>
          <cell r="G754" t="str">
            <v>OVERSIZE CAN - RES</v>
          </cell>
          <cell r="H754">
            <v>4.34</v>
          </cell>
        </row>
        <row r="755">
          <cell r="F755" t="str">
            <v>OW-RES</v>
          </cell>
          <cell r="G755" t="str">
            <v>OVERFILL / OVERWEIGHT CAN</v>
          </cell>
          <cell r="H755">
            <v>4.34</v>
          </cell>
        </row>
        <row r="756">
          <cell r="F756" t="str">
            <v>SUNKENCAN-RES</v>
          </cell>
          <cell r="G756" t="str">
            <v>ABOVE/UNDER GROUND</v>
          </cell>
          <cell r="H756">
            <v>2.71</v>
          </cell>
        </row>
        <row r="757">
          <cell r="F757" t="str">
            <v>WI-RES</v>
          </cell>
          <cell r="G757" t="str">
            <v>WALK IN/CARRYOUT 5-25FT</v>
          </cell>
          <cell r="H757">
            <v>2.71</v>
          </cell>
        </row>
        <row r="758">
          <cell r="F758" t="str">
            <v>WI2-RES</v>
          </cell>
          <cell r="G758" t="str">
            <v>CARRYOUT OVER 25FT</v>
          </cell>
          <cell r="H758">
            <v>2.71</v>
          </cell>
        </row>
        <row r="759">
          <cell r="F759" t="str">
            <v>20YQCOMPC</v>
          </cell>
          <cell r="G759" t="str">
            <v>20YD COMP/CORR HAUL FEE</v>
          </cell>
          <cell r="H759">
            <v>294.08999999999997</v>
          </cell>
        </row>
        <row r="760">
          <cell r="F760" t="str">
            <v>40YCOMPT</v>
          </cell>
          <cell r="G760" t="str">
            <v>40YD COMP/TRASH HAUL FEE</v>
          </cell>
          <cell r="H760">
            <v>582.29999999999995</v>
          </cell>
        </row>
        <row r="761">
          <cell r="F761" t="str">
            <v>DEL-RO</v>
          </cell>
          <cell r="G761" t="str">
            <v>DELIVERY FEE - RO</v>
          </cell>
          <cell r="H761">
            <v>50.11</v>
          </cell>
        </row>
        <row r="762">
          <cell r="F762" t="str">
            <v>DISP-RO</v>
          </cell>
          <cell r="G762" t="str">
            <v>DISPOSAL CHARGE - RO</v>
          </cell>
          <cell r="H762">
            <v>71.16</v>
          </cell>
        </row>
        <row r="763">
          <cell r="F763" t="str">
            <v>HAUL10-RO</v>
          </cell>
          <cell r="G763" t="str">
            <v>HAUL 10 YD</v>
          </cell>
          <cell r="H763">
            <v>155.28</v>
          </cell>
        </row>
        <row r="764">
          <cell r="F764" t="str">
            <v>HAUL10ADD-RO</v>
          </cell>
          <cell r="G764" t="str">
            <v>ADDITIONAL 10 YD HAUL</v>
          </cell>
          <cell r="H764">
            <v>97.05</v>
          </cell>
        </row>
        <row r="765">
          <cell r="F765" t="str">
            <v>HAUL10P-RO</v>
          </cell>
          <cell r="G765" t="str">
            <v>HAUL 10 YD</v>
          </cell>
          <cell r="H765">
            <v>97.05</v>
          </cell>
        </row>
        <row r="766">
          <cell r="F766" t="str">
            <v>HAUL10TEMP-RO</v>
          </cell>
          <cell r="G766" t="str">
            <v>HAUL 10 YD TEMPORARY</v>
          </cell>
          <cell r="H766">
            <v>112.22</v>
          </cell>
        </row>
        <row r="767">
          <cell r="F767" t="str">
            <v>HAUL20-RO</v>
          </cell>
          <cell r="G767" t="str">
            <v>HAUL 20 YD</v>
          </cell>
          <cell r="H767">
            <v>155.28</v>
          </cell>
        </row>
        <row r="768">
          <cell r="F768" t="str">
            <v>HAUL20ADD-RO</v>
          </cell>
          <cell r="G768" t="str">
            <v>ADDITIONAL 20 YD HAUL</v>
          </cell>
          <cell r="H768">
            <v>97.05</v>
          </cell>
        </row>
        <row r="769">
          <cell r="F769" t="str">
            <v>HAUL20P-RO</v>
          </cell>
          <cell r="G769" t="str">
            <v>HAUL 20 YD</v>
          </cell>
          <cell r="H769">
            <v>97.05</v>
          </cell>
        </row>
        <row r="770">
          <cell r="F770" t="str">
            <v>HAUL20TEMP-RO</v>
          </cell>
          <cell r="G770" t="str">
            <v>HAUL 20 YD TEMPORARY</v>
          </cell>
          <cell r="H770">
            <v>112.22</v>
          </cell>
        </row>
        <row r="771">
          <cell r="F771" t="str">
            <v>HAUL30-RO</v>
          </cell>
          <cell r="G771" t="str">
            <v>HAUL 30 YD</v>
          </cell>
          <cell r="H771">
            <v>280.56</v>
          </cell>
        </row>
        <row r="772">
          <cell r="F772" t="str">
            <v>HAUL30ADD-RO</v>
          </cell>
          <cell r="G772" t="str">
            <v>ADDITIONAL 30 YD HAUL</v>
          </cell>
          <cell r="H772">
            <v>121.75</v>
          </cell>
        </row>
        <row r="773">
          <cell r="F773" t="str">
            <v>HAUL30P-RO</v>
          </cell>
          <cell r="G773" t="str">
            <v>HAUL 30 YD</v>
          </cell>
          <cell r="H773">
            <v>121.75</v>
          </cell>
        </row>
        <row r="774">
          <cell r="F774" t="str">
            <v>HAUL30TEMP-RO</v>
          </cell>
          <cell r="G774" t="str">
            <v>HAUL 30 YD TEMPORARY</v>
          </cell>
          <cell r="H774">
            <v>162.1</v>
          </cell>
        </row>
        <row r="775">
          <cell r="F775" t="str">
            <v>QDEL</v>
          </cell>
          <cell r="G775" t="str">
            <v>DROP BOX DELIVERY</v>
          </cell>
          <cell r="H775">
            <v>50.11</v>
          </cell>
        </row>
        <row r="776">
          <cell r="F776" t="str">
            <v>QMILE</v>
          </cell>
          <cell r="G776" t="str">
            <v>MILEAGE CHARGE</v>
          </cell>
          <cell r="H776">
            <v>4.3499999999999996</v>
          </cell>
        </row>
        <row r="777">
          <cell r="F777" t="str">
            <v>QRENT</v>
          </cell>
          <cell r="G777" t="str">
            <v>MONTHLY DROP BOX RENTAL</v>
          </cell>
          <cell r="H777">
            <v>124.69</v>
          </cell>
        </row>
        <row r="778">
          <cell r="F778" t="str">
            <v>RENT10DAY-RO</v>
          </cell>
          <cell r="G778" t="str">
            <v>RENTAL 10 YD TEMP</v>
          </cell>
          <cell r="H778">
            <v>8.1199999999999992</v>
          </cell>
        </row>
        <row r="779">
          <cell r="F779" t="str">
            <v>RENT10MO-RO</v>
          </cell>
          <cell r="G779" t="str">
            <v>RENTAL 10 YD</v>
          </cell>
          <cell r="H779">
            <v>49.5</v>
          </cell>
        </row>
        <row r="780">
          <cell r="F780" t="str">
            <v>RENT10TEMP-RO</v>
          </cell>
          <cell r="G780" t="str">
            <v>RENTAL 10 YD TEMP</v>
          </cell>
          <cell r="H780">
            <v>124.69</v>
          </cell>
        </row>
        <row r="781">
          <cell r="F781" t="str">
            <v>RENT20DAY-RO</v>
          </cell>
          <cell r="G781" t="str">
            <v>RENTAL 20 YD TEMP</v>
          </cell>
          <cell r="H781">
            <v>8.1199999999999992</v>
          </cell>
        </row>
        <row r="782">
          <cell r="F782" t="str">
            <v>RENT20MO-RO</v>
          </cell>
          <cell r="G782" t="str">
            <v>RENTAL 20 YD</v>
          </cell>
          <cell r="H782">
            <v>49.5</v>
          </cell>
        </row>
        <row r="783">
          <cell r="F783" t="str">
            <v>RENT20TEMP-RO</v>
          </cell>
          <cell r="G783" t="str">
            <v>RENTAL 20 YD TEMP</v>
          </cell>
          <cell r="H783">
            <v>124.69</v>
          </cell>
        </row>
        <row r="784">
          <cell r="F784" t="str">
            <v>RENT30DAY-RO</v>
          </cell>
          <cell r="G784" t="str">
            <v>RENTAL 30 YD TEMP</v>
          </cell>
          <cell r="H784">
            <v>8.1199999999999992</v>
          </cell>
        </row>
        <row r="785">
          <cell r="F785" t="str">
            <v>RENT30MO-RO</v>
          </cell>
          <cell r="G785" t="str">
            <v>RENTAL 30 YD</v>
          </cell>
          <cell r="H785">
            <v>135</v>
          </cell>
        </row>
        <row r="786">
          <cell r="F786" t="str">
            <v>RENT30TEMP-RO</v>
          </cell>
          <cell r="G786" t="str">
            <v>RENTAL 30 YD TEMP</v>
          </cell>
          <cell r="H786">
            <v>124.69</v>
          </cell>
        </row>
        <row r="787">
          <cell r="F787" t="str">
            <v>2YCOC1</v>
          </cell>
          <cell r="G787" t="str">
            <v>1-2YD CONTAINER ON CALL</v>
          </cell>
          <cell r="H787">
            <v>45.06</v>
          </cell>
        </row>
        <row r="788">
          <cell r="F788" t="str">
            <v>1YCOC1</v>
          </cell>
          <cell r="G788" t="str">
            <v>1-1YD CONTAINER ON CALL</v>
          </cell>
          <cell r="H788">
            <v>23.27</v>
          </cell>
        </row>
        <row r="789">
          <cell r="F789" t="str">
            <v>2YCOC1</v>
          </cell>
          <cell r="G789" t="str">
            <v>1-2YD CONTAINER ON CALL</v>
          </cell>
          <cell r="H789">
            <v>45.06</v>
          </cell>
        </row>
        <row r="790">
          <cell r="F790" t="str">
            <v>32C1E1</v>
          </cell>
          <cell r="G790" t="str">
            <v>1-32GAL CAN EOW</v>
          </cell>
          <cell r="H790">
            <v>19.16</v>
          </cell>
        </row>
        <row r="791">
          <cell r="F791" t="str">
            <v>32C1M1</v>
          </cell>
          <cell r="G791" t="str">
            <v>1-32GAL CAN 1 X MONTHLY</v>
          </cell>
          <cell r="H791">
            <v>19.16</v>
          </cell>
        </row>
        <row r="792">
          <cell r="F792" t="str">
            <v>32C1OC</v>
          </cell>
          <cell r="G792" t="str">
            <v>1-32GAL CAN ON CALL</v>
          </cell>
          <cell r="H792">
            <v>5.35</v>
          </cell>
        </row>
        <row r="793">
          <cell r="F793" t="str">
            <v>32C1W1</v>
          </cell>
          <cell r="G793" t="str">
            <v>1-32GAL COMM 1 X WEEKLY</v>
          </cell>
          <cell r="H793">
            <v>19.16</v>
          </cell>
        </row>
        <row r="794">
          <cell r="F794" t="str">
            <v>32C1W2</v>
          </cell>
          <cell r="G794" t="str">
            <v>2-32GAL CANS WEEKLY</v>
          </cell>
          <cell r="H794">
            <v>38.28</v>
          </cell>
        </row>
        <row r="795">
          <cell r="F795" t="str">
            <v>32C1W3</v>
          </cell>
          <cell r="G795" t="str">
            <v>3-32GAL CANS WEEKLY</v>
          </cell>
          <cell r="H795">
            <v>57.42</v>
          </cell>
        </row>
        <row r="796">
          <cell r="F796" t="str">
            <v>32C1W4</v>
          </cell>
          <cell r="G796" t="str">
            <v>4-32GAL CANS 1 X WEEKLY</v>
          </cell>
          <cell r="H796">
            <v>76.55</v>
          </cell>
        </row>
        <row r="797">
          <cell r="F797" t="str">
            <v>45C1M1</v>
          </cell>
          <cell r="G797" t="str">
            <v>1-45 GAL COM CAN MONTHLY</v>
          </cell>
          <cell r="H797">
            <v>31.59</v>
          </cell>
        </row>
        <row r="798">
          <cell r="F798" t="str">
            <v>45C1W1</v>
          </cell>
          <cell r="G798" t="str">
            <v>45 GL 1X WK 1 COM</v>
          </cell>
          <cell r="H798">
            <v>31.59</v>
          </cell>
        </row>
        <row r="799">
          <cell r="F799" t="str">
            <v>ACCESS1W-COM</v>
          </cell>
          <cell r="G799" t="str">
            <v>ACCESS/GATE FEE 1X WK</v>
          </cell>
          <cell r="H799">
            <v>4.71</v>
          </cell>
        </row>
        <row r="800">
          <cell r="F800" t="str">
            <v>ACCESS2W-COM</v>
          </cell>
          <cell r="G800" t="str">
            <v>ACCESS/GATE FEE 2X WK</v>
          </cell>
          <cell r="H800">
            <v>9.42</v>
          </cell>
        </row>
        <row r="801">
          <cell r="F801" t="str">
            <v>ACCESS3W-COM</v>
          </cell>
          <cell r="G801" t="str">
            <v>ACCESS/GATE FEE 3X WK</v>
          </cell>
          <cell r="H801">
            <v>14.13</v>
          </cell>
        </row>
        <row r="802">
          <cell r="F802" t="str">
            <v>ACCESSEOW-COM</v>
          </cell>
          <cell r="G802" t="str">
            <v>ACCESS/GATE FEE EOW</v>
          </cell>
          <cell r="H802">
            <v>2.36</v>
          </cell>
        </row>
        <row r="803">
          <cell r="F803" t="str">
            <v>BULKY - COMM</v>
          </cell>
          <cell r="G803" t="str">
            <v>BULKY ITEM PICK UP - COMM</v>
          </cell>
          <cell r="H803">
            <v>17.739999999999998</v>
          </cell>
        </row>
        <row r="804">
          <cell r="F804" t="str">
            <v>CLOCK</v>
          </cell>
          <cell r="G804" t="str">
            <v>COMM LOCK CHARGE</v>
          </cell>
          <cell r="H804">
            <v>2.94</v>
          </cell>
        </row>
        <row r="805">
          <cell r="F805" t="str">
            <v>CLOCK2W</v>
          </cell>
          <cell r="G805" t="str">
            <v>LOCK CHARGE 2X WK</v>
          </cell>
          <cell r="H805">
            <v>5.88</v>
          </cell>
        </row>
        <row r="806">
          <cell r="F806" t="str">
            <v>CLOCKE</v>
          </cell>
          <cell r="G806" t="str">
            <v>LOCK CHARGE EOW</v>
          </cell>
          <cell r="H806">
            <v>1.91</v>
          </cell>
        </row>
        <row r="807">
          <cell r="F807" t="str">
            <v>DEL1-COM</v>
          </cell>
          <cell r="G807" t="str">
            <v>DELIVER 1 YD</v>
          </cell>
          <cell r="H807">
            <v>14.94</v>
          </cell>
        </row>
        <row r="808">
          <cell r="F808" t="str">
            <v>DEL1.5-COM</v>
          </cell>
          <cell r="G808" t="str">
            <v>DELIVER 1.5 YD</v>
          </cell>
          <cell r="H808">
            <v>15.82</v>
          </cell>
        </row>
        <row r="809">
          <cell r="F809" t="str">
            <v>DEL2-COM</v>
          </cell>
          <cell r="G809" t="str">
            <v>DELIVER 2 YD</v>
          </cell>
          <cell r="H809">
            <v>16.760000000000002</v>
          </cell>
        </row>
        <row r="810">
          <cell r="F810" t="str">
            <v>DEL3-COM</v>
          </cell>
          <cell r="G810" t="str">
            <v>DELIVER 3 YD</v>
          </cell>
          <cell r="H810">
            <v>19.59</v>
          </cell>
        </row>
        <row r="811">
          <cell r="F811" t="str">
            <v>DEL4-COM</v>
          </cell>
          <cell r="G811" t="str">
            <v>DELIVER 4 YD</v>
          </cell>
          <cell r="H811">
            <v>21.82</v>
          </cell>
        </row>
        <row r="812">
          <cell r="F812" t="str">
            <v>DEL6-COM</v>
          </cell>
          <cell r="G812" t="str">
            <v>DELIVER 6 YD</v>
          </cell>
          <cell r="H812">
            <v>20.55</v>
          </cell>
        </row>
        <row r="813">
          <cell r="F813" t="str">
            <v>DRIVEIN1-COM</v>
          </cell>
          <cell r="G813" t="str">
            <v>DRIVE IN UP TO 125FT - COM</v>
          </cell>
          <cell r="H813">
            <v>0.94</v>
          </cell>
        </row>
        <row r="814">
          <cell r="F814" t="str">
            <v>DRIVEIN2-COM</v>
          </cell>
          <cell r="G814" t="str">
            <v>DRIVE IN 125FT-150FT - COM</v>
          </cell>
          <cell r="H814">
            <v>2</v>
          </cell>
        </row>
        <row r="815">
          <cell r="F815" t="str">
            <v>DRIVEIN2WK-COM</v>
          </cell>
          <cell r="G815" t="str">
            <v>DRIVE IN 125FT-150FT</v>
          </cell>
          <cell r="H815">
            <v>8.66</v>
          </cell>
        </row>
        <row r="816">
          <cell r="F816" t="str">
            <v>EXTRA-COMM</v>
          </cell>
          <cell r="G816" t="str">
            <v>EXTRA ITEM - COM</v>
          </cell>
          <cell r="H816">
            <v>4.42</v>
          </cell>
        </row>
        <row r="817">
          <cell r="F817" t="str">
            <v>OS - COMM</v>
          </cell>
          <cell r="G817" t="str">
            <v>OVERSIZE CAN - COMM</v>
          </cell>
          <cell r="H817">
            <v>4.34</v>
          </cell>
        </row>
        <row r="818">
          <cell r="F818" t="str">
            <v>OW-COMM</v>
          </cell>
          <cell r="G818" t="str">
            <v>OVERFILL/OVERWEIGHT CAN -</v>
          </cell>
          <cell r="H818">
            <v>4.34</v>
          </cell>
        </row>
        <row r="819">
          <cell r="F819" t="str">
            <v>P1.5YC1W1</v>
          </cell>
          <cell r="G819" t="str">
            <v>1-1.5YD CONT 1 X WEEKLY</v>
          </cell>
          <cell r="H819">
            <v>107.17</v>
          </cell>
        </row>
        <row r="820">
          <cell r="F820" t="str">
            <v>P1.5YC1W2</v>
          </cell>
          <cell r="G820" t="str">
            <v>2-1.5YD CONT 1 X WEEKLY</v>
          </cell>
          <cell r="H820">
            <v>214.34</v>
          </cell>
        </row>
        <row r="821">
          <cell r="F821" t="str">
            <v>P1.5YC2W1</v>
          </cell>
          <cell r="G821" t="str">
            <v>1-1.5YD CONT 2 X WEEKLY</v>
          </cell>
          <cell r="H821">
            <v>214.34</v>
          </cell>
        </row>
        <row r="822">
          <cell r="F822" t="str">
            <v>P1.5YC3W1</v>
          </cell>
          <cell r="G822" t="str">
            <v>1-1.5YD CONT 3 X WEEKLY</v>
          </cell>
          <cell r="H822">
            <v>321.5</v>
          </cell>
        </row>
        <row r="823">
          <cell r="F823" t="str">
            <v>P1.5YC3W2</v>
          </cell>
          <cell r="G823" t="str">
            <v>2-1.5YD CONT 3 X WEEKLY</v>
          </cell>
          <cell r="H823">
            <v>643.01</v>
          </cell>
        </row>
        <row r="824">
          <cell r="F824" t="str">
            <v>P1.5YCE1</v>
          </cell>
          <cell r="G824" t="str">
            <v>1-1.5YD CONT EOW</v>
          </cell>
          <cell r="H824">
            <v>53.71</v>
          </cell>
        </row>
        <row r="825">
          <cell r="F825" t="str">
            <v>P1YC1W1</v>
          </cell>
          <cell r="G825" t="str">
            <v>1-1YD CONT 1 X WEEKLY</v>
          </cell>
          <cell r="H825">
            <v>72.7</v>
          </cell>
        </row>
        <row r="826">
          <cell r="F826" t="str">
            <v>P1YC1W2</v>
          </cell>
          <cell r="G826" t="str">
            <v>2-1YD CONT. 1 X WEEKLY</v>
          </cell>
          <cell r="H826">
            <v>145.4</v>
          </cell>
        </row>
        <row r="827">
          <cell r="F827" t="str">
            <v>2YCOC1</v>
          </cell>
          <cell r="G827" t="str">
            <v>1-2YD CONTAINER ON CALL</v>
          </cell>
          <cell r="H827">
            <v>45.06</v>
          </cell>
        </row>
        <row r="828">
          <cell r="F828" t="str">
            <v>P1YCE1</v>
          </cell>
          <cell r="G828" t="str">
            <v>1-1YD CONT EOW</v>
          </cell>
          <cell r="H828">
            <v>36.43</v>
          </cell>
        </row>
        <row r="829">
          <cell r="F829" t="str">
            <v>P2YC1W1</v>
          </cell>
          <cell r="G829" t="str">
            <v>1-2YD CONT 1 X WEEKLY</v>
          </cell>
          <cell r="H829">
            <v>139.99</v>
          </cell>
        </row>
        <row r="830">
          <cell r="F830" t="str">
            <v>P2YC1W2</v>
          </cell>
          <cell r="G830" t="str">
            <v>2-2YD CONT. 1 X WEEKLY</v>
          </cell>
          <cell r="H830">
            <v>279.98</v>
          </cell>
        </row>
        <row r="831">
          <cell r="F831" t="str">
            <v>P2YC1W3</v>
          </cell>
          <cell r="G831" t="str">
            <v>3-2YD CONT. 1 X WEEKLY</v>
          </cell>
          <cell r="H831">
            <v>419.97</v>
          </cell>
        </row>
        <row r="832">
          <cell r="F832" t="str">
            <v>P2YC1W4</v>
          </cell>
          <cell r="G832" t="str">
            <v>4-2YD CONT 1X WKLY</v>
          </cell>
          <cell r="H832">
            <v>559.96</v>
          </cell>
        </row>
        <row r="833">
          <cell r="F833" t="str">
            <v>P2YC1W7</v>
          </cell>
          <cell r="G833" t="str">
            <v>7-2YD CONT 1X WKLY</v>
          </cell>
          <cell r="H833">
            <v>979.92</v>
          </cell>
        </row>
        <row r="834">
          <cell r="F834" t="str">
            <v>P2YC2W1</v>
          </cell>
          <cell r="G834" t="str">
            <v>1-2YD CONT 2  X WEEKLY</v>
          </cell>
          <cell r="H834">
            <v>279.98</v>
          </cell>
        </row>
        <row r="835">
          <cell r="F835" t="str">
            <v>P2YC2W2</v>
          </cell>
          <cell r="G835" t="str">
            <v>2-2YD CONT 2X WKLY</v>
          </cell>
          <cell r="H835">
            <v>559.96</v>
          </cell>
        </row>
        <row r="836">
          <cell r="F836" t="str">
            <v>P2YC2W3</v>
          </cell>
          <cell r="G836" t="str">
            <v>3-2YD CONT 2X WKLY</v>
          </cell>
          <cell r="H836">
            <v>839.93</v>
          </cell>
        </row>
        <row r="837">
          <cell r="F837" t="str">
            <v>P2YC2W7</v>
          </cell>
          <cell r="G837" t="str">
            <v>7-2YD CONT 2X WKLY</v>
          </cell>
          <cell r="H837">
            <v>1959.84</v>
          </cell>
        </row>
        <row r="838">
          <cell r="F838" t="str">
            <v>P2YC3W1</v>
          </cell>
          <cell r="G838" t="str">
            <v>1-2YD CONT. 3 X WEEKLY</v>
          </cell>
          <cell r="H838">
            <v>419.97</v>
          </cell>
        </row>
        <row r="839">
          <cell r="F839" t="str">
            <v>P2YC3W2</v>
          </cell>
          <cell r="G839" t="str">
            <v>2-2YD CONT. 3 X WEEKLY</v>
          </cell>
          <cell r="H839">
            <v>839.93</v>
          </cell>
        </row>
        <row r="840">
          <cell r="F840" t="str">
            <v>P2YC4W1</v>
          </cell>
          <cell r="G840" t="str">
            <v>1-2YD CONT. 4 X WEEKLY</v>
          </cell>
          <cell r="H840">
            <v>559.96</v>
          </cell>
        </row>
        <row r="841">
          <cell r="F841" t="str">
            <v>P2YCE1</v>
          </cell>
          <cell r="G841" t="str">
            <v>1-2YD CONT EOW</v>
          </cell>
          <cell r="H841">
            <v>70.16</v>
          </cell>
        </row>
        <row r="842">
          <cell r="F842" t="str">
            <v>P4YC1W1</v>
          </cell>
          <cell r="G842" t="str">
            <v>1-4YD CONT. 1 X WEEKLY</v>
          </cell>
          <cell r="H842">
            <v>235.68</v>
          </cell>
        </row>
        <row r="843">
          <cell r="F843" t="str">
            <v>R1.5TC-COM</v>
          </cell>
          <cell r="G843" t="str">
            <v>1.5 YD TEMP CONT PICKUP</v>
          </cell>
          <cell r="H843">
            <v>34.24</v>
          </cell>
        </row>
        <row r="844">
          <cell r="F844" t="str">
            <v>R1TC-COM</v>
          </cell>
          <cell r="G844" t="str">
            <v>1 YD TEMP CONT PICKUP</v>
          </cell>
          <cell r="H844">
            <v>23.28</v>
          </cell>
        </row>
        <row r="845">
          <cell r="F845" t="str">
            <v>R2TC-COMM</v>
          </cell>
          <cell r="G845" t="str">
            <v>2 YD TEMP CONT PICKUP</v>
          </cell>
          <cell r="H845">
            <v>45.07</v>
          </cell>
        </row>
        <row r="846">
          <cell r="F846" t="str">
            <v>REINSTATE-COMM</v>
          </cell>
          <cell r="G846" t="str">
            <v>REINSTATE FEE-COMM</v>
          </cell>
          <cell r="H846">
            <v>13.94</v>
          </cell>
        </row>
        <row r="847">
          <cell r="F847" t="str">
            <v>RENT1-COM</v>
          </cell>
          <cell r="G847" t="str">
            <v>1 YD CONT RENTAL</v>
          </cell>
          <cell r="H847">
            <v>16.059999999999999</v>
          </cell>
        </row>
        <row r="848">
          <cell r="F848" t="str">
            <v>2YCOC1</v>
          </cell>
          <cell r="G848" t="str">
            <v>1-2YD CONTAINER ON CALL</v>
          </cell>
          <cell r="H848">
            <v>45.06</v>
          </cell>
        </row>
        <row r="849">
          <cell r="F849" t="str">
            <v>RENT1.5TEMP-COM</v>
          </cell>
          <cell r="G849" t="str">
            <v>1.5 YD TEMP CONT RENTAL</v>
          </cell>
          <cell r="H849">
            <v>28.76</v>
          </cell>
        </row>
        <row r="850">
          <cell r="F850" t="str">
            <v>RENT1TEMP-COM</v>
          </cell>
          <cell r="G850" t="str">
            <v>1 YD TEMP CONT RENTAL</v>
          </cell>
          <cell r="H850">
            <v>25</v>
          </cell>
        </row>
        <row r="851">
          <cell r="F851" t="str">
            <v>RENT2-COM</v>
          </cell>
          <cell r="G851" t="str">
            <v>2 YD CONT RENTAL</v>
          </cell>
          <cell r="H851">
            <v>23.17</v>
          </cell>
        </row>
        <row r="852">
          <cell r="F852" t="str">
            <v>RENT2TEMP-COM</v>
          </cell>
          <cell r="G852" t="str">
            <v>2 YD TEMP CONT RENTAL</v>
          </cell>
          <cell r="H852">
            <v>33.64</v>
          </cell>
        </row>
        <row r="853">
          <cell r="F853" t="str">
            <v>RENT4-COM</v>
          </cell>
          <cell r="G853" t="str">
            <v>4 YD CONT RENTAL</v>
          </cell>
          <cell r="H853">
            <v>36.76</v>
          </cell>
        </row>
        <row r="854">
          <cell r="F854" t="str">
            <v>ROLL-COM</v>
          </cell>
          <cell r="G854" t="str">
            <v>ROLLOUT CONTAINER - COM</v>
          </cell>
          <cell r="H854">
            <v>3.76</v>
          </cell>
        </row>
        <row r="855">
          <cell r="F855" t="str">
            <v>ROLL1W-COM</v>
          </cell>
          <cell r="G855" t="str">
            <v>ROLL OUT FEE 1X WK</v>
          </cell>
          <cell r="H855">
            <v>16.28</v>
          </cell>
        </row>
        <row r="856">
          <cell r="F856" t="str">
            <v>ROLL2W-COM</v>
          </cell>
          <cell r="G856" t="str">
            <v>ROLL OUT FEE 2X WK</v>
          </cell>
          <cell r="H856">
            <v>32.56</v>
          </cell>
        </row>
        <row r="857">
          <cell r="F857" t="str">
            <v>ROLL3W-COM</v>
          </cell>
          <cell r="G857" t="str">
            <v>ROLL OUT FEE 3X WK</v>
          </cell>
          <cell r="H857">
            <v>48.84</v>
          </cell>
        </row>
        <row r="858">
          <cell r="F858" t="str">
            <v>ROLLEOW-COM</v>
          </cell>
          <cell r="G858" t="str">
            <v>ROLL OUT FEE EOW</v>
          </cell>
          <cell r="H858">
            <v>8.16</v>
          </cell>
        </row>
        <row r="859">
          <cell r="F859" t="str">
            <v>WI-COMM</v>
          </cell>
          <cell r="G859" t="str">
            <v>WALK IN - COMM</v>
          </cell>
          <cell r="H859">
            <v>4.07</v>
          </cell>
        </row>
        <row r="860">
          <cell r="F860" t="str">
            <v>WIE-COM</v>
          </cell>
          <cell r="G860" t="str">
            <v>WALK IN 6-25FT EOW</v>
          </cell>
          <cell r="H860">
            <v>2.04</v>
          </cell>
        </row>
        <row r="861">
          <cell r="F861" t="str">
            <v>20R1W1</v>
          </cell>
          <cell r="G861" t="str">
            <v>1-20GAL CAN WEEKLY</v>
          </cell>
          <cell r="H861">
            <v>16.88</v>
          </cell>
        </row>
        <row r="862">
          <cell r="F862" t="str">
            <v>32R1E1</v>
          </cell>
          <cell r="G862" t="str">
            <v>1-32GAL CAN EOW</v>
          </cell>
          <cell r="H862">
            <v>12.36</v>
          </cell>
        </row>
        <row r="863">
          <cell r="F863" t="str">
            <v>32R1M1</v>
          </cell>
          <cell r="G863" t="str">
            <v>1-32GAL CAN MONTHLY</v>
          </cell>
          <cell r="H863">
            <v>6.18</v>
          </cell>
        </row>
        <row r="864">
          <cell r="F864" t="str">
            <v>32R1OC</v>
          </cell>
          <cell r="G864" t="str">
            <v>1-32GAL CAN ON CALL</v>
          </cell>
          <cell r="H864">
            <v>6.18</v>
          </cell>
        </row>
        <row r="865">
          <cell r="F865" t="str">
            <v>32R1W1</v>
          </cell>
          <cell r="G865" t="str">
            <v>1-32GAL CAN WEEKLY</v>
          </cell>
          <cell r="H865">
            <v>19.54</v>
          </cell>
        </row>
        <row r="866">
          <cell r="F866" t="str">
            <v>32R1W2</v>
          </cell>
          <cell r="G866" t="str">
            <v>2-32GAL CANS WEEKLY</v>
          </cell>
          <cell r="H866">
            <v>26.77</v>
          </cell>
        </row>
        <row r="867">
          <cell r="F867" t="str">
            <v>32R1W3</v>
          </cell>
          <cell r="G867" t="str">
            <v>3-32GAL CANS WEEKLY</v>
          </cell>
          <cell r="H867">
            <v>34.880000000000003</v>
          </cell>
        </row>
        <row r="868">
          <cell r="F868" t="str">
            <v>32R1W4</v>
          </cell>
          <cell r="G868" t="str">
            <v>4-32GAL CANS WEEKLY</v>
          </cell>
          <cell r="H868">
            <v>42.46</v>
          </cell>
        </row>
        <row r="869">
          <cell r="F869" t="str">
            <v>32R1W5</v>
          </cell>
          <cell r="G869" t="str">
            <v>5-32 GAL CANS WKLY</v>
          </cell>
          <cell r="H869">
            <v>51.46</v>
          </cell>
        </row>
        <row r="870">
          <cell r="F870" t="str">
            <v>32R1W6</v>
          </cell>
          <cell r="G870" t="str">
            <v>6-32 GAL CANS WKLY</v>
          </cell>
          <cell r="H870">
            <v>61.1</v>
          </cell>
        </row>
        <row r="871">
          <cell r="F871" t="str">
            <v>45R1OC</v>
          </cell>
          <cell r="G871" t="str">
            <v>1-45 GAL CAN ON CALL</v>
          </cell>
          <cell r="H871">
            <v>6.18</v>
          </cell>
        </row>
        <row r="872">
          <cell r="F872" t="str">
            <v>45R1W1</v>
          </cell>
          <cell r="G872" t="str">
            <v>1-45 GAL CAN WKLY</v>
          </cell>
          <cell r="H872">
            <v>31.61</v>
          </cell>
        </row>
        <row r="873">
          <cell r="F873" t="str">
            <v>45RE1</v>
          </cell>
          <cell r="G873" t="str">
            <v>1-45 GAL EOW</v>
          </cell>
          <cell r="H873">
            <v>22.85</v>
          </cell>
        </row>
        <row r="874">
          <cell r="F874" t="str">
            <v>60R1M1</v>
          </cell>
          <cell r="G874" t="str">
            <v>1-60GAL CART MONTHLY</v>
          </cell>
          <cell r="H874">
            <v>33.99</v>
          </cell>
        </row>
        <row r="875">
          <cell r="F875" t="str">
            <v>60R1W1</v>
          </cell>
          <cell r="G875" t="str">
            <v>1-60GAL CART WEEKLY</v>
          </cell>
          <cell r="H875">
            <v>39.44</v>
          </cell>
        </row>
        <row r="876">
          <cell r="F876" t="str">
            <v>ACCESS-RES</v>
          </cell>
          <cell r="G876" t="str">
            <v>ACCESS/GATE CHARGE</v>
          </cell>
          <cell r="H876">
            <v>4.71</v>
          </cell>
        </row>
        <row r="877">
          <cell r="F877" t="str">
            <v>ACCESSEOW-RES</v>
          </cell>
          <cell r="G877" t="str">
            <v>ACCESS/GATE FEE EOW</v>
          </cell>
          <cell r="H877">
            <v>2.36</v>
          </cell>
        </row>
        <row r="878">
          <cell r="F878" t="str">
            <v>BULKY - RES</v>
          </cell>
          <cell r="G878" t="str">
            <v>BULKY ITEM PICK UP - RES</v>
          </cell>
          <cell r="H878">
            <v>17.739999999999998</v>
          </cell>
        </row>
        <row r="879">
          <cell r="F879" t="str">
            <v>DRIVEIN-RES</v>
          </cell>
          <cell r="G879" t="str">
            <v>DRIVE IN - RES</v>
          </cell>
          <cell r="H879">
            <v>2.71</v>
          </cell>
        </row>
        <row r="880">
          <cell r="F880" t="str">
            <v>DRIVEIN1-RES</v>
          </cell>
          <cell r="G880" t="str">
            <v>DRIVE IN UP TO 125FT - RES</v>
          </cell>
          <cell r="H880">
            <v>2.71</v>
          </cell>
        </row>
        <row r="881">
          <cell r="F881" t="str">
            <v>DRIVEIN2-RES</v>
          </cell>
          <cell r="G881" t="str">
            <v>DRIVE IN 125FT-150FT - RES</v>
          </cell>
          <cell r="H881">
            <v>5.41</v>
          </cell>
        </row>
        <row r="882">
          <cell r="F882" t="str">
            <v>DRIVEIN2WK-RES</v>
          </cell>
          <cell r="G882" t="str">
            <v>DRIVE IN 125FT-150FT</v>
          </cell>
          <cell r="H882">
            <v>5.41</v>
          </cell>
        </row>
        <row r="883">
          <cell r="F883" t="str">
            <v>EXTRA-RES</v>
          </cell>
          <cell r="G883" t="str">
            <v>EXTRA ITEM - RES</v>
          </cell>
          <cell r="H883">
            <v>4.54</v>
          </cell>
        </row>
        <row r="884">
          <cell r="F884" t="str">
            <v>OS - RES</v>
          </cell>
          <cell r="G884" t="str">
            <v>OVERSIZE CAN - RES</v>
          </cell>
          <cell r="H884">
            <v>4.34</v>
          </cell>
        </row>
        <row r="885">
          <cell r="F885" t="str">
            <v>OW-RES</v>
          </cell>
          <cell r="G885" t="str">
            <v>OVERFILL / OVERWEIGHT CAN</v>
          </cell>
          <cell r="H885">
            <v>4.34</v>
          </cell>
        </row>
        <row r="886">
          <cell r="F886" t="str">
            <v>SUNKENCAN-RES</v>
          </cell>
          <cell r="G886" t="str">
            <v>ABOVE/UNDER GROUND</v>
          </cell>
          <cell r="H886">
            <v>2.71</v>
          </cell>
        </row>
        <row r="887">
          <cell r="F887" t="str">
            <v>WI-RES</v>
          </cell>
          <cell r="G887" t="str">
            <v>WALK IN/CARRYOUT 5-25FT</v>
          </cell>
          <cell r="H887">
            <v>2.71</v>
          </cell>
        </row>
        <row r="888">
          <cell r="F888" t="str">
            <v>WI2-RES</v>
          </cell>
          <cell r="G888" t="str">
            <v>CARRYOUT OVER 25FT</v>
          </cell>
          <cell r="H888">
            <v>2.71</v>
          </cell>
        </row>
        <row r="889">
          <cell r="F889" t="str">
            <v>20YQCOMPC</v>
          </cell>
          <cell r="G889" t="str">
            <v>20YD COMP/CORR HAUL FEE</v>
          </cell>
          <cell r="H889">
            <v>294.08999999999997</v>
          </cell>
        </row>
        <row r="890">
          <cell r="F890" t="str">
            <v>40YCOMPT</v>
          </cell>
          <cell r="G890" t="str">
            <v>40YD COMP/TRASH HAUL FEE</v>
          </cell>
          <cell r="H890">
            <v>582.29999999999995</v>
          </cell>
        </row>
        <row r="891">
          <cell r="F891" t="str">
            <v>DEL-RO</v>
          </cell>
          <cell r="G891" t="str">
            <v>DELIVERY FEE - RO</v>
          </cell>
          <cell r="H891">
            <v>50.11</v>
          </cell>
        </row>
        <row r="892">
          <cell r="F892" t="str">
            <v>DISP-RO</v>
          </cell>
          <cell r="G892" t="str">
            <v>DISPOSAL CHARGE - RO</v>
          </cell>
          <cell r="H892">
            <v>71.16</v>
          </cell>
        </row>
        <row r="893">
          <cell r="F893" t="str">
            <v>HAUL10-RO</v>
          </cell>
          <cell r="G893" t="str">
            <v>HAUL 10 YD</v>
          </cell>
          <cell r="H893">
            <v>155.28</v>
          </cell>
        </row>
        <row r="894">
          <cell r="F894" t="str">
            <v>HAUL10ADD-RO</v>
          </cell>
          <cell r="G894" t="str">
            <v>ADDITIONAL 10 YD HAUL</v>
          </cell>
          <cell r="H894">
            <v>97.05</v>
          </cell>
        </row>
        <row r="895">
          <cell r="F895" t="str">
            <v>HAUL10P-RO</v>
          </cell>
          <cell r="G895" t="str">
            <v>HAUL 10 YD</v>
          </cell>
          <cell r="H895">
            <v>97.05</v>
          </cell>
        </row>
        <row r="896">
          <cell r="F896" t="str">
            <v>HAUL10TEMP-RO</v>
          </cell>
          <cell r="G896" t="str">
            <v>HAUL 10 YD TEMPORARY</v>
          </cell>
          <cell r="H896">
            <v>112.22</v>
          </cell>
        </row>
        <row r="897">
          <cell r="F897" t="str">
            <v>HAUL20-RO</v>
          </cell>
          <cell r="G897" t="str">
            <v>HAUL 20 YD</v>
          </cell>
          <cell r="H897">
            <v>155.28</v>
          </cell>
        </row>
        <row r="898">
          <cell r="F898" t="str">
            <v>HAUL20ADD-RO</v>
          </cell>
          <cell r="G898" t="str">
            <v>ADDITIONAL 20 YD HAUL</v>
          </cell>
          <cell r="H898">
            <v>97.05</v>
          </cell>
        </row>
        <row r="899">
          <cell r="F899" t="str">
            <v>HAUL20P-RO</v>
          </cell>
          <cell r="G899" t="str">
            <v>HAUL 20 YD</v>
          </cell>
          <cell r="H899">
            <v>97.05</v>
          </cell>
        </row>
        <row r="900">
          <cell r="F900" t="str">
            <v>HAUL20TEMP-RO</v>
          </cell>
          <cell r="G900" t="str">
            <v>HAUL 20 YD TEMPORARY</v>
          </cell>
          <cell r="H900">
            <v>112.22</v>
          </cell>
        </row>
        <row r="901">
          <cell r="F901" t="str">
            <v>HAUL30-RO</v>
          </cell>
          <cell r="G901" t="str">
            <v>HAUL 30 YD</v>
          </cell>
          <cell r="H901">
            <v>280.56</v>
          </cell>
        </row>
        <row r="902">
          <cell r="F902" t="str">
            <v>HAUL30ADD-RO</v>
          </cell>
          <cell r="G902" t="str">
            <v>ADDITIONAL 30 YD HAUL</v>
          </cell>
          <cell r="H902">
            <v>121.75</v>
          </cell>
        </row>
        <row r="903">
          <cell r="F903" t="str">
            <v>HAUL30P-RO</v>
          </cell>
          <cell r="G903" t="str">
            <v>HAUL 30 YD</v>
          </cell>
          <cell r="H903">
            <v>121.75</v>
          </cell>
        </row>
        <row r="904">
          <cell r="F904" t="str">
            <v>HAUL30TEMP-RO</v>
          </cell>
          <cell r="G904" t="str">
            <v>HAUL 30 YD TEMPORARY</v>
          </cell>
          <cell r="H904">
            <v>162.1</v>
          </cell>
        </row>
        <row r="905">
          <cell r="F905" t="str">
            <v>QDEL</v>
          </cell>
          <cell r="G905" t="str">
            <v>DROP BOX DELIVERY</v>
          </cell>
          <cell r="H905">
            <v>50.11</v>
          </cell>
        </row>
        <row r="906">
          <cell r="F906" t="str">
            <v>QMILE</v>
          </cell>
          <cell r="G906" t="str">
            <v>MILEAGE CHARGE</v>
          </cell>
          <cell r="H906">
            <v>4.3499999999999996</v>
          </cell>
        </row>
        <row r="907">
          <cell r="F907" t="str">
            <v>QRENT</v>
          </cell>
          <cell r="G907" t="str">
            <v>MONTHLY DROP BOX RENTAL</v>
          </cell>
          <cell r="H907">
            <v>124.69</v>
          </cell>
        </row>
        <row r="908">
          <cell r="F908" t="str">
            <v>RENT10DAY-RO</v>
          </cell>
          <cell r="G908" t="str">
            <v>RENTAL 10 YD TEMP</v>
          </cell>
          <cell r="H908">
            <v>8.1199999999999992</v>
          </cell>
        </row>
        <row r="909">
          <cell r="F909" t="str">
            <v>RENT10MO-RO</v>
          </cell>
          <cell r="G909" t="str">
            <v>RENTAL 10 YD</v>
          </cell>
          <cell r="H909">
            <v>49.5</v>
          </cell>
        </row>
        <row r="910">
          <cell r="F910" t="str">
            <v>RENT10TEMP-RO</v>
          </cell>
          <cell r="G910" t="str">
            <v>RENTAL 10 YD TEMP</v>
          </cell>
          <cell r="H910">
            <v>124.69</v>
          </cell>
        </row>
        <row r="911">
          <cell r="F911" t="str">
            <v>RENT20DAY-RO</v>
          </cell>
          <cell r="G911" t="str">
            <v>RENTAL 20 YD TEMP</v>
          </cell>
          <cell r="H911">
            <v>8.1199999999999992</v>
          </cell>
        </row>
        <row r="912">
          <cell r="F912" t="str">
            <v>RENT20MO-RO</v>
          </cell>
          <cell r="G912" t="str">
            <v>RENTAL 20 YD</v>
          </cell>
          <cell r="H912">
            <v>49.5</v>
          </cell>
        </row>
        <row r="913">
          <cell r="F913" t="str">
            <v>RENT20TEMP-RO</v>
          </cell>
          <cell r="G913" t="str">
            <v>RENTAL 20 YD TEMP</v>
          </cell>
          <cell r="H913">
            <v>124.69</v>
          </cell>
        </row>
        <row r="914">
          <cell r="F914" t="str">
            <v>RENT30DAY-RO</v>
          </cell>
          <cell r="G914" t="str">
            <v>RENTAL 30 YD TEMP</v>
          </cell>
          <cell r="H914">
            <v>8.1199999999999992</v>
          </cell>
        </row>
        <row r="915">
          <cell r="F915" t="str">
            <v>RENT30MO-RO</v>
          </cell>
          <cell r="G915" t="str">
            <v>RENTAL 30 YD</v>
          </cell>
          <cell r="H915">
            <v>135</v>
          </cell>
        </row>
        <row r="916">
          <cell r="F916" t="str">
            <v>RENT30TEMP-RO</v>
          </cell>
          <cell r="G916" t="str">
            <v>RENTAL 30 YD TEMP</v>
          </cell>
          <cell r="H916">
            <v>124.69</v>
          </cell>
        </row>
      </sheetData>
      <sheetData sheetId="5">
        <row r="3">
          <cell r="F3" t="str">
            <v>svc_code_alpha</v>
          </cell>
          <cell r="G3" t="str">
            <v>descript</v>
          </cell>
          <cell r="H3" t="str">
            <v>def_amount</v>
          </cell>
        </row>
        <row r="4">
          <cell r="F4" t="str">
            <v>1.5YCOC1</v>
          </cell>
          <cell r="G4" t="str">
            <v>1-1.5 CONTAINER ON CALL</v>
          </cell>
          <cell r="H4">
            <v>24.35</v>
          </cell>
        </row>
        <row r="5">
          <cell r="F5" t="str">
            <v>1YCOC1</v>
          </cell>
          <cell r="G5" t="str">
            <v>1-1YD CONTAINER ON CALL</v>
          </cell>
          <cell r="H5">
            <v>16.45</v>
          </cell>
        </row>
        <row r="6">
          <cell r="F6" t="str">
            <v>2YCOC1</v>
          </cell>
          <cell r="G6" t="str">
            <v>1-2YD CONTAINER ON CALL</v>
          </cell>
          <cell r="H6">
            <v>32.15</v>
          </cell>
        </row>
        <row r="7">
          <cell r="F7" t="str">
            <v>32C1E1</v>
          </cell>
          <cell r="G7" t="str">
            <v>1-32GAL CAN EOW</v>
          </cell>
          <cell r="H7">
            <v>13.9</v>
          </cell>
        </row>
        <row r="8">
          <cell r="F8" t="str">
            <v>32C1M1</v>
          </cell>
          <cell r="G8" t="str">
            <v>1-32GAL CAN 1 X MONTHLY</v>
          </cell>
          <cell r="H8">
            <v>13.9</v>
          </cell>
        </row>
        <row r="9">
          <cell r="F9" t="str">
            <v>32C1OC</v>
          </cell>
          <cell r="G9" t="str">
            <v>1-32GAL CAN ON CALL</v>
          </cell>
          <cell r="H9">
            <v>4</v>
          </cell>
        </row>
        <row r="10">
          <cell r="F10" t="str">
            <v>32C1W1</v>
          </cell>
          <cell r="G10" t="str">
            <v>1-32GAL COMM 1 X WEEKLY</v>
          </cell>
          <cell r="H10">
            <v>13.9</v>
          </cell>
        </row>
        <row r="11">
          <cell r="F11" t="str">
            <v>32C1W2</v>
          </cell>
          <cell r="G11" t="str">
            <v>2-32GAL CANS WEEKLY</v>
          </cell>
          <cell r="H11">
            <v>27.71</v>
          </cell>
        </row>
        <row r="12">
          <cell r="F12" t="str">
            <v>32C1W3</v>
          </cell>
          <cell r="G12" t="str">
            <v>3-32GAL CANS WEEKLY</v>
          </cell>
          <cell r="H12">
            <v>41.57</v>
          </cell>
        </row>
        <row r="13">
          <cell r="F13" t="str">
            <v>32C1W4</v>
          </cell>
          <cell r="G13" t="str">
            <v>4-32GAL CANS 1 X WEEKLY</v>
          </cell>
          <cell r="H13">
            <v>55.42</v>
          </cell>
        </row>
        <row r="14">
          <cell r="F14" t="str">
            <v>45C1M1</v>
          </cell>
          <cell r="G14" t="str">
            <v>1-45 GAL COM CAN MONTHLY</v>
          </cell>
          <cell r="H14">
            <v>23.45</v>
          </cell>
        </row>
        <row r="15">
          <cell r="F15" t="str">
            <v>45C1W1</v>
          </cell>
          <cell r="G15" t="str">
            <v>45 GL 1X WK 1 COM</v>
          </cell>
          <cell r="H15">
            <v>30.31</v>
          </cell>
        </row>
        <row r="16">
          <cell r="F16" t="str">
            <v>ACCESS1W-COM</v>
          </cell>
          <cell r="G16" t="str">
            <v>ACCESS/GATE FEE 1X WK</v>
          </cell>
          <cell r="H16">
            <v>4</v>
          </cell>
        </row>
        <row r="17">
          <cell r="F17" t="str">
            <v>ACCESS2W-COM</v>
          </cell>
          <cell r="G17" t="str">
            <v>ACCESS/GATE FEE 2X WK</v>
          </cell>
          <cell r="H17">
            <v>8</v>
          </cell>
        </row>
        <row r="18">
          <cell r="F18" t="str">
            <v>ACCESS3W-COM</v>
          </cell>
          <cell r="G18" t="str">
            <v>ACCESS/GATE FEE 3X WK</v>
          </cell>
          <cell r="H18">
            <v>12</v>
          </cell>
        </row>
        <row r="19">
          <cell r="F19" t="str">
            <v>ACCESSEOW-COM</v>
          </cell>
          <cell r="G19" t="str">
            <v>ACCESS/GATE FEE EOW</v>
          </cell>
          <cell r="H19">
            <v>2</v>
          </cell>
        </row>
        <row r="20">
          <cell r="F20" t="str">
            <v>BULKY - COMM</v>
          </cell>
          <cell r="G20" t="str">
            <v>BULKY ITEM PICK UP - COMM</v>
          </cell>
          <cell r="H20">
            <v>12.55</v>
          </cell>
        </row>
        <row r="21">
          <cell r="F21" t="str">
            <v>CLOCK</v>
          </cell>
          <cell r="G21" t="str">
            <v>COMM LOCK CHARGE</v>
          </cell>
          <cell r="H21">
            <v>2.5</v>
          </cell>
        </row>
        <row r="22">
          <cell r="F22" t="str">
            <v>CLOCK2W</v>
          </cell>
          <cell r="G22" t="str">
            <v>LOCK CHARGE 2X WK</v>
          </cell>
          <cell r="H22">
            <v>5</v>
          </cell>
        </row>
        <row r="23">
          <cell r="F23" t="str">
            <v>CLOCKE</v>
          </cell>
          <cell r="G23" t="str">
            <v>LOCK CHARGE EOW</v>
          </cell>
          <cell r="H23">
            <v>1.5</v>
          </cell>
        </row>
        <row r="24">
          <cell r="F24" t="str">
            <v>CTRIP</v>
          </cell>
          <cell r="G24" t="str">
            <v>SPECIAL OFF RTE TRIP FEE</v>
          </cell>
          <cell r="H24">
            <v>75.5</v>
          </cell>
        </row>
        <row r="25">
          <cell r="F25" t="str">
            <v>DEL1-COM</v>
          </cell>
          <cell r="G25" t="str">
            <v>DELIVER 1 YD</v>
          </cell>
          <cell r="H25">
            <v>12.7</v>
          </cell>
        </row>
        <row r="26">
          <cell r="F26" t="str">
            <v>DEL1.5-COM</v>
          </cell>
          <cell r="G26" t="str">
            <v>DELIVER 1.5 YD</v>
          </cell>
          <cell r="H26">
            <v>13.45</v>
          </cell>
        </row>
        <row r="27">
          <cell r="F27" t="str">
            <v>DEL2-COM</v>
          </cell>
          <cell r="G27" t="str">
            <v>DELIVER 2 YD</v>
          </cell>
          <cell r="H27">
            <v>14.25</v>
          </cell>
        </row>
        <row r="28">
          <cell r="F28" t="str">
            <v>DEL3-COM</v>
          </cell>
          <cell r="G28" t="str">
            <v>DELIVER 3 YD</v>
          </cell>
          <cell r="H28">
            <v>16.649999999999999</v>
          </cell>
        </row>
        <row r="29">
          <cell r="F29" t="str">
            <v>DEL4-COM</v>
          </cell>
          <cell r="G29" t="str">
            <v>DELIVER 4 YD</v>
          </cell>
          <cell r="H29">
            <v>18.55</v>
          </cell>
        </row>
        <row r="30">
          <cell r="F30" t="str">
            <v>DEL6-COM</v>
          </cell>
          <cell r="G30" t="str">
            <v>DELIVER 6 YD</v>
          </cell>
          <cell r="H30">
            <v>20.55</v>
          </cell>
        </row>
        <row r="31">
          <cell r="F31" t="str">
            <v>DRIVEIN1-COM</v>
          </cell>
          <cell r="G31" t="str">
            <v>DRIVE IN UP TO 125FT - COM</v>
          </cell>
          <cell r="H31">
            <v>0.8</v>
          </cell>
        </row>
        <row r="32">
          <cell r="F32" t="str">
            <v>DRIVEIN2-COM</v>
          </cell>
          <cell r="G32" t="str">
            <v>DRIVE IN 125FT-150FT - COM</v>
          </cell>
          <cell r="H32">
            <v>1.7</v>
          </cell>
        </row>
        <row r="33">
          <cell r="F33" t="str">
            <v>DRIVEIN2WK-COM</v>
          </cell>
          <cell r="G33" t="str">
            <v>DRIVE IN 125FT-150FT</v>
          </cell>
          <cell r="H33">
            <v>7.36</v>
          </cell>
        </row>
        <row r="34">
          <cell r="F34" t="str">
            <v>EXTRA-COMM</v>
          </cell>
          <cell r="G34" t="str">
            <v>EXTRA ITEM - COM</v>
          </cell>
          <cell r="H34">
            <v>3.2</v>
          </cell>
        </row>
        <row r="35">
          <cell r="F35" t="str">
            <v>OS - COMM</v>
          </cell>
          <cell r="G35" t="str">
            <v>OVERSIZE CAN - COMM</v>
          </cell>
          <cell r="H35">
            <v>3.05</v>
          </cell>
        </row>
        <row r="36">
          <cell r="F36" t="str">
            <v>OW-COMM</v>
          </cell>
          <cell r="G36" t="str">
            <v>OVERFILL/OVERWEIGHT CAN -</v>
          </cell>
          <cell r="H36">
            <v>3.05</v>
          </cell>
        </row>
        <row r="37">
          <cell r="F37" t="str">
            <v>P1.5YC1W1</v>
          </cell>
          <cell r="G37" t="str">
            <v>1-1.5YD CONT 1 X WEEKLY</v>
          </cell>
          <cell r="H37">
            <v>70.58</v>
          </cell>
        </row>
        <row r="38">
          <cell r="F38" t="str">
            <v>P1.5YC1W2</v>
          </cell>
          <cell r="G38" t="str">
            <v>2-1.5YD CONT 1 X WEEKLY</v>
          </cell>
          <cell r="H38">
            <v>141.16</v>
          </cell>
        </row>
        <row r="39">
          <cell r="F39" t="str">
            <v>P1.5YC2W1</v>
          </cell>
          <cell r="G39" t="str">
            <v>1-1.5YD CONT 2 X WEEKLY</v>
          </cell>
          <cell r="H39">
            <v>141.16</v>
          </cell>
        </row>
        <row r="40">
          <cell r="F40" t="str">
            <v>P1.5YC3W1</v>
          </cell>
          <cell r="G40" t="str">
            <v>1-1.5YD CONT 3 X WEEKLY</v>
          </cell>
          <cell r="H40">
            <v>211.74</v>
          </cell>
        </row>
        <row r="41">
          <cell r="F41" t="str">
            <v>P1.5YC3W2</v>
          </cell>
          <cell r="G41" t="str">
            <v>2-1.5YD CONT 3 X WEEKLY</v>
          </cell>
          <cell r="H41">
            <v>423.47</v>
          </cell>
        </row>
        <row r="42">
          <cell r="F42" t="str">
            <v>P1.5YCE1</v>
          </cell>
          <cell r="G42" t="str">
            <v>1-1.5YD CONT EOW</v>
          </cell>
          <cell r="H42">
            <v>35.369999999999997</v>
          </cell>
        </row>
        <row r="43">
          <cell r="F43" t="str">
            <v>P1YC1W1</v>
          </cell>
          <cell r="G43" t="str">
            <v>1-1YD CONT 1 X WEEKLY</v>
          </cell>
          <cell r="H43">
            <v>47.41</v>
          </cell>
        </row>
        <row r="44">
          <cell r="F44" t="str">
            <v>P1YC1W2</v>
          </cell>
          <cell r="G44" t="str">
            <v>2-1YD CONT. 1 X WEEKLY</v>
          </cell>
          <cell r="H44">
            <v>94.83</v>
          </cell>
        </row>
        <row r="45">
          <cell r="F45" t="str">
            <v>P1YC2W1</v>
          </cell>
          <cell r="G45" t="str">
            <v>1-1YD CONT 2X WKLY</v>
          </cell>
          <cell r="H45">
            <v>94.83</v>
          </cell>
        </row>
        <row r="46">
          <cell r="F46" t="str">
            <v>P1YCE1</v>
          </cell>
          <cell r="G46" t="str">
            <v>1-1YD CONT EOW</v>
          </cell>
          <cell r="H46">
            <v>23.76</v>
          </cell>
        </row>
        <row r="47">
          <cell r="F47" t="str">
            <v>P2YC1W1</v>
          </cell>
          <cell r="G47" t="str">
            <v>1-2YD CONT 1 X WEEKLY</v>
          </cell>
          <cell r="H47">
            <v>92.45</v>
          </cell>
        </row>
        <row r="48">
          <cell r="F48" t="str">
            <v>P2YC1W2</v>
          </cell>
          <cell r="G48" t="str">
            <v>2-2YD CONT. 1 X WEEKLY</v>
          </cell>
          <cell r="H48">
            <v>184.89</v>
          </cell>
        </row>
        <row r="49">
          <cell r="F49" t="str">
            <v>P2YC1W3</v>
          </cell>
          <cell r="G49" t="str">
            <v>3-2YD CONT. 1 X WEEKLY</v>
          </cell>
          <cell r="H49">
            <v>277.33999999999997</v>
          </cell>
        </row>
        <row r="50">
          <cell r="F50" t="str">
            <v>P2YC1W4</v>
          </cell>
          <cell r="G50" t="str">
            <v>4-2YD CONT 1X WKLY</v>
          </cell>
          <cell r="H50">
            <v>369.78</v>
          </cell>
        </row>
        <row r="51">
          <cell r="F51" t="str">
            <v>P2YC1W7</v>
          </cell>
          <cell r="G51" t="str">
            <v>7-2YD CONT 1X WKLY</v>
          </cell>
          <cell r="H51">
            <v>647.12</v>
          </cell>
        </row>
        <row r="52">
          <cell r="F52" t="str">
            <v>P2YC2W1</v>
          </cell>
          <cell r="G52" t="str">
            <v>1-2YD CONT 2  X WEEKLY</v>
          </cell>
          <cell r="H52">
            <v>184.89</v>
          </cell>
        </row>
        <row r="53">
          <cell r="F53" t="str">
            <v>P2YC2W2</v>
          </cell>
          <cell r="G53" t="str">
            <v>2-2YD CONT 2X WKLY</v>
          </cell>
          <cell r="H53">
            <v>369.78</v>
          </cell>
        </row>
        <row r="54">
          <cell r="F54" t="str">
            <v>P2YC2W3</v>
          </cell>
          <cell r="G54" t="str">
            <v>3-2YD CONT 2X WKLY</v>
          </cell>
          <cell r="H54">
            <v>554.66999999999996</v>
          </cell>
        </row>
        <row r="55">
          <cell r="F55" t="str">
            <v>P2YC2W7</v>
          </cell>
          <cell r="G55" t="str">
            <v>7-2YD CONT 2X WKLY</v>
          </cell>
          <cell r="H55">
            <v>1294.24</v>
          </cell>
        </row>
        <row r="56">
          <cell r="F56" t="str">
            <v>P2YC3W1</v>
          </cell>
          <cell r="G56" t="str">
            <v>1-2YD CONT. 3 X WEEKLY</v>
          </cell>
          <cell r="H56">
            <v>277.33999999999997</v>
          </cell>
        </row>
        <row r="57">
          <cell r="F57" t="str">
            <v>P2YC3W2</v>
          </cell>
          <cell r="G57" t="str">
            <v>2-2YD CONT. 3 X WEEKLY</v>
          </cell>
          <cell r="H57">
            <v>554.66999999999996</v>
          </cell>
        </row>
        <row r="58">
          <cell r="F58" t="str">
            <v>P2YC4W1</v>
          </cell>
          <cell r="G58" t="str">
            <v>1-2YD CONT. 4 X WEEKLY</v>
          </cell>
          <cell r="H58">
            <v>369.78</v>
          </cell>
        </row>
        <row r="59">
          <cell r="F59" t="str">
            <v>P2YCE1</v>
          </cell>
          <cell r="G59" t="str">
            <v>1-2YD CONT EOW</v>
          </cell>
          <cell r="H59">
            <v>46.33</v>
          </cell>
        </row>
        <row r="60">
          <cell r="F60" t="str">
            <v>P4YC1W1</v>
          </cell>
          <cell r="G60" t="str">
            <v>1-4YD CONT. 1 X WEEKLY</v>
          </cell>
          <cell r="H60">
            <v>150.03</v>
          </cell>
        </row>
        <row r="61">
          <cell r="F61" t="str">
            <v>R1.5TC-COM</v>
          </cell>
          <cell r="G61" t="str">
            <v>1.5 YD TEMP CONT PICKUP</v>
          </cell>
          <cell r="H61">
            <v>24.35</v>
          </cell>
        </row>
        <row r="62">
          <cell r="F62" t="str">
            <v>R1TC-COM</v>
          </cell>
          <cell r="G62" t="str">
            <v>1 YD TEMP CONT PICKUP</v>
          </cell>
          <cell r="H62">
            <v>35.700000000000003</v>
          </cell>
        </row>
        <row r="63">
          <cell r="F63" t="str">
            <v>R2TC-COMM</v>
          </cell>
          <cell r="G63" t="str">
            <v>2 YD TEMP CONT PICKUP</v>
          </cell>
          <cell r="H63">
            <v>32.15</v>
          </cell>
        </row>
        <row r="64">
          <cell r="F64" t="str">
            <v>RENT1-COM</v>
          </cell>
          <cell r="G64" t="str">
            <v>1 YD CONT RENTAL</v>
          </cell>
          <cell r="H64">
            <v>13.65</v>
          </cell>
        </row>
        <row r="65">
          <cell r="F65" t="str">
            <v>RENT1.5-COM</v>
          </cell>
          <cell r="G65" t="str">
            <v>1.5 YD CONT RENTAL</v>
          </cell>
          <cell r="H65">
            <v>16.649999999999999</v>
          </cell>
        </row>
        <row r="66">
          <cell r="F66" t="str">
            <v>RENT1.5TEMP-COM</v>
          </cell>
          <cell r="G66" t="str">
            <v>1.5 YD TEMP CONT RENTAL</v>
          </cell>
          <cell r="H66">
            <v>24.45</v>
          </cell>
        </row>
        <row r="67">
          <cell r="F67" t="str">
            <v>RENT1TEMP-COM</v>
          </cell>
          <cell r="G67" t="str">
            <v>1 YD TEMP CONT RENTAL</v>
          </cell>
          <cell r="H67">
            <v>21.25</v>
          </cell>
        </row>
        <row r="68">
          <cell r="F68" t="str">
            <v>RENT2-COM</v>
          </cell>
          <cell r="G68" t="str">
            <v>2 YD CONT RENTAL</v>
          </cell>
          <cell r="H68">
            <v>19.7</v>
          </cell>
        </row>
        <row r="69">
          <cell r="F69" t="str">
            <v>RENT2TEMP-COM</v>
          </cell>
          <cell r="G69" t="str">
            <v>2 YD TEMP CONT RENTAL</v>
          </cell>
          <cell r="H69">
            <v>28.6</v>
          </cell>
        </row>
        <row r="70">
          <cell r="F70" t="str">
            <v>RENT4-COM</v>
          </cell>
          <cell r="G70" t="str">
            <v>4 YD CONT RENTAL</v>
          </cell>
          <cell r="H70">
            <v>31.25</v>
          </cell>
        </row>
        <row r="71">
          <cell r="F71" t="str">
            <v>ROLL-COM</v>
          </cell>
          <cell r="G71" t="str">
            <v>ROLLOUT CONTAINER - COM</v>
          </cell>
          <cell r="H71">
            <v>3.2</v>
          </cell>
        </row>
        <row r="72">
          <cell r="F72" t="str">
            <v>ROLL1W-COM</v>
          </cell>
          <cell r="G72" t="str">
            <v>ROLL OUT FEE 1X WK</v>
          </cell>
          <cell r="H72">
            <v>13.86</v>
          </cell>
        </row>
        <row r="73">
          <cell r="F73" t="str">
            <v>ROLL2W-COM</v>
          </cell>
          <cell r="G73" t="str">
            <v>ROLL OUT FEE 2X WK</v>
          </cell>
          <cell r="H73">
            <v>27.72</v>
          </cell>
        </row>
        <row r="74">
          <cell r="F74" t="str">
            <v>ROLL3W-COM</v>
          </cell>
          <cell r="G74" t="str">
            <v>ROLL OUT FEE 3X WK</v>
          </cell>
          <cell r="H74">
            <v>41.58</v>
          </cell>
        </row>
        <row r="75">
          <cell r="F75" t="str">
            <v>ROLLEOW-COM</v>
          </cell>
          <cell r="G75" t="str">
            <v>ROLL OUT FEE EOW</v>
          </cell>
          <cell r="H75">
            <v>6.94</v>
          </cell>
        </row>
        <row r="76">
          <cell r="F76" t="str">
            <v>WI-COMM</v>
          </cell>
          <cell r="G76" t="str">
            <v>WALK IN - COMM</v>
          </cell>
          <cell r="H76">
            <v>3.46</v>
          </cell>
        </row>
        <row r="77">
          <cell r="F77" t="str">
            <v>WIE-COM</v>
          </cell>
          <cell r="G77" t="str">
            <v>WALK IN 6-25FT EOW</v>
          </cell>
          <cell r="H77">
            <v>1.74</v>
          </cell>
        </row>
        <row r="78">
          <cell r="F78" t="str">
            <v>20R1W1</v>
          </cell>
          <cell r="G78" t="str">
            <v>1-20GAL CAN WEEKLY</v>
          </cell>
          <cell r="H78">
            <v>12.7</v>
          </cell>
        </row>
        <row r="79">
          <cell r="F79" t="str">
            <v>32R1E1</v>
          </cell>
          <cell r="G79" t="str">
            <v>1-32GAL CAN EOW</v>
          </cell>
          <cell r="H79">
            <v>9.1999999999999993</v>
          </cell>
        </row>
        <row r="80">
          <cell r="F80" t="str">
            <v>32R1M1</v>
          </cell>
          <cell r="G80" t="str">
            <v>1-32GAL CAN MONTHLY</v>
          </cell>
          <cell r="H80">
            <v>4.5999999999999996</v>
          </cell>
        </row>
        <row r="81">
          <cell r="F81" t="str">
            <v>32R1OC</v>
          </cell>
          <cell r="G81" t="str">
            <v>1-32GAL CAN ON CALL</v>
          </cell>
          <cell r="H81">
            <v>4.5999999999999996</v>
          </cell>
        </row>
        <row r="82">
          <cell r="F82" t="str">
            <v>32R1W1</v>
          </cell>
          <cell r="G82" t="str">
            <v>1-32GAL CAN WEEKLY</v>
          </cell>
          <cell r="H82">
            <v>13.8</v>
          </cell>
        </row>
        <row r="83">
          <cell r="F83" t="str">
            <v>32R1W2</v>
          </cell>
          <cell r="G83" t="str">
            <v>2-32GAL CANS WEEKLY</v>
          </cell>
          <cell r="H83">
            <v>18.55</v>
          </cell>
        </row>
        <row r="84">
          <cell r="F84" t="str">
            <v>32R1W3</v>
          </cell>
          <cell r="G84" t="str">
            <v>3-32GAL CANS WEEKLY</v>
          </cell>
          <cell r="H84">
            <v>23.3</v>
          </cell>
        </row>
        <row r="85">
          <cell r="F85" t="str">
            <v>32R1W4</v>
          </cell>
          <cell r="G85" t="str">
            <v>4-32GAL CANS WEEKLY</v>
          </cell>
          <cell r="H85">
            <v>28.1</v>
          </cell>
        </row>
        <row r="86">
          <cell r="F86" t="str">
            <v>32R1W5</v>
          </cell>
          <cell r="G86" t="str">
            <v>5-32 GAL CANS WKLY</v>
          </cell>
          <cell r="H86">
            <v>34.1</v>
          </cell>
        </row>
        <row r="87">
          <cell r="F87" t="str">
            <v>32R1W6</v>
          </cell>
          <cell r="G87" t="str">
            <v>6-32 GAL CANS WKLY</v>
          </cell>
          <cell r="H87">
            <v>39.049999999999997</v>
          </cell>
        </row>
        <row r="88">
          <cell r="F88" t="str">
            <v>45R1OC</v>
          </cell>
          <cell r="G88" t="str">
            <v>1-45 GAL CAN ON CALL</v>
          </cell>
          <cell r="H88">
            <v>7</v>
          </cell>
        </row>
        <row r="89">
          <cell r="F89" t="str">
            <v>45R1W1</v>
          </cell>
          <cell r="G89" t="str">
            <v>1-45 GAL CAN WKLY</v>
          </cell>
          <cell r="H89">
            <v>30.31</v>
          </cell>
        </row>
        <row r="90">
          <cell r="F90" t="str">
            <v>45RE1</v>
          </cell>
          <cell r="G90" t="str">
            <v>1-45 GAL EOW</v>
          </cell>
          <cell r="H90">
            <v>23.45</v>
          </cell>
        </row>
        <row r="91">
          <cell r="F91" t="str">
            <v>60R1M1</v>
          </cell>
          <cell r="G91" t="str">
            <v>1-60GAL CART MONTHLY</v>
          </cell>
          <cell r="H91">
            <v>37.450000000000003</v>
          </cell>
        </row>
        <row r="92">
          <cell r="F92" t="str">
            <v>60R1W1</v>
          </cell>
          <cell r="G92" t="str">
            <v>1-60GAL CART WEEKLY</v>
          </cell>
          <cell r="H92">
            <v>37.450000000000003</v>
          </cell>
        </row>
        <row r="93">
          <cell r="F93" t="str">
            <v>ACCESS-RES</v>
          </cell>
          <cell r="G93" t="str">
            <v>ACCESS/GATE CHARGE</v>
          </cell>
          <cell r="H93">
            <v>4</v>
          </cell>
        </row>
        <row r="94">
          <cell r="F94" t="str">
            <v>ACCESSEOW-RES</v>
          </cell>
          <cell r="G94" t="str">
            <v>ACCESS/GATE FEE EOW</v>
          </cell>
          <cell r="H94">
            <v>2</v>
          </cell>
        </row>
        <row r="95">
          <cell r="F95" t="str">
            <v>BULKY - RES</v>
          </cell>
          <cell r="G95" t="str">
            <v>BULKY ITEM PICK UP - RES</v>
          </cell>
          <cell r="H95">
            <v>12.55</v>
          </cell>
        </row>
        <row r="96">
          <cell r="F96" t="str">
            <v>DRIVEIN-RES</v>
          </cell>
          <cell r="G96" t="str">
            <v>DRIVE IN - RES</v>
          </cell>
          <cell r="H96">
            <v>2.2999999999999998</v>
          </cell>
        </row>
        <row r="97">
          <cell r="F97" t="str">
            <v>DRIVEIN1-RES</v>
          </cell>
          <cell r="G97" t="str">
            <v>DRIVE IN UP TO 125FT - RES</v>
          </cell>
          <cell r="H97">
            <v>2.2999999999999998</v>
          </cell>
        </row>
        <row r="98">
          <cell r="F98" t="str">
            <v>DRIVEIN2-RES</v>
          </cell>
          <cell r="G98" t="str">
            <v>DRIVE IN 125FT-150FT - RES</v>
          </cell>
          <cell r="H98">
            <v>4.5999999999999996</v>
          </cell>
        </row>
        <row r="99">
          <cell r="F99" t="str">
            <v>DRIVEIN2WK-RES</v>
          </cell>
          <cell r="G99" t="str">
            <v>DRIVE IN 125FT-150FT</v>
          </cell>
          <cell r="H99">
            <v>4.5999999999999996</v>
          </cell>
        </row>
        <row r="100">
          <cell r="F100" t="str">
            <v>EXTRA-RES</v>
          </cell>
          <cell r="G100" t="str">
            <v>EXTRA ITEM - RES</v>
          </cell>
          <cell r="H100">
            <v>3.2</v>
          </cell>
        </row>
        <row r="101">
          <cell r="F101" t="str">
            <v>OS - RES</v>
          </cell>
          <cell r="G101" t="str">
            <v>OVERSIZE CAN - RES</v>
          </cell>
          <cell r="H101">
            <v>3.05</v>
          </cell>
        </row>
        <row r="102">
          <cell r="F102" t="str">
            <v>OW-RES</v>
          </cell>
          <cell r="G102" t="str">
            <v>OVERFILL / OVERWEIGHT CAN</v>
          </cell>
          <cell r="H102">
            <v>3.05</v>
          </cell>
        </row>
        <row r="103">
          <cell r="F103" t="str">
            <v>RTRIP</v>
          </cell>
          <cell r="G103" t="str">
            <v>SPECIAL OFF RTE TRIP FEE</v>
          </cell>
          <cell r="H103">
            <v>75.5</v>
          </cell>
        </row>
        <row r="104">
          <cell r="F104" t="str">
            <v>SUNKENCAN-RES</v>
          </cell>
          <cell r="G104" t="str">
            <v>ABOVE/UNDER GROUND</v>
          </cell>
          <cell r="H104">
            <v>2.2999999999999998</v>
          </cell>
        </row>
        <row r="105">
          <cell r="F105" t="str">
            <v>WI-RES</v>
          </cell>
          <cell r="G105" t="str">
            <v>WALK IN/CARRYOUT 5-25FT</v>
          </cell>
          <cell r="H105">
            <v>2.2999999999999998</v>
          </cell>
        </row>
        <row r="106">
          <cell r="F106" t="str">
            <v>WI2-RES</v>
          </cell>
          <cell r="G106" t="str">
            <v>CARRYOUT OVER 25FT</v>
          </cell>
          <cell r="H106">
            <v>2.2999999999999998</v>
          </cell>
        </row>
        <row r="107">
          <cell r="F107" t="str">
            <v>40YCOMPT</v>
          </cell>
          <cell r="G107" t="str">
            <v>40YD COMP/TRASH HAUL FEE</v>
          </cell>
          <cell r="H107">
            <v>495</v>
          </cell>
        </row>
        <row r="108">
          <cell r="F108" t="str">
            <v>DEL-RO</v>
          </cell>
          <cell r="G108" t="str">
            <v>DELIVERY FEE - RO</v>
          </cell>
          <cell r="H108">
            <v>42.5</v>
          </cell>
        </row>
        <row r="109">
          <cell r="F109" t="str">
            <v>HAUL10-RO</v>
          </cell>
          <cell r="G109" t="str">
            <v>HAUL 10 YD</v>
          </cell>
          <cell r="H109">
            <v>95.4</v>
          </cell>
        </row>
        <row r="110">
          <cell r="F110" t="str">
            <v>HAUL10P-RO</v>
          </cell>
          <cell r="G110" t="str">
            <v>HAUL 10 YD</v>
          </cell>
          <cell r="H110">
            <v>68.900000000000006</v>
          </cell>
        </row>
        <row r="111">
          <cell r="F111" t="str">
            <v>HAUL20-RO</v>
          </cell>
          <cell r="G111" t="str">
            <v>HAUL 20 YD</v>
          </cell>
          <cell r="H111">
            <v>95.4</v>
          </cell>
        </row>
        <row r="112">
          <cell r="F112" t="str">
            <v>HAUL20P-RO</v>
          </cell>
          <cell r="G112" t="str">
            <v>HAUL 20 YD</v>
          </cell>
          <cell r="H112">
            <v>68.900000000000006</v>
          </cell>
        </row>
        <row r="113">
          <cell r="F113" t="str">
            <v>HAUL30-RO</v>
          </cell>
          <cell r="G113" t="str">
            <v>HAUL 30 YD</v>
          </cell>
          <cell r="H113">
            <v>137.5</v>
          </cell>
        </row>
        <row r="114">
          <cell r="F114" t="str">
            <v>HAUL30P-RO</v>
          </cell>
          <cell r="G114" t="str">
            <v>HAUL 30 YD</v>
          </cell>
          <cell r="H114">
            <v>103.35</v>
          </cell>
        </row>
        <row r="115">
          <cell r="F115" t="str">
            <v>QDEL</v>
          </cell>
          <cell r="G115" t="str">
            <v>DROP BOX DELIVERY</v>
          </cell>
          <cell r="H115">
            <v>42.5</v>
          </cell>
        </row>
        <row r="116">
          <cell r="F116" t="str">
            <v>QMILE</v>
          </cell>
          <cell r="G116" t="str">
            <v>MILEAGE CHARGE</v>
          </cell>
          <cell r="H116">
            <v>3.7</v>
          </cell>
        </row>
        <row r="117">
          <cell r="F117" t="str">
            <v>QRENT</v>
          </cell>
          <cell r="G117" t="str">
            <v>MONTHLY DROP BOX RENTAL</v>
          </cell>
          <cell r="H117">
            <v>106</v>
          </cell>
        </row>
        <row r="118">
          <cell r="F118" t="str">
            <v>RENT10DAY-RO</v>
          </cell>
          <cell r="G118" t="str">
            <v>RENTAL 10 YD TEMP</v>
          </cell>
          <cell r="H118">
            <v>6.9</v>
          </cell>
        </row>
        <row r="119">
          <cell r="F119" t="str">
            <v>RENT10MO-RO</v>
          </cell>
          <cell r="G119" t="str">
            <v>RENTAL 10 YD</v>
          </cell>
          <cell r="H119">
            <v>62.1</v>
          </cell>
        </row>
        <row r="120">
          <cell r="F120" t="str">
            <v>RENT10TEMP-RO</v>
          </cell>
          <cell r="G120" t="str">
            <v>RENTAL 10 YD TEMP</v>
          </cell>
          <cell r="H120">
            <v>106</v>
          </cell>
        </row>
        <row r="121">
          <cell r="F121" t="str">
            <v>RENT20DAY-RO</v>
          </cell>
          <cell r="G121" t="str">
            <v>RENTAL 20 YD TEMP</v>
          </cell>
          <cell r="H121">
            <v>6.9</v>
          </cell>
        </row>
        <row r="122">
          <cell r="F122" t="str">
            <v>RENT20MO-RO</v>
          </cell>
          <cell r="G122" t="str">
            <v>RENTAL 20 YD</v>
          </cell>
          <cell r="H122">
            <v>63.1</v>
          </cell>
        </row>
        <row r="123">
          <cell r="F123" t="str">
            <v>RENT20TEMP-RO</v>
          </cell>
          <cell r="G123" t="str">
            <v>RENTAL 20 YD TEMP</v>
          </cell>
          <cell r="H123">
            <v>106</v>
          </cell>
        </row>
        <row r="124">
          <cell r="F124" t="str">
            <v>RENT30DAY-RO</v>
          </cell>
          <cell r="G124" t="str">
            <v>RENTAL 30 YD TEMP</v>
          </cell>
          <cell r="H124">
            <v>6.9</v>
          </cell>
        </row>
        <row r="125">
          <cell r="F125" t="str">
            <v>RENT30MO-RO</v>
          </cell>
          <cell r="G125" t="str">
            <v>RENTAL 30 YD</v>
          </cell>
          <cell r="H125">
            <v>135.15</v>
          </cell>
        </row>
        <row r="126">
          <cell r="F126" t="str">
            <v>RENT30TEMP-RO</v>
          </cell>
          <cell r="G126" t="str">
            <v>RENTAL 30 YD TEMP</v>
          </cell>
          <cell r="H126">
            <v>106</v>
          </cell>
        </row>
        <row r="127">
          <cell r="F127" t="str">
            <v>1.5YCOC1</v>
          </cell>
          <cell r="G127" t="str">
            <v>1-1.5 CONTAINER ON CALL</v>
          </cell>
          <cell r="H127">
            <v>24.35</v>
          </cell>
        </row>
        <row r="128">
          <cell r="F128" t="str">
            <v>1YCOC1</v>
          </cell>
          <cell r="G128" t="str">
            <v>1-1YD CONTAINER ON CALL</v>
          </cell>
          <cell r="H128">
            <v>16.45</v>
          </cell>
        </row>
        <row r="129">
          <cell r="F129" t="str">
            <v>2YCOC1</v>
          </cell>
          <cell r="G129" t="str">
            <v>1-2YD CONTAINER ON CALL</v>
          </cell>
          <cell r="H129">
            <v>32.15</v>
          </cell>
        </row>
        <row r="130">
          <cell r="F130" t="str">
            <v>32C1E1</v>
          </cell>
          <cell r="G130" t="str">
            <v>1-32GAL CAN EOW</v>
          </cell>
          <cell r="H130">
            <v>13.9</v>
          </cell>
        </row>
        <row r="131">
          <cell r="F131" t="str">
            <v>32C1M1</v>
          </cell>
          <cell r="G131" t="str">
            <v>1-32GAL CAN 1 X MONTHLY</v>
          </cell>
          <cell r="H131">
            <v>13.9</v>
          </cell>
        </row>
        <row r="132">
          <cell r="F132" t="str">
            <v>32C1OC</v>
          </cell>
          <cell r="G132" t="str">
            <v>1-32GAL CAN ON CALL</v>
          </cell>
          <cell r="H132">
            <v>4</v>
          </cell>
        </row>
        <row r="133">
          <cell r="F133" t="str">
            <v>32C1W1</v>
          </cell>
          <cell r="G133" t="str">
            <v>1-32GAL COMM 1 X WEEKLY</v>
          </cell>
          <cell r="H133">
            <v>13.9</v>
          </cell>
        </row>
        <row r="134">
          <cell r="F134" t="str">
            <v>32C1W2</v>
          </cell>
          <cell r="G134" t="str">
            <v>2-32GAL CANS WEEKLY</v>
          </cell>
          <cell r="H134">
            <v>27.71</v>
          </cell>
        </row>
        <row r="135">
          <cell r="F135" t="str">
            <v>32C1W3</v>
          </cell>
          <cell r="G135" t="str">
            <v>3-32GAL CANS WEEKLY</v>
          </cell>
          <cell r="H135">
            <v>41.57</v>
          </cell>
        </row>
        <row r="136">
          <cell r="F136" t="str">
            <v>32C1W4</v>
          </cell>
          <cell r="G136" t="str">
            <v>4-32GAL CANS 1 X WEEKLY</v>
          </cell>
          <cell r="H136">
            <v>55.42</v>
          </cell>
        </row>
        <row r="137">
          <cell r="F137" t="str">
            <v>45C1M1</v>
          </cell>
          <cell r="G137" t="str">
            <v>1-45 GAL COM CAN MONTHLY</v>
          </cell>
          <cell r="H137">
            <v>23.45</v>
          </cell>
        </row>
        <row r="138">
          <cell r="F138" t="str">
            <v>45C1W1</v>
          </cell>
          <cell r="G138" t="str">
            <v>45 GL 1X WK 1 COM</v>
          </cell>
          <cell r="H138">
            <v>30.31</v>
          </cell>
        </row>
        <row r="139">
          <cell r="F139" t="str">
            <v>ACCESS1W-COM</v>
          </cell>
          <cell r="G139" t="str">
            <v>ACCESS/GATE FEE 1X WK</v>
          </cell>
          <cell r="H139">
            <v>4</v>
          </cell>
        </row>
        <row r="140">
          <cell r="F140" t="str">
            <v>ACCESS2W-COM</v>
          </cell>
          <cell r="G140" t="str">
            <v>ACCESS/GATE FEE 2X WK</v>
          </cell>
          <cell r="H140">
            <v>8</v>
          </cell>
        </row>
        <row r="141">
          <cell r="F141" t="str">
            <v>ACCESS3W-COM</v>
          </cell>
          <cell r="G141" t="str">
            <v>ACCESS/GATE FEE 3X WK</v>
          </cell>
          <cell r="H141">
            <v>12</v>
          </cell>
        </row>
        <row r="142">
          <cell r="F142" t="str">
            <v>ACCESSEOW-COM</v>
          </cell>
          <cell r="G142" t="str">
            <v>ACCESS/GATE FEE EOW</v>
          </cell>
          <cell r="H142">
            <v>2</v>
          </cell>
        </row>
        <row r="143">
          <cell r="F143" t="str">
            <v>BULKY - COMM</v>
          </cell>
          <cell r="G143" t="str">
            <v>BULKY ITEM PICK UP - COMM</v>
          </cell>
          <cell r="H143">
            <v>12.55</v>
          </cell>
        </row>
        <row r="144">
          <cell r="F144" t="str">
            <v>CLOCK</v>
          </cell>
          <cell r="G144" t="str">
            <v>COMM LOCK CHARGE</v>
          </cell>
          <cell r="H144">
            <v>2.5</v>
          </cell>
        </row>
        <row r="145">
          <cell r="F145" t="str">
            <v>CLOCK2W</v>
          </cell>
          <cell r="G145" t="str">
            <v>LOCK CHARGE 2X WK</v>
          </cell>
          <cell r="H145">
            <v>5</v>
          </cell>
        </row>
        <row r="146">
          <cell r="F146" t="str">
            <v>CLOCKE</v>
          </cell>
          <cell r="G146" t="str">
            <v>LOCK CHARGE EOW</v>
          </cell>
          <cell r="H146">
            <v>1.5</v>
          </cell>
        </row>
        <row r="147">
          <cell r="F147" t="str">
            <v>DEL1-COM</v>
          </cell>
          <cell r="G147" t="str">
            <v>DELIVER 1 YD</v>
          </cell>
          <cell r="H147">
            <v>12.7</v>
          </cell>
        </row>
        <row r="148">
          <cell r="F148" t="str">
            <v>DEL1.5-COM</v>
          </cell>
          <cell r="G148" t="str">
            <v>DELIVER 1.5 YD</v>
          </cell>
          <cell r="H148">
            <v>13.45</v>
          </cell>
        </row>
        <row r="149">
          <cell r="F149" t="str">
            <v>DEL2-COM</v>
          </cell>
          <cell r="G149" t="str">
            <v>DELIVER 2 YD</v>
          </cell>
          <cell r="H149">
            <v>14.25</v>
          </cell>
        </row>
        <row r="150">
          <cell r="F150" t="str">
            <v>DEL3-COM</v>
          </cell>
          <cell r="G150" t="str">
            <v>DELIVER 3 YD</v>
          </cell>
          <cell r="H150">
            <v>16.649999999999999</v>
          </cell>
        </row>
        <row r="151">
          <cell r="F151" t="str">
            <v>DEL4-COM</v>
          </cell>
          <cell r="G151" t="str">
            <v>DELIVER 4 YD</v>
          </cell>
          <cell r="H151">
            <v>18.55</v>
          </cell>
        </row>
        <row r="152">
          <cell r="F152" t="str">
            <v>DEL6-COM</v>
          </cell>
          <cell r="G152" t="str">
            <v>DELIVER 6 YD</v>
          </cell>
          <cell r="H152">
            <v>20.55</v>
          </cell>
        </row>
        <row r="153">
          <cell r="F153" t="str">
            <v>DRIVEIN1-COM</v>
          </cell>
          <cell r="G153" t="str">
            <v>DRIVE IN UP TO 125FT - COM</v>
          </cell>
          <cell r="H153">
            <v>0.8</v>
          </cell>
        </row>
        <row r="154">
          <cell r="F154" t="str">
            <v>DRIVEIN2-COM</v>
          </cell>
          <cell r="G154" t="str">
            <v>DRIVE IN 125FT-150FT - COM</v>
          </cell>
          <cell r="H154">
            <v>1.7</v>
          </cell>
        </row>
        <row r="155">
          <cell r="F155" t="str">
            <v>DRIVEIN2WK-COM</v>
          </cell>
          <cell r="G155" t="str">
            <v>DRIVE IN 125FT-150FT</v>
          </cell>
          <cell r="H155">
            <v>7.36</v>
          </cell>
        </row>
        <row r="156">
          <cell r="F156" t="str">
            <v>EXTRA-COMM</v>
          </cell>
          <cell r="G156" t="str">
            <v>EXTRA ITEM - COM</v>
          </cell>
          <cell r="H156">
            <v>3.2</v>
          </cell>
        </row>
        <row r="157">
          <cell r="F157" t="str">
            <v>OS - COMM</v>
          </cell>
          <cell r="G157" t="str">
            <v>OVERSIZE CAN - COMM</v>
          </cell>
          <cell r="H157">
            <v>3.05</v>
          </cell>
        </row>
        <row r="158">
          <cell r="F158" t="str">
            <v>OW-COMM</v>
          </cell>
          <cell r="G158" t="str">
            <v>OVERFILL/OVERWEIGHT CAN -</v>
          </cell>
          <cell r="H158">
            <v>3.05</v>
          </cell>
        </row>
        <row r="159">
          <cell r="F159" t="str">
            <v>P1.5YC1W1</v>
          </cell>
          <cell r="G159" t="str">
            <v>1-1.5YD CONT 1 X WEEKLY</v>
          </cell>
          <cell r="H159">
            <v>70.58</v>
          </cell>
        </row>
        <row r="160">
          <cell r="F160" t="str">
            <v>P1.5YC1W2</v>
          </cell>
          <cell r="G160" t="str">
            <v>2-1.5YD CONT 1 X WEEKLY</v>
          </cell>
          <cell r="H160">
            <v>141.16</v>
          </cell>
        </row>
        <row r="161">
          <cell r="F161" t="str">
            <v>P1.5YC2W1</v>
          </cell>
          <cell r="G161" t="str">
            <v>1-1.5YD CONT 2 X WEEKLY</v>
          </cell>
          <cell r="H161">
            <v>141.16</v>
          </cell>
        </row>
        <row r="162">
          <cell r="F162" t="str">
            <v>P1.5YC3W1</v>
          </cell>
          <cell r="G162" t="str">
            <v>1-1.5YD CONT 3 X WEEKLY</v>
          </cell>
          <cell r="H162">
            <v>211.74</v>
          </cell>
        </row>
        <row r="163">
          <cell r="F163" t="str">
            <v>P1.5YC3W2</v>
          </cell>
          <cell r="G163" t="str">
            <v>2-1.5YD CONT 3 X WEEKLY</v>
          </cell>
          <cell r="H163">
            <v>423.47</v>
          </cell>
        </row>
        <row r="164">
          <cell r="F164" t="str">
            <v>P1.5YCE1</v>
          </cell>
          <cell r="G164" t="str">
            <v>1-1.5YD CONT EOW</v>
          </cell>
          <cell r="H164">
            <v>35.369999999999997</v>
          </cell>
        </row>
        <row r="165">
          <cell r="F165" t="str">
            <v>P1YC1W1</v>
          </cell>
          <cell r="G165" t="str">
            <v>1-1YD CONT 1 X WEEKLY</v>
          </cell>
          <cell r="H165">
            <v>47.41</v>
          </cell>
        </row>
        <row r="166">
          <cell r="F166" t="str">
            <v>P1YC1W2</v>
          </cell>
          <cell r="G166" t="str">
            <v>2-1YD CONT. 1 X WEEKLY</v>
          </cell>
          <cell r="H166">
            <v>94.83</v>
          </cell>
        </row>
        <row r="167">
          <cell r="F167" t="str">
            <v>P1YC2W1</v>
          </cell>
          <cell r="G167" t="str">
            <v>1-1YD CONT 2X WKLY</v>
          </cell>
          <cell r="H167">
            <v>94.83</v>
          </cell>
        </row>
        <row r="168">
          <cell r="F168" t="str">
            <v>P1YCE1</v>
          </cell>
          <cell r="G168" t="str">
            <v>1-1YD CONT EOW</v>
          </cell>
          <cell r="H168">
            <v>23.76</v>
          </cell>
        </row>
        <row r="169">
          <cell r="F169" t="str">
            <v>P2YC1W1</v>
          </cell>
          <cell r="G169" t="str">
            <v>1-2YD CONT 1 X WEEKLY</v>
          </cell>
          <cell r="H169">
            <v>92.45</v>
          </cell>
        </row>
        <row r="170">
          <cell r="F170" t="str">
            <v>P2YC1W2</v>
          </cell>
          <cell r="G170" t="str">
            <v>2-2YD CONT. 1 X WEEKLY</v>
          </cell>
          <cell r="H170">
            <v>184.89</v>
          </cell>
        </row>
        <row r="171">
          <cell r="F171" t="str">
            <v>P2YC1W3</v>
          </cell>
          <cell r="G171" t="str">
            <v>3-2YD CONT. 1 X WEEKLY</v>
          </cell>
          <cell r="H171">
            <v>277.33999999999997</v>
          </cell>
        </row>
        <row r="172">
          <cell r="F172" t="str">
            <v>P2YC1W4</v>
          </cell>
          <cell r="G172" t="str">
            <v>4-2YD CONT 1X WKLY</v>
          </cell>
          <cell r="H172">
            <v>369.78</v>
          </cell>
        </row>
        <row r="173">
          <cell r="F173" t="str">
            <v>P2YC1W7</v>
          </cell>
          <cell r="G173" t="str">
            <v>7-2YD CONT 1X WKLY</v>
          </cell>
          <cell r="H173">
            <v>647.12</v>
          </cell>
        </row>
        <row r="174">
          <cell r="F174" t="str">
            <v>P2YC2W1</v>
          </cell>
          <cell r="G174" t="str">
            <v>1-2YD CONT 2  X WEEKLY</v>
          </cell>
          <cell r="H174">
            <v>184.89</v>
          </cell>
        </row>
        <row r="175">
          <cell r="F175" t="str">
            <v>P2YC2W2</v>
          </cell>
          <cell r="G175" t="str">
            <v>2-2YD CONT 2X WKLY</v>
          </cell>
          <cell r="H175">
            <v>369.78</v>
          </cell>
        </row>
        <row r="176">
          <cell r="F176" t="str">
            <v>P2YC2W3</v>
          </cell>
          <cell r="G176" t="str">
            <v>3-2YD CONT 2X WKLY</v>
          </cell>
          <cell r="H176">
            <v>554.66999999999996</v>
          </cell>
        </row>
        <row r="177">
          <cell r="F177" t="str">
            <v>P2YC2W7</v>
          </cell>
          <cell r="G177" t="str">
            <v>7-2YD CONT 2X WKLY</v>
          </cell>
          <cell r="H177">
            <v>1294.24</v>
          </cell>
        </row>
        <row r="178">
          <cell r="F178" t="str">
            <v>P2YC3W1</v>
          </cell>
          <cell r="G178" t="str">
            <v>1-2YD CONT. 3 X WEEKLY</v>
          </cell>
          <cell r="H178">
            <v>277.33999999999997</v>
          </cell>
        </row>
        <row r="179">
          <cell r="F179" t="str">
            <v>P2YC3W2</v>
          </cell>
          <cell r="G179" t="str">
            <v>2-2YD CONT. 3 X WEEKLY</v>
          </cell>
          <cell r="H179">
            <v>554.66999999999996</v>
          </cell>
        </row>
        <row r="180">
          <cell r="F180" t="str">
            <v>P2YC4W1</v>
          </cell>
          <cell r="G180" t="str">
            <v>1-2YD CONT. 4 X WEEKLY</v>
          </cell>
          <cell r="H180">
            <v>369.78</v>
          </cell>
        </row>
        <row r="181">
          <cell r="F181" t="str">
            <v>P2YCE1</v>
          </cell>
          <cell r="G181" t="str">
            <v>1-2YD CONT EOW</v>
          </cell>
          <cell r="H181">
            <v>46.33</v>
          </cell>
        </row>
        <row r="182">
          <cell r="F182" t="str">
            <v>P4YC1W1</v>
          </cell>
          <cell r="G182" t="str">
            <v>1-4YD CONT. 1 X WEEKLY</v>
          </cell>
          <cell r="H182">
            <v>150.03</v>
          </cell>
        </row>
        <row r="183">
          <cell r="F183" t="str">
            <v>R1.5TC-COM</v>
          </cell>
          <cell r="G183" t="str">
            <v>1.5 YD TEMP CONT PICKUP</v>
          </cell>
          <cell r="H183">
            <v>24.35</v>
          </cell>
        </row>
        <row r="184">
          <cell r="F184" t="str">
            <v>R1TC-COM</v>
          </cell>
          <cell r="G184" t="str">
            <v>1 YD TEMP CONT PICKUP</v>
          </cell>
          <cell r="H184">
            <v>35.700000000000003</v>
          </cell>
        </row>
        <row r="185">
          <cell r="F185" t="str">
            <v>R2TC-COMM</v>
          </cell>
          <cell r="G185" t="str">
            <v>2 YD TEMP CONT PICKUP</v>
          </cell>
          <cell r="H185">
            <v>32.15</v>
          </cell>
        </row>
        <row r="186">
          <cell r="F186" t="str">
            <v>RENT1-COM</v>
          </cell>
          <cell r="G186" t="str">
            <v>1 YD CONT RENTAL</v>
          </cell>
          <cell r="H186">
            <v>13.65</v>
          </cell>
        </row>
        <row r="187">
          <cell r="F187" t="str">
            <v>RENT1.5-COM</v>
          </cell>
          <cell r="G187" t="str">
            <v>1.5 YD CONT RENTAL</v>
          </cell>
          <cell r="H187">
            <v>16.649999999999999</v>
          </cell>
        </row>
        <row r="188">
          <cell r="F188" t="str">
            <v>RENT1.5TEMP-COM</v>
          </cell>
          <cell r="G188" t="str">
            <v>1.5 YD TEMP CONT RENTAL</v>
          </cell>
          <cell r="H188">
            <v>24.45</v>
          </cell>
        </row>
        <row r="189">
          <cell r="F189" t="str">
            <v>RENT1TEMP-COM</v>
          </cell>
          <cell r="G189" t="str">
            <v>1 YD TEMP CONT RENTAL</v>
          </cell>
          <cell r="H189">
            <v>21.25</v>
          </cell>
        </row>
        <row r="190">
          <cell r="F190" t="str">
            <v>RENT2-COM</v>
          </cell>
          <cell r="G190" t="str">
            <v>2 YD CONT RENTAL</v>
          </cell>
          <cell r="H190">
            <v>19.7</v>
          </cell>
        </row>
        <row r="191">
          <cell r="F191" t="str">
            <v>RENT2TEMP-COM</v>
          </cell>
          <cell r="G191" t="str">
            <v>2 YD TEMP CONT RENTAL</v>
          </cell>
          <cell r="H191">
            <v>28.6</v>
          </cell>
        </row>
        <row r="192">
          <cell r="F192" t="str">
            <v>RENT4-COM</v>
          </cell>
          <cell r="G192" t="str">
            <v>4 YD CONT RENTAL</v>
          </cell>
          <cell r="H192">
            <v>31.25</v>
          </cell>
        </row>
        <row r="193">
          <cell r="F193" t="str">
            <v>ROLL-COM</v>
          </cell>
          <cell r="G193" t="str">
            <v>ROLLOUT CONTAINER - COM</v>
          </cell>
          <cell r="H193">
            <v>3.2</v>
          </cell>
        </row>
        <row r="194">
          <cell r="F194" t="str">
            <v>ROLL1W-COM</v>
          </cell>
          <cell r="G194" t="str">
            <v>ROLL OUT FEE 1X WK</v>
          </cell>
          <cell r="H194">
            <v>13.86</v>
          </cell>
        </row>
        <row r="195">
          <cell r="F195" t="str">
            <v>ROLL2W-COM</v>
          </cell>
          <cell r="G195" t="str">
            <v>ROLL OUT FEE 2X WK</v>
          </cell>
          <cell r="H195">
            <v>27.72</v>
          </cell>
        </row>
        <row r="196">
          <cell r="F196" t="str">
            <v>ROLL3W-COM</v>
          </cell>
          <cell r="G196" t="str">
            <v>ROLL OUT FEE 3X WK</v>
          </cell>
          <cell r="H196">
            <v>41.58</v>
          </cell>
        </row>
        <row r="197">
          <cell r="F197" t="str">
            <v>ROLLEOW-COM</v>
          </cell>
          <cell r="G197" t="str">
            <v>ROLL OUT FEE EOW</v>
          </cell>
          <cell r="H197">
            <v>6.94</v>
          </cell>
        </row>
        <row r="198">
          <cell r="F198" t="str">
            <v>WI-COMM</v>
          </cell>
          <cell r="G198" t="str">
            <v>WALK IN - COMM</v>
          </cell>
          <cell r="H198">
            <v>3.46</v>
          </cell>
        </row>
        <row r="199">
          <cell r="F199" t="str">
            <v>WIE-COM</v>
          </cell>
          <cell r="G199" t="str">
            <v>WALK IN 6-25FT EOW</v>
          </cell>
          <cell r="H199">
            <v>1.74</v>
          </cell>
        </row>
        <row r="200">
          <cell r="F200" t="str">
            <v>20R1W1</v>
          </cell>
          <cell r="G200" t="str">
            <v>1-20GAL CAN WEEKLY</v>
          </cell>
          <cell r="H200">
            <v>12.7</v>
          </cell>
        </row>
        <row r="201">
          <cell r="F201" t="str">
            <v>32R1E1</v>
          </cell>
          <cell r="G201" t="str">
            <v>1-32GAL CAN EOW</v>
          </cell>
          <cell r="H201">
            <v>9.1999999999999993</v>
          </cell>
        </row>
        <row r="202">
          <cell r="F202" t="str">
            <v>32R1M1</v>
          </cell>
          <cell r="G202" t="str">
            <v>1-32GAL CAN MONTHLY</v>
          </cell>
          <cell r="H202">
            <v>4.5999999999999996</v>
          </cell>
        </row>
        <row r="203">
          <cell r="F203" t="str">
            <v>32R1OC</v>
          </cell>
          <cell r="G203" t="str">
            <v>1-32GAL CAN ON CALL</v>
          </cell>
          <cell r="H203">
            <v>4.5999999999999996</v>
          </cell>
        </row>
        <row r="204">
          <cell r="F204" t="str">
            <v>32R1W1</v>
          </cell>
          <cell r="G204" t="str">
            <v>1-32GAL CAN WEEKLY</v>
          </cell>
          <cell r="H204">
            <v>13.8</v>
          </cell>
        </row>
        <row r="205">
          <cell r="F205" t="str">
            <v>32R1W2</v>
          </cell>
          <cell r="G205" t="str">
            <v>2-32GAL CANS WEEKLY</v>
          </cell>
          <cell r="H205">
            <v>18.55</v>
          </cell>
        </row>
        <row r="206">
          <cell r="F206" t="str">
            <v>32R1W3</v>
          </cell>
          <cell r="G206" t="str">
            <v>3-32GAL CANS WEEKLY</v>
          </cell>
          <cell r="H206">
            <v>23.3</v>
          </cell>
        </row>
        <row r="207">
          <cell r="F207" t="str">
            <v>32R1W4</v>
          </cell>
          <cell r="G207" t="str">
            <v>4-32GAL CANS WEEKLY</v>
          </cell>
          <cell r="H207">
            <v>28.1</v>
          </cell>
        </row>
        <row r="208">
          <cell r="F208" t="str">
            <v>32R1W5</v>
          </cell>
          <cell r="G208" t="str">
            <v>5-32 GAL CANS WKLY</v>
          </cell>
          <cell r="H208">
            <v>34.1</v>
          </cell>
        </row>
        <row r="209">
          <cell r="F209" t="str">
            <v>32R1W6</v>
          </cell>
          <cell r="G209" t="str">
            <v>6-32 GAL CANS WKLY</v>
          </cell>
          <cell r="H209">
            <v>39.049999999999997</v>
          </cell>
        </row>
        <row r="210">
          <cell r="F210" t="str">
            <v>45R1OC</v>
          </cell>
          <cell r="G210" t="str">
            <v>1-45 GAL CAN ON CALL</v>
          </cell>
          <cell r="H210">
            <v>7</v>
          </cell>
        </row>
        <row r="211">
          <cell r="F211" t="str">
            <v>45R1W1</v>
          </cell>
          <cell r="G211" t="str">
            <v>1-45 GAL CAN WKLY</v>
          </cell>
          <cell r="H211">
            <v>30.31</v>
          </cell>
        </row>
        <row r="212">
          <cell r="F212" t="str">
            <v>45RE1</v>
          </cell>
          <cell r="G212" t="str">
            <v>1-45 GAL EOW</v>
          </cell>
          <cell r="H212">
            <v>23.45</v>
          </cell>
        </row>
        <row r="213">
          <cell r="F213" t="str">
            <v>60R1M1</v>
          </cell>
          <cell r="G213" t="str">
            <v>1-60GAL CART MONTHLY</v>
          </cell>
          <cell r="H213">
            <v>37.450000000000003</v>
          </cell>
        </row>
        <row r="214">
          <cell r="F214" t="str">
            <v>60R1W1</v>
          </cell>
          <cell r="G214" t="str">
            <v>1-60GAL CART WEEKLY</v>
          </cell>
          <cell r="H214">
            <v>37.450000000000003</v>
          </cell>
        </row>
        <row r="215">
          <cell r="F215" t="str">
            <v>ACCESS-RES</v>
          </cell>
          <cell r="G215" t="str">
            <v>ACCESS/GATE CHARGE</v>
          </cell>
          <cell r="H215">
            <v>4</v>
          </cell>
        </row>
        <row r="216">
          <cell r="F216" t="str">
            <v>ACCESSEOW-RES</v>
          </cell>
          <cell r="G216" t="str">
            <v>ACCESS/GATE FEE EOW</v>
          </cell>
          <cell r="H216">
            <v>2</v>
          </cell>
        </row>
        <row r="217">
          <cell r="F217" t="str">
            <v>BULKY - RES</v>
          </cell>
          <cell r="G217" t="str">
            <v>BULKY ITEM PICK UP - RES</v>
          </cell>
          <cell r="H217">
            <v>12.55</v>
          </cell>
        </row>
        <row r="218">
          <cell r="F218" t="str">
            <v>DRIVEIN-RES</v>
          </cell>
          <cell r="G218" t="str">
            <v>DRIVE IN - RES</v>
          </cell>
          <cell r="H218">
            <v>2.2999999999999998</v>
          </cell>
        </row>
        <row r="219">
          <cell r="F219" t="str">
            <v>DRIVEIN1-RES</v>
          </cell>
          <cell r="G219" t="str">
            <v>DRIVE IN UP TO 125FT - RES</v>
          </cell>
          <cell r="H219">
            <v>2.2999999999999998</v>
          </cell>
        </row>
        <row r="220">
          <cell r="F220" t="str">
            <v>DRIVEIN2-RES</v>
          </cell>
          <cell r="G220" t="str">
            <v>DRIVE IN 125FT-150FT - RES</v>
          </cell>
          <cell r="H220">
            <v>4.5999999999999996</v>
          </cell>
        </row>
        <row r="221">
          <cell r="F221" t="str">
            <v>DRIVEIN2WK-RES</v>
          </cell>
          <cell r="G221" t="str">
            <v>DRIVE IN 125FT-150FT</v>
          </cell>
          <cell r="H221">
            <v>4.5999999999999996</v>
          </cell>
        </row>
        <row r="222">
          <cell r="F222" t="str">
            <v>EXTRA-RES</v>
          </cell>
          <cell r="G222" t="str">
            <v>EXTRA ITEM - RES</v>
          </cell>
          <cell r="H222">
            <v>3.2</v>
          </cell>
        </row>
        <row r="223">
          <cell r="F223" t="str">
            <v>OS - RES</v>
          </cell>
          <cell r="G223" t="str">
            <v>OVERSIZE CAN - RES</v>
          </cell>
          <cell r="H223">
            <v>3.05</v>
          </cell>
        </row>
        <row r="224">
          <cell r="F224" t="str">
            <v>OW-RES</v>
          </cell>
          <cell r="G224" t="str">
            <v>OVERFILL / OVERWEIGHT CAN</v>
          </cell>
          <cell r="H224">
            <v>3.05</v>
          </cell>
        </row>
        <row r="225">
          <cell r="F225" t="str">
            <v>SUNKENCAN-RES</v>
          </cell>
          <cell r="G225" t="str">
            <v>ABOVE/UNDER GROUND</v>
          </cell>
          <cell r="H225">
            <v>2.2999999999999998</v>
          </cell>
        </row>
        <row r="226">
          <cell r="F226" t="str">
            <v>WI-RES</v>
          </cell>
          <cell r="G226" t="str">
            <v>WALK IN/CARRYOUT 5-25FT</v>
          </cell>
          <cell r="H226">
            <v>2.2999999999999998</v>
          </cell>
        </row>
        <row r="227">
          <cell r="F227" t="str">
            <v>WI2-RES</v>
          </cell>
          <cell r="G227" t="str">
            <v>CARRYOUT OVER 25FT</v>
          </cell>
          <cell r="H227">
            <v>2.2999999999999998</v>
          </cell>
        </row>
        <row r="228">
          <cell r="F228" t="str">
            <v>40YCOMPT</v>
          </cell>
          <cell r="G228" t="str">
            <v>40YD COMP/TRASH HAUL FEE</v>
          </cell>
          <cell r="H228">
            <v>495</v>
          </cell>
        </row>
        <row r="229">
          <cell r="F229" t="str">
            <v>DEL-RO</v>
          </cell>
          <cell r="G229" t="str">
            <v>DELIVERY FEE - RO</v>
          </cell>
          <cell r="H229">
            <v>42.5</v>
          </cell>
        </row>
        <row r="230">
          <cell r="F230" t="str">
            <v>HAUL10-RO</v>
          </cell>
          <cell r="G230" t="str">
            <v>HAUL 10 YD</v>
          </cell>
          <cell r="H230">
            <v>95.4</v>
          </cell>
        </row>
        <row r="231">
          <cell r="F231" t="str">
            <v>HAUL10P-RO</v>
          </cell>
          <cell r="G231" t="str">
            <v>HAUL 10 YD</v>
          </cell>
          <cell r="H231">
            <v>68.900000000000006</v>
          </cell>
        </row>
        <row r="232">
          <cell r="F232" t="str">
            <v>HAUL20-RO</v>
          </cell>
          <cell r="G232" t="str">
            <v>HAUL 20 YD</v>
          </cell>
          <cell r="H232">
            <v>95.4</v>
          </cell>
        </row>
        <row r="233">
          <cell r="F233" t="str">
            <v>HAUL20P-RO</v>
          </cell>
          <cell r="G233" t="str">
            <v>HAUL 20 YD</v>
          </cell>
          <cell r="H233">
            <v>68.900000000000006</v>
          </cell>
        </row>
        <row r="234">
          <cell r="F234" t="str">
            <v>HAUL30-RO</v>
          </cell>
          <cell r="G234" t="str">
            <v>HAUL 30 YD</v>
          </cell>
          <cell r="H234">
            <v>137.5</v>
          </cell>
        </row>
        <row r="235">
          <cell r="F235" t="str">
            <v>HAUL30P-RO</v>
          </cell>
          <cell r="G235" t="str">
            <v>HAUL 30 YD</v>
          </cell>
          <cell r="H235">
            <v>103.35</v>
          </cell>
        </row>
        <row r="236">
          <cell r="F236" t="str">
            <v>QDEL</v>
          </cell>
          <cell r="G236" t="str">
            <v>DROP BOX DELIVERY</v>
          </cell>
          <cell r="H236">
            <v>42.5</v>
          </cell>
        </row>
        <row r="237">
          <cell r="F237" t="str">
            <v>QMILE</v>
          </cell>
          <cell r="G237" t="str">
            <v>MILEAGE CHARGE</v>
          </cell>
          <cell r="H237">
            <v>3.7</v>
          </cell>
        </row>
        <row r="238">
          <cell r="F238" t="str">
            <v>QRENT</v>
          </cell>
          <cell r="G238" t="str">
            <v>MONTHLY DROP BOX RENTAL</v>
          </cell>
          <cell r="H238">
            <v>106</v>
          </cell>
        </row>
        <row r="239">
          <cell r="F239" t="str">
            <v>RENT10DAY-RO</v>
          </cell>
          <cell r="G239" t="str">
            <v>RENTAL 10 YD TEMP</v>
          </cell>
          <cell r="H239">
            <v>6.9</v>
          </cell>
        </row>
        <row r="240">
          <cell r="F240" t="str">
            <v>RENT10MO-RO</v>
          </cell>
          <cell r="G240" t="str">
            <v>RENTAL 10 YD</v>
          </cell>
          <cell r="H240">
            <v>62.1</v>
          </cell>
        </row>
        <row r="241">
          <cell r="F241" t="str">
            <v>RENT10TEMP-RO</v>
          </cell>
          <cell r="G241" t="str">
            <v>RENTAL 10 YD TEMP</v>
          </cell>
          <cell r="H241">
            <v>106</v>
          </cell>
        </row>
        <row r="242">
          <cell r="F242" t="str">
            <v>RENT20DAY-RO</v>
          </cell>
          <cell r="G242" t="str">
            <v>RENTAL 20 YD TEMP</v>
          </cell>
          <cell r="H242">
            <v>6.9</v>
          </cell>
        </row>
        <row r="243">
          <cell r="F243" t="str">
            <v>RENT20MO-RO</v>
          </cell>
          <cell r="G243" t="str">
            <v>RENTAL 20 YD</v>
          </cell>
          <cell r="H243">
            <v>63.1</v>
          </cell>
        </row>
        <row r="244">
          <cell r="F244" t="str">
            <v>RENT20TEMP-RO</v>
          </cell>
          <cell r="G244" t="str">
            <v>RENTAL 20 YD TEMP</v>
          </cell>
          <cell r="H244">
            <v>106</v>
          </cell>
        </row>
        <row r="245">
          <cell r="F245" t="str">
            <v>RENT30DAY-RO</v>
          </cell>
          <cell r="G245" t="str">
            <v>RENTAL 30 YD TEMP</v>
          </cell>
          <cell r="H245">
            <v>6.9</v>
          </cell>
        </row>
        <row r="246">
          <cell r="F246" t="str">
            <v>RENT30MO-RO</v>
          </cell>
          <cell r="G246" t="str">
            <v>RENTAL 30 YD</v>
          </cell>
          <cell r="H246">
            <v>135.15</v>
          </cell>
        </row>
        <row r="247">
          <cell r="F247" t="str">
            <v>RENT30TEMP-RO</v>
          </cell>
          <cell r="G247" t="str">
            <v>RENTAL 30 YD TEMP</v>
          </cell>
          <cell r="H247">
            <v>106</v>
          </cell>
        </row>
        <row r="248">
          <cell r="F248" t="str">
            <v>1.5YCOC1</v>
          </cell>
          <cell r="G248" t="str">
            <v>1-1.5 CONTAINER ON CALL</v>
          </cell>
          <cell r="H248">
            <v>24.35</v>
          </cell>
        </row>
        <row r="249">
          <cell r="F249" t="str">
            <v>1YCOC1</v>
          </cell>
          <cell r="G249" t="str">
            <v>1-1YD CONTAINER ON CALL</v>
          </cell>
          <cell r="H249">
            <v>16.45</v>
          </cell>
        </row>
        <row r="250">
          <cell r="F250" t="str">
            <v>2YCOC1</v>
          </cell>
          <cell r="G250" t="str">
            <v>1-2YD CONTAINER ON CALL</v>
          </cell>
          <cell r="H250">
            <v>32.15</v>
          </cell>
        </row>
        <row r="251">
          <cell r="F251" t="str">
            <v>32C1E1</v>
          </cell>
          <cell r="G251" t="str">
            <v>1-32GAL CAN EOW</v>
          </cell>
          <cell r="H251">
            <v>13.9</v>
          </cell>
        </row>
        <row r="252">
          <cell r="F252" t="str">
            <v>32C1M1</v>
          </cell>
          <cell r="G252" t="str">
            <v>1-32GAL CAN 1 X MONTHLY</v>
          </cell>
          <cell r="H252">
            <v>13.9</v>
          </cell>
        </row>
        <row r="253">
          <cell r="F253" t="str">
            <v>32C1OC</v>
          </cell>
          <cell r="G253" t="str">
            <v>1-32GAL CAN ON CALL</v>
          </cell>
          <cell r="H253">
            <v>4</v>
          </cell>
        </row>
        <row r="254">
          <cell r="F254" t="str">
            <v>32C1W1</v>
          </cell>
          <cell r="G254" t="str">
            <v>1-32GAL COMM 1 X WEEKLY</v>
          </cell>
          <cell r="H254">
            <v>13.9</v>
          </cell>
        </row>
        <row r="255">
          <cell r="F255" t="str">
            <v>32C1W2</v>
          </cell>
          <cell r="G255" t="str">
            <v>2-32GAL CANS WEEKLY</v>
          </cell>
          <cell r="H255">
            <v>27.71</v>
          </cell>
        </row>
        <row r="256">
          <cell r="F256" t="str">
            <v>32C1W3</v>
          </cell>
          <cell r="G256" t="str">
            <v>3-32GAL CANS WEEKLY</v>
          </cell>
          <cell r="H256">
            <v>41.57</v>
          </cell>
        </row>
        <row r="257">
          <cell r="F257" t="str">
            <v>32C1W4</v>
          </cell>
          <cell r="G257" t="str">
            <v>4-32GAL CANS 1 X WEEKLY</v>
          </cell>
          <cell r="H257">
            <v>55.42</v>
          </cell>
        </row>
        <row r="258">
          <cell r="F258" t="str">
            <v>45C1M1</v>
          </cell>
          <cell r="G258" t="str">
            <v>1-45 GAL COM CAN MONTHLY</v>
          </cell>
          <cell r="H258">
            <v>23.45</v>
          </cell>
        </row>
        <row r="259">
          <cell r="F259" t="str">
            <v>45C1W1</v>
          </cell>
          <cell r="G259" t="str">
            <v>45 GL 1X WK 1 COM</v>
          </cell>
          <cell r="H259">
            <v>30.31</v>
          </cell>
        </row>
        <row r="260">
          <cell r="F260" t="str">
            <v>ACCESS1W-COM</v>
          </cell>
          <cell r="G260" t="str">
            <v>ACCESS/GATE FEE 1X WK</v>
          </cell>
          <cell r="H260">
            <v>4</v>
          </cell>
        </row>
        <row r="261">
          <cell r="F261" t="str">
            <v>ACCESS2W-COM</v>
          </cell>
          <cell r="G261" t="str">
            <v>ACCESS/GATE FEE 2X WK</v>
          </cell>
          <cell r="H261">
            <v>8</v>
          </cell>
        </row>
        <row r="262">
          <cell r="F262" t="str">
            <v>ACCESS3W-COM</v>
          </cell>
          <cell r="G262" t="str">
            <v>ACCESS/GATE FEE 3X WK</v>
          </cell>
          <cell r="H262">
            <v>12</v>
          </cell>
        </row>
        <row r="263">
          <cell r="F263" t="str">
            <v>ACCESSEOW-COM</v>
          </cell>
          <cell r="G263" t="str">
            <v>ACCESS/GATE FEE EOW</v>
          </cell>
          <cell r="H263">
            <v>2</v>
          </cell>
        </row>
        <row r="264">
          <cell r="F264" t="str">
            <v>BULKY - COMM</v>
          </cell>
          <cell r="G264" t="str">
            <v>BULKY ITEM PICK UP - COMM</v>
          </cell>
          <cell r="H264">
            <v>12.55</v>
          </cell>
        </row>
        <row r="265">
          <cell r="F265" t="str">
            <v>CLOCK</v>
          </cell>
          <cell r="G265" t="str">
            <v>COMM LOCK CHARGE</v>
          </cell>
          <cell r="H265">
            <v>2.5</v>
          </cell>
        </row>
        <row r="266">
          <cell r="F266" t="str">
            <v>CLOCK2W</v>
          </cell>
          <cell r="G266" t="str">
            <v>LOCK CHARGE 2X WK</v>
          </cell>
          <cell r="H266">
            <v>5</v>
          </cell>
        </row>
        <row r="267">
          <cell r="F267" t="str">
            <v>CLOCKE</v>
          </cell>
          <cell r="G267" t="str">
            <v>LOCK CHARGE EOW</v>
          </cell>
          <cell r="H267">
            <v>1.5</v>
          </cell>
        </row>
        <row r="268">
          <cell r="F268" t="str">
            <v>DEL1-COM</v>
          </cell>
          <cell r="G268" t="str">
            <v>DELIVER 1 YD</v>
          </cell>
          <cell r="H268">
            <v>12.7</v>
          </cell>
        </row>
        <row r="269">
          <cell r="F269" t="str">
            <v>DEL1.5-COM</v>
          </cell>
          <cell r="G269" t="str">
            <v>DELIVER 1.5 YD</v>
          </cell>
          <cell r="H269">
            <v>13.45</v>
          </cell>
        </row>
        <row r="270">
          <cell r="F270" t="str">
            <v>DEL2-COM</v>
          </cell>
          <cell r="G270" t="str">
            <v>DELIVER 2 YD</v>
          </cell>
          <cell r="H270">
            <v>14.25</v>
          </cell>
        </row>
        <row r="271">
          <cell r="F271" t="str">
            <v>DEL3-COM</v>
          </cell>
          <cell r="G271" t="str">
            <v>DELIVER 3 YD</v>
          </cell>
          <cell r="H271">
            <v>16.649999999999999</v>
          </cell>
        </row>
        <row r="272">
          <cell r="F272" t="str">
            <v>DEL4-COM</v>
          </cell>
          <cell r="G272" t="str">
            <v>DELIVER 4 YD</v>
          </cell>
          <cell r="H272">
            <v>18.55</v>
          </cell>
        </row>
        <row r="273">
          <cell r="F273" t="str">
            <v>DEL6-COM</v>
          </cell>
          <cell r="G273" t="str">
            <v>DELIVER 6 YD</v>
          </cell>
          <cell r="H273">
            <v>20.55</v>
          </cell>
        </row>
        <row r="274">
          <cell r="F274" t="str">
            <v>DRIVEIN1-COM</v>
          </cell>
          <cell r="G274" t="str">
            <v>DRIVE IN UP TO 125FT - COM</v>
          </cell>
          <cell r="H274">
            <v>0.8</v>
          </cell>
        </row>
        <row r="275">
          <cell r="F275" t="str">
            <v>DRIVEIN2-COM</v>
          </cell>
          <cell r="G275" t="str">
            <v>DRIVE IN 125FT-150FT - COM</v>
          </cell>
          <cell r="H275">
            <v>1.7</v>
          </cell>
        </row>
        <row r="276">
          <cell r="F276" t="str">
            <v>DRIVEIN2WK-COM</v>
          </cell>
          <cell r="G276" t="str">
            <v>DRIVE IN 125FT-150FT</v>
          </cell>
          <cell r="H276">
            <v>7.36</v>
          </cell>
        </row>
        <row r="277">
          <cell r="F277" t="str">
            <v>EXTRA-COMM</v>
          </cell>
          <cell r="G277" t="str">
            <v>EXTRA ITEM - COM</v>
          </cell>
          <cell r="H277">
            <v>3.2</v>
          </cell>
        </row>
        <row r="278">
          <cell r="F278" t="str">
            <v>OS - COMM</v>
          </cell>
          <cell r="G278" t="str">
            <v>OVERSIZE CAN - COMM</v>
          </cell>
          <cell r="H278">
            <v>3.05</v>
          </cell>
        </row>
        <row r="279">
          <cell r="F279" t="str">
            <v>OW-COMM</v>
          </cell>
          <cell r="G279" t="str">
            <v>OVERFILL/OVERWEIGHT CAN -</v>
          </cell>
          <cell r="H279">
            <v>3.05</v>
          </cell>
        </row>
        <row r="280">
          <cell r="F280" t="str">
            <v>P1.5YC1W1</v>
          </cell>
          <cell r="G280" t="str">
            <v>1-1.5YD CONT 1 X WEEKLY</v>
          </cell>
          <cell r="H280">
            <v>70.58</v>
          </cell>
        </row>
        <row r="281">
          <cell r="F281" t="str">
            <v>P1.5YC1W2</v>
          </cell>
          <cell r="G281" t="str">
            <v>2-1.5YD CONT 1 X WEEKLY</v>
          </cell>
          <cell r="H281">
            <v>141.16</v>
          </cell>
        </row>
        <row r="282">
          <cell r="F282" t="str">
            <v>P1.5YC2W1</v>
          </cell>
          <cell r="G282" t="str">
            <v>1-1.5YD CONT 2 X WEEKLY</v>
          </cell>
          <cell r="H282">
            <v>141.16</v>
          </cell>
        </row>
        <row r="283">
          <cell r="F283" t="str">
            <v>P1.5YC3W1</v>
          </cell>
          <cell r="G283" t="str">
            <v>1-1.5YD CONT 3 X WEEKLY</v>
          </cell>
          <cell r="H283">
            <v>211.74</v>
          </cell>
        </row>
        <row r="284">
          <cell r="F284" t="str">
            <v>P1.5YC3W2</v>
          </cell>
          <cell r="G284" t="str">
            <v>2-1.5YD CONT 3 X WEEKLY</v>
          </cell>
          <cell r="H284">
            <v>423.47</v>
          </cell>
        </row>
        <row r="285">
          <cell r="F285" t="str">
            <v>P1.5YCE1</v>
          </cell>
          <cell r="G285" t="str">
            <v>1-1.5YD CONT EOW</v>
          </cell>
          <cell r="H285">
            <v>35.369999999999997</v>
          </cell>
        </row>
        <row r="286">
          <cell r="F286" t="str">
            <v>P1YC1W1</v>
          </cell>
          <cell r="G286" t="str">
            <v>1-1YD CONT 1 X WEEKLY</v>
          </cell>
          <cell r="H286">
            <v>47.41</v>
          </cell>
        </row>
        <row r="287">
          <cell r="F287" t="str">
            <v>P1YC1W2</v>
          </cell>
          <cell r="G287" t="str">
            <v>2-1YD CONT. 1 X WEEKLY</v>
          </cell>
          <cell r="H287">
            <v>94.83</v>
          </cell>
        </row>
        <row r="288">
          <cell r="F288" t="str">
            <v>P1YC2W1</v>
          </cell>
          <cell r="G288" t="str">
            <v>1-1YD CONT 2X WKLY</v>
          </cell>
          <cell r="H288">
            <v>94.83</v>
          </cell>
        </row>
        <row r="289">
          <cell r="F289" t="str">
            <v>P1YCE1</v>
          </cell>
          <cell r="G289" t="str">
            <v>1-1YD CONT EOW</v>
          </cell>
          <cell r="H289">
            <v>23.76</v>
          </cell>
        </row>
        <row r="290">
          <cell r="F290" t="str">
            <v>P2YC1W1</v>
          </cell>
          <cell r="G290" t="str">
            <v>1-2YD CONT 1 X WEEKLY</v>
          </cell>
          <cell r="H290">
            <v>92.45</v>
          </cell>
        </row>
        <row r="291">
          <cell r="F291" t="str">
            <v>P2YC1W2</v>
          </cell>
          <cell r="G291" t="str">
            <v>2-2YD CONT. 1 X WEEKLY</v>
          </cell>
          <cell r="H291">
            <v>184.89</v>
          </cell>
        </row>
        <row r="292">
          <cell r="F292" t="str">
            <v>P2YC1W3</v>
          </cell>
          <cell r="G292" t="str">
            <v>3-2YD CONT. 1 X WEEKLY</v>
          </cell>
          <cell r="H292">
            <v>277.33999999999997</v>
          </cell>
        </row>
        <row r="293">
          <cell r="F293" t="str">
            <v>P2YC1W4</v>
          </cell>
          <cell r="G293" t="str">
            <v>4-2YD CONT 1X WKLY</v>
          </cell>
          <cell r="H293">
            <v>369.78</v>
          </cell>
        </row>
        <row r="294">
          <cell r="F294" t="str">
            <v>P2YC1W7</v>
          </cell>
          <cell r="G294" t="str">
            <v>7-2YD CONT 1X WKLY</v>
          </cell>
          <cell r="H294">
            <v>647.12</v>
          </cell>
        </row>
        <row r="295">
          <cell r="F295" t="str">
            <v>P2YC2W1</v>
          </cell>
          <cell r="G295" t="str">
            <v>1-2YD CONT 2  X WEEKLY</v>
          </cell>
          <cell r="H295">
            <v>184.89</v>
          </cell>
        </row>
        <row r="296">
          <cell r="F296" t="str">
            <v>P2YC2W2</v>
          </cell>
          <cell r="G296" t="str">
            <v>2-2YD CONT 2X WKLY</v>
          </cell>
          <cell r="H296">
            <v>369.78</v>
          </cell>
        </row>
        <row r="297">
          <cell r="F297" t="str">
            <v>P2YC2W3</v>
          </cell>
          <cell r="G297" t="str">
            <v>3-2YD CONT 2X WKLY</v>
          </cell>
          <cell r="H297">
            <v>554.66999999999996</v>
          </cell>
        </row>
        <row r="298">
          <cell r="F298" t="str">
            <v>P2YC2W7</v>
          </cell>
          <cell r="G298" t="str">
            <v>7-2YD CONT 2X WKLY</v>
          </cell>
          <cell r="H298">
            <v>1294.24</v>
          </cell>
        </row>
        <row r="299">
          <cell r="F299" t="str">
            <v>P2YC3W1</v>
          </cell>
          <cell r="G299" t="str">
            <v>1-2YD CONT. 3 X WEEKLY</v>
          </cell>
          <cell r="H299">
            <v>277.33999999999997</v>
          </cell>
        </row>
        <row r="300">
          <cell r="F300" t="str">
            <v>P2YC3W2</v>
          </cell>
          <cell r="G300" t="str">
            <v>2-2YD CONT. 3 X WEEKLY</v>
          </cell>
          <cell r="H300">
            <v>554.66999999999996</v>
          </cell>
        </row>
        <row r="301">
          <cell r="F301" t="str">
            <v>P2YC4W1</v>
          </cell>
          <cell r="G301" t="str">
            <v>1-2YD CONT. 4 X WEEKLY</v>
          </cell>
          <cell r="H301">
            <v>369.78</v>
          </cell>
        </row>
        <row r="302">
          <cell r="F302" t="str">
            <v>P2YCE1</v>
          </cell>
          <cell r="G302" t="str">
            <v>1-2YD CONT EOW</v>
          </cell>
          <cell r="H302">
            <v>46.33</v>
          </cell>
        </row>
        <row r="303">
          <cell r="F303" t="str">
            <v>P4YC1W1</v>
          </cell>
          <cell r="G303" t="str">
            <v>1-4YD CONT. 1 X WEEKLY</v>
          </cell>
          <cell r="H303">
            <v>150.03</v>
          </cell>
        </row>
        <row r="304">
          <cell r="F304" t="str">
            <v>R1.5TC-COM</v>
          </cell>
          <cell r="G304" t="str">
            <v>1.5 YD TEMP CONT PICKUP</v>
          </cell>
          <cell r="H304">
            <v>24.35</v>
          </cell>
        </row>
        <row r="305">
          <cell r="F305" t="str">
            <v>R1TC-COM</v>
          </cell>
          <cell r="G305" t="str">
            <v>1 YD TEMP CONT PICKUP</v>
          </cell>
          <cell r="H305">
            <v>35.700000000000003</v>
          </cell>
        </row>
        <row r="306">
          <cell r="F306" t="str">
            <v>R2TC-COMM</v>
          </cell>
          <cell r="G306" t="str">
            <v>2 YD TEMP CONT PICKUP</v>
          </cell>
          <cell r="H306">
            <v>32.15</v>
          </cell>
        </row>
        <row r="307">
          <cell r="F307" t="str">
            <v>RENT1-COM</v>
          </cell>
          <cell r="G307" t="str">
            <v>1 YD CONT RENTAL</v>
          </cell>
          <cell r="H307">
            <v>13.65</v>
          </cell>
        </row>
        <row r="308">
          <cell r="F308" t="str">
            <v>RENT1.5-COM</v>
          </cell>
          <cell r="G308" t="str">
            <v>1.5 YD CONT RENTAL</v>
          </cell>
          <cell r="H308">
            <v>16.649999999999999</v>
          </cell>
        </row>
        <row r="309">
          <cell r="F309" t="str">
            <v>RENT1.5TEMP-COM</v>
          </cell>
          <cell r="G309" t="str">
            <v>1.5 YD TEMP CONT RENTAL</v>
          </cell>
          <cell r="H309">
            <v>24.45</v>
          </cell>
        </row>
        <row r="310">
          <cell r="F310" t="str">
            <v>RENT1TEMP-COM</v>
          </cell>
          <cell r="G310" t="str">
            <v>1 YD TEMP CONT RENTAL</v>
          </cell>
          <cell r="H310">
            <v>21.25</v>
          </cell>
        </row>
        <row r="311">
          <cell r="F311" t="str">
            <v>RENT2-COM</v>
          </cell>
          <cell r="G311" t="str">
            <v>2 YD CONT RENTAL</v>
          </cell>
          <cell r="H311">
            <v>19.7</v>
          </cell>
        </row>
        <row r="312">
          <cell r="F312" t="str">
            <v>RENT2TEMP-COM</v>
          </cell>
          <cell r="G312" t="str">
            <v>2 YD TEMP CONT RENTAL</v>
          </cell>
          <cell r="H312">
            <v>28.6</v>
          </cell>
        </row>
        <row r="313">
          <cell r="F313" t="str">
            <v>RENT4-COM</v>
          </cell>
          <cell r="G313" t="str">
            <v>4 YD CONT RENTAL</v>
          </cell>
          <cell r="H313">
            <v>31.25</v>
          </cell>
        </row>
        <row r="314">
          <cell r="F314" t="str">
            <v>ROLL-COM</v>
          </cell>
          <cell r="G314" t="str">
            <v>ROLLOUT CONTAINER - COM</v>
          </cell>
          <cell r="H314">
            <v>3.2</v>
          </cell>
        </row>
        <row r="315">
          <cell r="F315" t="str">
            <v>ROLL1W-COM</v>
          </cell>
          <cell r="G315" t="str">
            <v>ROLL OUT FEE 1X WK</v>
          </cell>
          <cell r="H315">
            <v>13.86</v>
          </cell>
        </row>
        <row r="316">
          <cell r="F316" t="str">
            <v>ROLL2W-COM</v>
          </cell>
          <cell r="G316" t="str">
            <v>ROLL OUT FEE 2X WK</v>
          </cell>
          <cell r="H316">
            <v>27.72</v>
          </cell>
        </row>
        <row r="317">
          <cell r="F317" t="str">
            <v>ROLL3W-COM</v>
          </cell>
          <cell r="G317" t="str">
            <v>ROLL OUT FEE 3X WK</v>
          </cell>
          <cell r="H317">
            <v>41.58</v>
          </cell>
        </row>
        <row r="318">
          <cell r="F318" t="str">
            <v>ROLLEOW-COM</v>
          </cell>
          <cell r="G318" t="str">
            <v>ROLL OUT FEE EOW</v>
          </cell>
          <cell r="H318">
            <v>6.94</v>
          </cell>
        </row>
        <row r="319">
          <cell r="F319" t="str">
            <v>WI-COMM</v>
          </cell>
          <cell r="G319" t="str">
            <v>WALK IN - COMM</v>
          </cell>
          <cell r="H319">
            <v>3.46</v>
          </cell>
        </row>
        <row r="320">
          <cell r="F320" t="str">
            <v>WIE-COM</v>
          </cell>
          <cell r="G320" t="str">
            <v>WALK IN 6-25FT EOW</v>
          </cell>
          <cell r="H320">
            <v>1.74</v>
          </cell>
        </row>
        <row r="321">
          <cell r="F321" t="str">
            <v>20R1W1</v>
          </cell>
          <cell r="G321" t="str">
            <v>1-20GAL CAN WEEKLY</v>
          </cell>
          <cell r="H321">
            <v>12.7</v>
          </cell>
        </row>
        <row r="322">
          <cell r="F322" t="str">
            <v>32R1E1</v>
          </cell>
          <cell r="G322" t="str">
            <v>1-32GAL CAN EOW</v>
          </cell>
          <cell r="H322">
            <v>9.1999999999999993</v>
          </cell>
        </row>
        <row r="323">
          <cell r="F323" t="str">
            <v>32R1M1</v>
          </cell>
          <cell r="G323" t="str">
            <v>1-32GAL CAN MONTHLY</v>
          </cell>
          <cell r="H323">
            <v>4.5999999999999996</v>
          </cell>
        </row>
        <row r="324">
          <cell r="F324" t="str">
            <v>32R1OC</v>
          </cell>
          <cell r="G324" t="str">
            <v>1-32GAL CAN ON CALL</v>
          </cell>
          <cell r="H324">
            <v>4.5999999999999996</v>
          </cell>
        </row>
        <row r="325">
          <cell r="F325" t="str">
            <v>32R1W1</v>
          </cell>
          <cell r="G325" t="str">
            <v>1-32GAL CAN WEEKLY</v>
          </cell>
          <cell r="H325">
            <v>13.8</v>
          </cell>
        </row>
        <row r="326">
          <cell r="F326" t="str">
            <v>32R1W2</v>
          </cell>
          <cell r="G326" t="str">
            <v>2-32GAL CANS WEEKLY</v>
          </cell>
          <cell r="H326">
            <v>18.55</v>
          </cell>
        </row>
        <row r="327">
          <cell r="F327" t="str">
            <v>32R1W3</v>
          </cell>
          <cell r="G327" t="str">
            <v>3-32GAL CANS WEEKLY</v>
          </cell>
          <cell r="H327">
            <v>23.3</v>
          </cell>
        </row>
        <row r="328">
          <cell r="F328" t="str">
            <v>32R1W4</v>
          </cell>
          <cell r="G328" t="str">
            <v>4-32GAL CANS WEEKLY</v>
          </cell>
          <cell r="H328">
            <v>28.1</v>
          </cell>
        </row>
        <row r="329">
          <cell r="F329" t="str">
            <v>32R1W5</v>
          </cell>
          <cell r="G329" t="str">
            <v>5-32 GAL CANS WKLY</v>
          </cell>
          <cell r="H329">
            <v>34.1</v>
          </cell>
        </row>
        <row r="330">
          <cell r="F330" t="str">
            <v>32R1W6</v>
          </cell>
          <cell r="G330" t="str">
            <v>6-32 GAL CANS WKLY</v>
          </cell>
          <cell r="H330">
            <v>39.049999999999997</v>
          </cell>
        </row>
        <row r="331">
          <cell r="F331" t="str">
            <v>45R1OC</v>
          </cell>
          <cell r="G331" t="str">
            <v>1-45 GAL CAN ON CALL</v>
          </cell>
          <cell r="H331">
            <v>7</v>
          </cell>
        </row>
        <row r="332">
          <cell r="F332" t="str">
            <v>45R1W1</v>
          </cell>
          <cell r="G332" t="str">
            <v>1-45 GAL CAN WKLY</v>
          </cell>
          <cell r="H332">
            <v>30.31</v>
          </cell>
        </row>
        <row r="333">
          <cell r="F333" t="str">
            <v>45RE1</v>
          </cell>
          <cell r="G333" t="str">
            <v>1-45 GAL EOW</v>
          </cell>
          <cell r="H333">
            <v>23.45</v>
          </cell>
        </row>
        <row r="334">
          <cell r="F334" t="str">
            <v>60R1M1</v>
          </cell>
          <cell r="G334" t="str">
            <v>1-60GAL CART MONTHLY</v>
          </cell>
          <cell r="H334">
            <v>37.450000000000003</v>
          </cell>
        </row>
        <row r="335">
          <cell r="F335" t="str">
            <v>60R1W1</v>
          </cell>
          <cell r="G335" t="str">
            <v>1-60GAL CART WEEKLY</v>
          </cell>
          <cell r="H335">
            <v>37.450000000000003</v>
          </cell>
        </row>
        <row r="336">
          <cell r="F336" t="str">
            <v>ACCESS-RES</v>
          </cell>
          <cell r="G336" t="str">
            <v>ACCESS/GATE CHARGE</v>
          </cell>
          <cell r="H336">
            <v>4</v>
          </cell>
        </row>
        <row r="337">
          <cell r="F337" t="str">
            <v>ACCESSEOW-RES</v>
          </cell>
          <cell r="G337" t="str">
            <v>ACCESS/GATE FEE EOW</v>
          </cell>
          <cell r="H337">
            <v>2</v>
          </cell>
        </row>
        <row r="338">
          <cell r="F338" t="str">
            <v>BULKY - RES</v>
          </cell>
          <cell r="G338" t="str">
            <v>BULKY ITEM PICK UP - RES</v>
          </cell>
          <cell r="H338">
            <v>12.55</v>
          </cell>
        </row>
        <row r="339">
          <cell r="F339" t="str">
            <v>DRIVEIN-RES</v>
          </cell>
          <cell r="G339" t="str">
            <v>DRIVE IN - RES</v>
          </cell>
          <cell r="H339">
            <v>2.2999999999999998</v>
          </cell>
        </row>
        <row r="340">
          <cell r="F340" t="str">
            <v>DRIVEIN1-RES</v>
          </cell>
          <cell r="G340" t="str">
            <v>DRIVE IN UP TO 125FT - RES</v>
          </cell>
          <cell r="H340">
            <v>2.2999999999999998</v>
          </cell>
        </row>
        <row r="341">
          <cell r="F341" t="str">
            <v>DRIVEIN2-RES</v>
          </cell>
          <cell r="G341" t="str">
            <v>DRIVE IN 125FT-150FT - RES</v>
          </cell>
          <cell r="H341">
            <v>4.5999999999999996</v>
          </cell>
        </row>
        <row r="342">
          <cell r="F342" t="str">
            <v>DRIVEIN2WK-RES</v>
          </cell>
          <cell r="G342" t="str">
            <v>DRIVE IN 125FT-150FT</v>
          </cell>
          <cell r="H342">
            <v>4.5999999999999996</v>
          </cell>
        </row>
        <row r="343">
          <cell r="F343" t="str">
            <v>EXTRA-RES</v>
          </cell>
          <cell r="G343" t="str">
            <v>EXTRA ITEM - RES</v>
          </cell>
          <cell r="H343">
            <v>3.2</v>
          </cell>
        </row>
        <row r="344">
          <cell r="F344" t="str">
            <v>OS - RES</v>
          </cell>
          <cell r="G344" t="str">
            <v>OVERSIZE CAN - RES</v>
          </cell>
          <cell r="H344">
            <v>3.05</v>
          </cell>
        </row>
        <row r="345">
          <cell r="F345" t="str">
            <v>OW-RES</v>
          </cell>
          <cell r="G345" t="str">
            <v>OVERFILL / OVERWEIGHT CAN</v>
          </cell>
          <cell r="H345">
            <v>3.05</v>
          </cell>
        </row>
        <row r="346">
          <cell r="F346" t="str">
            <v>SUNKENCAN-RES</v>
          </cell>
          <cell r="G346" t="str">
            <v>ABOVE/UNDER GROUND</v>
          </cell>
          <cell r="H346">
            <v>2.2999999999999998</v>
          </cell>
        </row>
        <row r="347">
          <cell r="F347" t="str">
            <v>WI-RES</v>
          </cell>
          <cell r="G347" t="str">
            <v>WALK IN/CARRYOUT 5-25FT</v>
          </cell>
          <cell r="H347">
            <v>2.2999999999999998</v>
          </cell>
        </row>
        <row r="348">
          <cell r="F348" t="str">
            <v>WI2-RES</v>
          </cell>
          <cell r="G348" t="str">
            <v>CARRYOUT OVER 25FT</v>
          </cell>
          <cell r="H348">
            <v>2.2999999999999998</v>
          </cell>
        </row>
        <row r="349">
          <cell r="F349" t="str">
            <v>40YCOMPT</v>
          </cell>
          <cell r="G349" t="str">
            <v>40YD COMP/TRASH HAUL FEE</v>
          </cell>
          <cell r="H349">
            <v>495</v>
          </cell>
        </row>
        <row r="350">
          <cell r="F350" t="str">
            <v>DEL-RO</v>
          </cell>
          <cell r="G350" t="str">
            <v>DELIVERY FEE - RO</v>
          </cell>
          <cell r="H350">
            <v>42.5</v>
          </cell>
        </row>
        <row r="351">
          <cell r="F351" t="str">
            <v>HAUL10-RO</v>
          </cell>
          <cell r="G351" t="str">
            <v>HAUL 10 YD</v>
          </cell>
          <cell r="H351">
            <v>95.4</v>
          </cell>
        </row>
        <row r="352">
          <cell r="F352" t="str">
            <v>HAUL10P-RO</v>
          </cell>
          <cell r="G352" t="str">
            <v>HAUL 10 YD</v>
          </cell>
          <cell r="H352">
            <v>68.900000000000006</v>
          </cell>
        </row>
        <row r="353">
          <cell r="F353" t="str">
            <v>HAUL20-RO</v>
          </cell>
          <cell r="G353" t="str">
            <v>HAUL 20 YD</v>
          </cell>
          <cell r="H353">
            <v>95.4</v>
          </cell>
        </row>
        <row r="354">
          <cell r="F354" t="str">
            <v>HAUL20P-RO</v>
          </cell>
          <cell r="G354" t="str">
            <v>HAUL 20 YD</v>
          </cell>
          <cell r="H354">
            <v>68.900000000000006</v>
          </cell>
        </row>
        <row r="355">
          <cell r="F355" t="str">
            <v>HAUL30-RO</v>
          </cell>
          <cell r="G355" t="str">
            <v>HAUL 30 YD</v>
          </cell>
          <cell r="H355">
            <v>137.5</v>
          </cell>
        </row>
        <row r="356">
          <cell r="F356" t="str">
            <v>HAUL30P-RO</v>
          </cell>
          <cell r="G356" t="str">
            <v>HAUL 30 YD</v>
          </cell>
          <cell r="H356">
            <v>103.35</v>
          </cell>
        </row>
        <row r="357">
          <cell r="F357" t="str">
            <v>QDEL</v>
          </cell>
          <cell r="G357" t="str">
            <v>DROP BOX DELIVERY</v>
          </cell>
          <cell r="H357">
            <v>42.5</v>
          </cell>
        </row>
        <row r="358">
          <cell r="F358" t="str">
            <v>QMILE</v>
          </cell>
          <cell r="G358" t="str">
            <v>MILEAGE CHARGE</v>
          </cell>
          <cell r="H358">
            <v>3.7</v>
          </cell>
        </row>
        <row r="359">
          <cell r="F359" t="str">
            <v>QRENT</v>
          </cell>
          <cell r="G359" t="str">
            <v>MONTHLY DROP BOX RENTAL</v>
          </cell>
          <cell r="H359">
            <v>106</v>
          </cell>
        </row>
        <row r="360">
          <cell r="F360" t="str">
            <v>RENT10DAY-RO</v>
          </cell>
          <cell r="G360" t="str">
            <v>RENTAL 10 YD TEMP</v>
          </cell>
          <cell r="H360">
            <v>6.9</v>
          </cell>
        </row>
        <row r="361">
          <cell r="F361" t="str">
            <v>RENT10MO-RO</v>
          </cell>
          <cell r="G361" t="str">
            <v>RENTAL 10 YD</v>
          </cell>
          <cell r="H361">
            <v>62.1</v>
          </cell>
        </row>
        <row r="362">
          <cell r="F362" t="str">
            <v>RENT10TEMP-RO</v>
          </cell>
          <cell r="G362" t="str">
            <v>RENTAL 10 YD TEMP</v>
          </cell>
          <cell r="H362">
            <v>106</v>
          </cell>
        </row>
        <row r="363">
          <cell r="F363" t="str">
            <v>RENT20DAY-RO</v>
          </cell>
          <cell r="G363" t="str">
            <v>RENTAL 20 YD TEMP</v>
          </cell>
          <cell r="H363">
            <v>6.9</v>
          </cell>
        </row>
        <row r="364">
          <cell r="F364" t="str">
            <v>RENT20MO-RO</v>
          </cell>
          <cell r="G364" t="str">
            <v>RENTAL 20 YD</v>
          </cell>
          <cell r="H364">
            <v>63.1</v>
          </cell>
        </row>
        <row r="365">
          <cell r="F365" t="str">
            <v>RENT20TEMP-RO</v>
          </cell>
          <cell r="G365" t="str">
            <v>RENTAL 20 YD TEMP</v>
          </cell>
          <cell r="H365">
            <v>106</v>
          </cell>
        </row>
        <row r="366">
          <cell r="F366" t="str">
            <v>RENT30DAY-RO</v>
          </cell>
          <cell r="G366" t="str">
            <v>RENTAL 30 YD TEMP</v>
          </cell>
          <cell r="H366">
            <v>6.9</v>
          </cell>
        </row>
        <row r="367">
          <cell r="F367" t="str">
            <v>RENT30MO-RO</v>
          </cell>
          <cell r="G367" t="str">
            <v>RENTAL 30 YD</v>
          </cell>
          <cell r="H367">
            <v>135.15</v>
          </cell>
        </row>
        <row r="368">
          <cell r="F368" t="str">
            <v>RENT30TEMP-RO</v>
          </cell>
          <cell r="G368" t="str">
            <v>RENTAL 30 YD TEMP</v>
          </cell>
          <cell r="H368">
            <v>106</v>
          </cell>
        </row>
      </sheetData>
      <sheetData sheetId="6">
        <row r="5">
          <cell r="D5" t="str">
            <v>Service Code</v>
          </cell>
          <cell r="E5" t="str">
            <v>Revenue</v>
          </cell>
        </row>
        <row r="6">
          <cell r="D6" t="str">
            <v>1.5YCOC1</v>
          </cell>
          <cell r="E6">
            <v>887.12</v>
          </cell>
        </row>
        <row r="7">
          <cell r="D7" t="str">
            <v>1YCOC1</v>
          </cell>
          <cell r="E7">
            <v>162.32999999999998</v>
          </cell>
        </row>
        <row r="8">
          <cell r="D8" t="str">
            <v>20R1W1</v>
          </cell>
          <cell r="E8">
            <v>261.02</v>
          </cell>
        </row>
        <row r="9">
          <cell r="D9" t="str">
            <v>20YQCOMPC</v>
          </cell>
          <cell r="E9">
            <v>2632.27</v>
          </cell>
        </row>
        <row r="10">
          <cell r="D10" t="str">
            <v>2YCOC1</v>
          </cell>
          <cell r="E10">
            <v>1796.8000000000002</v>
          </cell>
        </row>
        <row r="11">
          <cell r="D11" t="str">
            <v>32C1W1</v>
          </cell>
          <cell r="E11">
            <v>2984.38</v>
          </cell>
        </row>
        <row r="12">
          <cell r="D12" t="str">
            <v>32C1W2</v>
          </cell>
          <cell r="E12">
            <v>1069.32</v>
          </cell>
        </row>
        <row r="13">
          <cell r="D13" t="str">
            <v>32C1W4</v>
          </cell>
          <cell r="E13">
            <v>286.43</v>
          </cell>
        </row>
        <row r="14">
          <cell r="D14" t="str">
            <v>32R1E1</v>
          </cell>
          <cell r="E14">
            <v>6247.24</v>
          </cell>
        </row>
        <row r="15">
          <cell r="D15" t="str">
            <v>32R1M1</v>
          </cell>
          <cell r="E15">
            <v>720.72</v>
          </cell>
        </row>
        <row r="16">
          <cell r="D16" t="str">
            <v>32R1OC</v>
          </cell>
          <cell r="E16">
            <v>868.54000000000008</v>
          </cell>
        </row>
        <row r="17">
          <cell r="D17" t="str">
            <v>32R1W1</v>
          </cell>
          <cell r="E17">
            <v>75907.520000000004</v>
          </cell>
        </row>
        <row r="18">
          <cell r="D18" t="str">
            <v>32R1W2</v>
          </cell>
          <cell r="E18">
            <v>35924.199999999997</v>
          </cell>
        </row>
        <row r="19">
          <cell r="D19" t="str">
            <v>32R1W3</v>
          </cell>
          <cell r="E19">
            <v>5322.09</v>
          </cell>
        </row>
        <row r="20">
          <cell r="D20" t="str">
            <v>32R1W4</v>
          </cell>
          <cell r="E20">
            <v>1521.7200000000003</v>
          </cell>
        </row>
        <row r="21">
          <cell r="D21" t="str">
            <v>32R1W6</v>
          </cell>
          <cell r="E21">
            <v>243.2</v>
          </cell>
        </row>
        <row r="22">
          <cell r="D22" t="str">
            <v>45C1W1</v>
          </cell>
          <cell r="E22">
            <v>251.84</v>
          </cell>
        </row>
        <row r="23">
          <cell r="D23" t="str">
            <v>45R1W1</v>
          </cell>
          <cell r="E23">
            <v>9544.26</v>
          </cell>
        </row>
        <row r="24">
          <cell r="D24" t="str">
            <v>60COC1</v>
          </cell>
          <cell r="E24">
            <v>10.69</v>
          </cell>
        </row>
        <row r="25">
          <cell r="D25" t="str">
            <v>60R1W1</v>
          </cell>
          <cell r="E25">
            <v>1082.1300000000001</v>
          </cell>
        </row>
        <row r="26">
          <cell r="D26" t="str">
            <v>90R1W1</v>
          </cell>
          <cell r="E26">
            <v>114.68</v>
          </cell>
        </row>
        <row r="27">
          <cell r="D27" t="str">
            <v>ACCESS1W-COM</v>
          </cell>
          <cell r="E27">
            <v>113.04</v>
          </cell>
        </row>
        <row r="28">
          <cell r="D28" t="str">
            <v>ACCESS2W-COM</v>
          </cell>
          <cell r="E28">
            <v>37.68</v>
          </cell>
        </row>
        <row r="29">
          <cell r="D29" t="str">
            <v>ACCESSEOW-COM</v>
          </cell>
          <cell r="E29">
            <v>18.84</v>
          </cell>
        </row>
        <row r="30">
          <cell r="D30" t="str">
            <v>ADJ - COMM</v>
          </cell>
          <cell r="E30">
            <v>-4.84</v>
          </cell>
        </row>
        <row r="31">
          <cell r="D31" t="str">
            <v>ADJ - RES</v>
          </cell>
          <cell r="E31">
            <v>-1.9399999999999995</v>
          </cell>
        </row>
        <row r="32">
          <cell r="D32" t="str">
            <v>BINGEN FUEL</v>
          </cell>
          <cell r="E32">
            <v>0</v>
          </cell>
        </row>
        <row r="33">
          <cell r="D33" t="str">
            <v>BULKY - COMM</v>
          </cell>
          <cell r="E33">
            <v>128.22</v>
          </cell>
        </row>
        <row r="34">
          <cell r="D34" t="str">
            <v>BULKY - RES</v>
          </cell>
          <cell r="E34">
            <v>35.36</v>
          </cell>
        </row>
        <row r="35">
          <cell r="D35" t="str">
            <v>CARSON REFUSE</v>
          </cell>
          <cell r="E35">
            <v>13.48</v>
          </cell>
        </row>
        <row r="36">
          <cell r="D36" t="str">
            <v>CARSON STATE</v>
          </cell>
          <cell r="E36">
            <v>1.25</v>
          </cell>
        </row>
        <row r="37">
          <cell r="D37" t="str">
            <v>CLOCK</v>
          </cell>
          <cell r="E37">
            <v>70.56</v>
          </cell>
        </row>
        <row r="38">
          <cell r="D38" t="str">
            <v>CLOCK2W</v>
          </cell>
          <cell r="E38">
            <v>23.52</v>
          </cell>
        </row>
        <row r="39">
          <cell r="D39" t="str">
            <v>CLOCKE</v>
          </cell>
          <cell r="E39">
            <v>7.64</v>
          </cell>
        </row>
        <row r="40">
          <cell r="D40" t="str">
            <v>CONTRACTEDC</v>
          </cell>
          <cell r="E40">
            <v>3066.4</v>
          </cell>
        </row>
        <row r="41">
          <cell r="D41" t="str">
            <v>DEL1.5-COM</v>
          </cell>
          <cell r="E41">
            <v>158.19999999999999</v>
          </cell>
        </row>
        <row r="42">
          <cell r="D42" t="str">
            <v>DEL1-COM</v>
          </cell>
          <cell r="E42">
            <v>29.88</v>
          </cell>
        </row>
        <row r="43">
          <cell r="D43" t="str">
            <v>DEL2-COM</v>
          </cell>
          <cell r="E43">
            <v>100.56000000000002</v>
          </cell>
        </row>
        <row r="44">
          <cell r="D44" t="str">
            <v>DEL-RO</v>
          </cell>
          <cell r="E44">
            <v>350.77</v>
          </cell>
        </row>
        <row r="45">
          <cell r="D45" t="str">
            <v>DISP-RO</v>
          </cell>
          <cell r="E45">
            <v>55339.9</v>
          </cell>
        </row>
        <row r="46">
          <cell r="D46" t="str">
            <v>DRIVEIN1-COM</v>
          </cell>
          <cell r="E46">
            <v>36.799999999999997</v>
          </cell>
        </row>
        <row r="47">
          <cell r="D47" t="str">
            <v>DRIVEIN2-RES</v>
          </cell>
          <cell r="E47">
            <v>21.64</v>
          </cell>
        </row>
        <row r="48">
          <cell r="D48" t="str">
            <v>DRIVEIN2WK-COM</v>
          </cell>
          <cell r="E48">
            <v>34.64</v>
          </cell>
        </row>
        <row r="49">
          <cell r="D49" t="str">
            <v>DRIVEIN2WK-RES</v>
          </cell>
          <cell r="E49">
            <v>245.08999999999997</v>
          </cell>
        </row>
        <row r="50">
          <cell r="D50" t="str">
            <v>DRIVEIN-RES</v>
          </cell>
          <cell r="E50">
            <v>324.24999999999994</v>
          </cell>
        </row>
        <row r="51">
          <cell r="D51" t="str">
            <v>EMPLOYEER</v>
          </cell>
          <cell r="E51">
            <v>-425.28999999999996</v>
          </cell>
        </row>
        <row r="52">
          <cell r="D52" t="str">
            <v>EXTRA-COMM</v>
          </cell>
          <cell r="E52">
            <v>420.10999999999996</v>
          </cell>
        </row>
        <row r="53">
          <cell r="D53" t="str">
            <v>EXTRA-RES</v>
          </cell>
          <cell r="E53">
            <v>4742.93</v>
          </cell>
        </row>
        <row r="54">
          <cell r="D54" t="str">
            <v>FINCHG</v>
          </cell>
          <cell r="E54">
            <v>2220.66</v>
          </cell>
        </row>
        <row r="55">
          <cell r="D55" t="str">
            <v>HAUL10TEMP-RO</v>
          </cell>
          <cell r="E55">
            <v>224.44</v>
          </cell>
        </row>
        <row r="56">
          <cell r="D56" t="str">
            <v>HAUL20ADD-RO</v>
          </cell>
          <cell r="E56">
            <v>-97.05</v>
          </cell>
        </row>
        <row r="57">
          <cell r="D57" t="str">
            <v>HAUL20P-RO</v>
          </cell>
          <cell r="E57">
            <v>97.05</v>
          </cell>
        </row>
        <row r="58">
          <cell r="D58" t="str">
            <v>HAUL20-RO</v>
          </cell>
          <cell r="E58">
            <v>1552.8</v>
          </cell>
        </row>
        <row r="59">
          <cell r="D59" t="str">
            <v>HAUL20TEMP-RO</v>
          </cell>
          <cell r="E59">
            <v>2581.0600000000004</v>
          </cell>
        </row>
        <row r="60">
          <cell r="D60" t="str">
            <v>HAUL30ADD-RO</v>
          </cell>
          <cell r="E60">
            <v>4261.25</v>
          </cell>
        </row>
        <row r="61">
          <cell r="D61" t="str">
            <v>HAUL30P-RO</v>
          </cell>
          <cell r="E61">
            <v>2191.5</v>
          </cell>
        </row>
        <row r="62">
          <cell r="D62" t="str">
            <v>HAUL30-RO</v>
          </cell>
          <cell r="E62">
            <v>4208.3999999999996</v>
          </cell>
        </row>
        <row r="63">
          <cell r="D63" t="str">
            <v>HAUL30TEMP-RO</v>
          </cell>
          <cell r="E63">
            <v>14684.64</v>
          </cell>
        </row>
        <row r="64">
          <cell r="D64" t="str">
            <v>HHW RESI</v>
          </cell>
          <cell r="E64">
            <v>5.92</v>
          </cell>
        </row>
        <row r="65">
          <cell r="D65" t="str">
            <v>OS - RES</v>
          </cell>
          <cell r="E65">
            <v>59.01</v>
          </cell>
        </row>
        <row r="66">
          <cell r="D66" t="str">
            <v>OW-RES</v>
          </cell>
          <cell r="E66">
            <v>8.43</v>
          </cell>
        </row>
        <row r="67">
          <cell r="D67" t="str">
            <v>P1.5YC1W1</v>
          </cell>
          <cell r="E67">
            <v>10162.16</v>
          </cell>
        </row>
        <row r="68">
          <cell r="D68" t="str">
            <v>P1.5YC1W2</v>
          </cell>
          <cell r="E68">
            <v>1707.04</v>
          </cell>
        </row>
        <row r="69">
          <cell r="D69" t="str">
            <v>P1.5YC2W1</v>
          </cell>
          <cell r="E69">
            <v>2560.56</v>
          </cell>
        </row>
        <row r="70">
          <cell r="D70" t="str">
            <v>P1.5YCE1</v>
          </cell>
          <cell r="E70">
            <v>3446.4100000000003</v>
          </cell>
        </row>
        <row r="71">
          <cell r="D71" t="str">
            <v>P1YC1W1</v>
          </cell>
          <cell r="E71">
            <v>8634.98</v>
          </cell>
        </row>
        <row r="72">
          <cell r="D72" t="str">
            <v>P1YC1W2</v>
          </cell>
          <cell r="E72">
            <v>1157.68</v>
          </cell>
        </row>
        <row r="73">
          <cell r="D73" t="str">
            <v>P1YC2W1</v>
          </cell>
          <cell r="E73">
            <v>1157.68</v>
          </cell>
        </row>
        <row r="74">
          <cell r="D74" t="str">
            <v>P1YCE1</v>
          </cell>
          <cell r="E74">
            <v>3038.8399999999997</v>
          </cell>
        </row>
        <row r="75">
          <cell r="D75" t="str">
            <v>P2YC1W1</v>
          </cell>
          <cell r="E75">
            <v>21627.810000000005</v>
          </cell>
        </row>
        <row r="76">
          <cell r="D76" t="str">
            <v>P2YC1W2</v>
          </cell>
          <cell r="E76">
            <v>3002.0899999999997</v>
          </cell>
        </row>
        <row r="77">
          <cell r="D77" t="str">
            <v>P2YC1W3</v>
          </cell>
          <cell r="E77">
            <v>1672.6</v>
          </cell>
        </row>
        <row r="78">
          <cell r="D78" t="str">
            <v>P2YC1W4</v>
          </cell>
          <cell r="E78">
            <v>2230.12</v>
          </cell>
        </row>
        <row r="79">
          <cell r="D79" t="str">
            <v>P2YC1W7</v>
          </cell>
          <cell r="E79">
            <v>3902.72</v>
          </cell>
        </row>
        <row r="80">
          <cell r="D80" t="str">
            <v>P2YC2W1</v>
          </cell>
          <cell r="E80">
            <v>7805.5599999999995</v>
          </cell>
        </row>
        <row r="81">
          <cell r="D81" t="str">
            <v>P2YC2W2</v>
          </cell>
          <cell r="E81">
            <v>2230.12</v>
          </cell>
        </row>
        <row r="82">
          <cell r="D82" t="str">
            <v>P2YC2W7</v>
          </cell>
          <cell r="E82">
            <v>7805.44</v>
          </cell>
        </row>
        <row r="83">
          <cell r="D83" t="str">
            <v>P2YC3W1</v>
          </cell>
          <cell r="E83">
            <v>8363</v>
          </cell>
        </row>
        <row r="84">
          <cell r="D84" t="str">
            <v>P2YC3W2</v>
          </cell>
          <cell r="E84">
            <v>6690.4</v>
          </cell>
        </row>
        <row r="85">
          <cell r="D85" t="str">
            <v>P2YC4W1</v>
          </cell>
          <cell r="E85">
            <v>2230.12</v>
          </cell>
        </row>
        <row r="86">
          <cell r="D86" t="str">
            <v>P2YCE1</v>
          </cell>
          <cell r="E86">
            <v>3565.0999999999995</v>
          </cell>
        </row>
        <row r="87">
          <cell r="D87" t="str">
            <v>P4YC1W1</v>
          </cell>
          <cell r="E87">
            <v>1876.08</v>
          </cell>
        </row>
        <row r="88">
          <cell r="D88" t="str">
            <v>P4YCE1</v>
          </cell>
          <cell r="E88">
            <v>397.04</v>
          </cell>
        </row>
        <row r="89">
          <cell r="D89" t="str">
            <v>PAY ICT</v>
          </cell>
          <cell r="E89">
            <v>-92.25</v>
          </cell>
        </row>
        <row r="90">
          <cell r="D90" t="str">
            <v>QDEL</v>
          </cell>
          <cell r="E90">
            <v>1102.42</v>
          </cell>
        </row>
        <row r="91">
          <cell r="D91" t="str">
            <v>QMILE</v>
          </cell>
          <cell r="E91">
            <v>2240.25</v>
          </cell>
        </row>
        <row r="92">
          <cell r="D92" t="str">
            <v>QRENT</v>
          </cell>
          <cell r="E92">
            <v>506.88</v>
          </cell>
        </row>
        <row r="93">
          <cell r="D93" t="str">
            <v>R1TC-COM</v>
          </cell>
          <cell r="E93">
            <v>92.8</v>
          </cell>
        </row>
        <row r="94">
          <cell r="D94" t="str">
            <v>REINSTATE-COMM</v>
          </cell>
          <cell r="E94">
            <v>432.14</v>
          </cell>
        </row>
        <row r="95">
          <cell r="D95" t="str">
            <v>RENT1.5-COM</v>
          </cell>
          <cell r="E95">
            <v>4770.91</v>
          </cell>
        </row>
        <row r="96">
          <cell r="D96" t="str">
            <v>RENT1.5TEMP-COM</v>
          </cell>
          <cell r="E96">
            <v>15.68</v>
          </cell>
        </row>
        <row r="97">
          <cell r="D97" t="str">
            <v>RENT1-COM</v>
          </cell>
          <cell r="E97">
            <v>3832.12</v>
          </cell>
        </row>
        <row r="98">
          <cell r="D98" t="str">
            <v>RENT1TEMP-COM</v>
          </cell>
          <cell r="E98">
            <v>100</v>
          </cell>
        </row>
        <row r="99">
          <cell r="D99" t="str">
            <v>RENT20DAY-RO</v>
          </cell>
          <cell r="E99">
            <v>1403.6000000000001</v>
          </cell>
        </row>
        <row r="100">
          <cell r="D100" t="str">
            <v>RENT20MO-RO</v>
          </cell>
          <cell r="E100">
            <v>1122.21</v>
          </cell>
        </row>
        <row r="101">
          <cell r="D101" t="str">
            <v>RENT2-COM</v>
          </cell>
          <cell r="E101">
            <v>9816.880000000001</v>
          </cell>
        </row>
        <row r="102">
          <cell r="D102" t="str">
            <v>RENT2TEMP-COM</v>
          </cell>
          <cell r="E102">
            <v>134.56</v>
          </cell>
        </row>
        <row r="103">
          <cell r="D103" t="str">
            <v>RENT30DAY-RO</v>
          </cell>
          <cell r="E103">
            <v>3239.88</v>
          </cell>
        </row>
        <row r="104">
          <cell r="D104" t="str">
            <v>RENT30MO-RO</v>
          </cell>
          <cell r="E104">
            <v>374.07</v>
          </cell>
        </row>
        <row r="105">
          <cell r="D105" t="str">
            <v>RENT4-COM</v>
          </cell>
          <cell r="E105">
            <v>441.12</v>
          </cell>
        </row>
        <row r="106">
          <cell r="D106" t="str">
            <v>ROLL1W-COM</v>
          </cell>
          <cell r="E106">
            <v>881.65000000000009</v>
          </cell>
        </row>
        <row r="107">
          <cell r="D107" t="str">
            <v>ROLL-COM</v>
          </cell>
          <cell r="E107">
            <v>110.88</v>
          </cell>
        </row>
        <row r="108">
          <cell r="D108" t="str">
            <v>ROLLEOW-COM</v>
          </cell>
          <cell r="E108">
            <v>89.76</v>
          </cell>
        </row>
        <row r="109">
          <cell r="D109" t="str">
            <v>SKAMANIA COUNTY FUEL</v>
          </cell>
          <cell r="E109">
            <v>0</v>
          </cell>
        </row>
        <row r="110">
          <cell r="D110" t="str">
            <v>SKAMANIA REFUSE</v>
          </cell>
          <cell r="E110">
            <v>1.4</v>
          </cell>
        </row>
        <row r="111">
          <cell r="D111" t="str">
            <v>STEVENSON CITY UTILITY</v>
          </cell>
          <cell r="E111">
            <v>32.010000000000005</v>
          </cell>
        </row>
        <row r="112">
          <cell r="D112" t="str">
            <v>STEVENSON REFUSE</v>
          </cell>
          <cell r="E112">
            <v>34.629999999999995</v>
          </cell>
        </row>
        <row r="113">
          <cell r="D113" t="str">
            <v>STEVENSON STATE</v>
          </cell>
          <cell r="E113">
            <v>8.1300000000000008</v>
          </cell>
        </row>
        <row r="114">
          <cell r="D114" t="str">
            <v>WI2-RES</v>
          </cell>
          <cell r="E114">
            <v>18.399999999999999</v>
          </cell>
        </row>
        <row r="115">
          <cell r="D115" t="str">
            <v>WI-COMM</v>
          </cell>
          <cell r="E115">
            <v>32.56</v>
          </cell>
        </row>
        <row r="116">
          <cell r="D116" t="str">
            <v>WI-RES</v>
          </cell>
          <cell r="E116">
            <v>548.52</v>
          </cell>
        </row>
        <row r="117">
          <cell r="D117" t="str">
            <v>Grand Total</v>
          </cell>
          <cell r="E117">
            <v>381280.06000000006</v>
          </cell>
        </row>
      </sheetData>
      <sheetData sheetId="7">
        <row r="5">
          <cell r="D5" t="str">
            <v>Service Code</v>
          </cell>
          <cell r="E5" t="str">
            <v>Revenue</v>
          </cell>
        </row>
        <row r="6">
          <cell r="D6" t="str">
            <v>1.5YCOC1</v>
          </cell>
          <cell r="E6">
            <v>3295.0199999999995</v>
          </cell>
        </row>
        <row r="7">
          <cell r="D7" t="str">
            <v>1YCOC1</v>
          </cell>
          <cell r="E7">
            <v>535.05000000000007</v>
          </cell>
        </row>
        <row r="8">
          <cell r="D8" t="str">
            <v>20R1W1</v>
          </cell>
          <cell r="E8">
            <v>443.1</v>
          </cell>
        </row>
        <row r="9">
          <cell r="D9" t="str">
            <v>20YQCOMPC</v>
          </cell>
          <cell r="E9">
            <v>8690.43</v>
          </cell>
        </row>
        <row r="10">
          <cell r="D10" t="str">
            <v>2YCOC1</v>
          </cell>
          <cell r="E10">
            <v>3647.0600000000004</v>
          </cell>
        </row>
        <row r="11">
          <cell r="D11" t="str">
            <v>32C1E1</v>
          </cell>
          <cell r="E11">
            <v>320.90000000000003</v>
          </cell>
        </row>
        <row r="12">
          <cell r="D12" t="str">
            <v>32C1OC</v>
          </cell>
          <cell r="E12">
            <v>14.809999999999999</v>
          </cell>
        </row>
        <row r="13">
          <cell r="D13" t="str">
            <v>32C1W1</v>
          </cell>
          <cell r="E13">
            <v>6339.6100000000006</v>
          </cell>
        </row>
        <row r="14">
          <cell r="D14" t="str">
            <v>32C1W2</v>
          </cell>
          <cell r="E14">
            <v>2308.2600000000002</v>
          </cell>
        </row>
        <row r="15">
          <cell r="D15" t="str">
            <v>32C1W3</v>
          </cell>
          <cell r="E15">
            <v>195.66</v>
          </cell>
        </row>
        <row r="16">
          <cell r="D16" t="str">
            <v>32C1W4</v>
          </cell>
          <cell r="E16">
            <v>765.5</v>
          </cell>
        </row>
        <row r="17">
          <cell r="D17" t="str">
            <v>32R1E1</v>
          </cell>
          <cell r="E17">
            <v>12638.07</v>
          </cell>
        </row>
        <row r="18">
          <cell r="D18" t="str">
            <v>32R1M1</v>
          </cell>
          <cell r="E18">
            <v>1507.92</v>
          </cell>
        </row>
        <row r="19">
          <cell r="D19" t="str">
            <v>32R1OC</v>
          </cell>
          <cell r="E19">
            <v>2013.6</v>
          </cell>
        </row>
        <row r="20">
          <cell r="D20" t="str">
            <v>32R1W1</v>
          </cell>
          <cell r="E20">
            <v>161148.45000000001</v>
          </cell>
        </row>
        <row r="21">
          <cell r="D21" t="str">
            <v>32R1W2</v>
          </cell>
          <cell r="E21">
            <v>74098.399999999994</v>
          </cell>
        </row>
        <row r="22">
          <cell r="D22" t="str">
            <v>32R1W3</v>
          </cell>
          <cell r="E22">
            <v>10714.890000000001</v>
          </cell>
        </row>
        <row r="23">
          <cell r="D23" t="str">
            <v>32R1W4</v>
          </cell>
          <cell r="E23">
            <v>3290.65</v>
          </cell>
        </row>
        <row r="24">
          <cell r="D24" t="str">
            <v>32R1W6</v>
          </cell>
          <cell r="E24">
            <v>488.8</v>
          </cell>
        </row>
        <row r="25">
          <cell r="D25" t="str">
            <v>40YCOMPT</v>
          </cell>
          <cell r="E25">
            <v>582.29999999999995</v>
          </cell>
        </row>
        <row r="26">
          <cell r="D26" t="str">
            <v>45C1W1</v>
          </cell>
          <cell r="E26">
            <v>505.44</v>
          </cell>
        </row>
        <row r="27">
          <cell r="D27" t="str">
            <v>45R1W1</v>
          </cell>
          <cell r="E27">
            <v>17863.7</v>
          </cell>
        </row>
        <row r="28">
          <cell r="D28" t="str">
            <v>60COC1</v>
          </cell>
          <cell r="E28">
            <v>32.07</v>
          </cell>
        </row>
        <row r="29">
          <cell r="D29" t="str">
            <v>60R1W1</v>
          </cell>
          <cell r="E29">
            <v>2208.64</v>
          </cell>
        </row>
        <row r="30">
          <cell r="D30" t="str">
            <v>90R1W1</v>
          </cell>
          <cell r="E30">
            <v>64.510000000000005</v>
          </cell>
        </row>
        <row r="31">
          <cell r="D31" t="str">
            <v>ACCESS1W-COM</v>
          </cell>
          <cell r="E31">
            <v>226.08</v>
          </cell>
        </row>
        <row r="32">
          <cell r="D32" t="str">
            <v>ACCESS2W-COM</v>
          </cell>
          <cell r="E32">
            <v>75.36</v>
          </cell>
        </row>
        <row r="33">
          <cell r="D33" t="str">
            <v>ACCESSEOW-COM</v>
          </cell>
          <cell r="E33">
            <v>32.97</v>
          </cell>
        </row>
        <row r="34">
          <cell r="D34" t="str">
            <v>ADJ - COMM</v>
          </cell>
          <cell r="E34">
            <v>-1337.38</v>
          </cell>
        </row>
        <row r="35">
          <cell r="D35" t="str">
            <v>ADJ - RES</v>
          </cell>
          <cell r="E35">
            <v>80.759999999999991</v>
          </cell>
        </row>
        <row r="36">
          <cell r="D36" t="str">
            <v>ADJ - RO</v>
          </cell>
          <cell r="E36">
            <v>-7.57</v>
          </cell>
        </row>
        <row r="37">
          <cell r="D37" t="str">
            <v>BINGEN FUEL</v>
          </cell>
          <cell r="E37">
            <v>0</v>
          </cell>
        </row>
        <row r="38">
          <cell r="D38" t="str">
            <v>BULKY - COMM</v>
          </cell>
          <cell r="E38">
            <v>224.77</v>
          </cell>
        </row>
        <row r="39">
          <cell r="D39" t="str">
            <v>BULKY - RES</v>
          </cell>
          <cell r="E39">
            <v>88.699999999999989</v>
          </cell>
        </row>
        <row r="40">
          <cell r="D40" t="str">
            <v>CLOCK</v>
          </cell>
          <cell r="E40">
            <v>164.64</v>
          </cell>
        </row>
        <row r="41">
          <cell r="D41" t="str">
            <v>CLOCK2W</v>
          </cell>
          <cell r="E41">
            <v>47.04</v>
          </cell>
        </row>
        <row r="42">
          <cell r="D42" t="str">
            <v>CLOCKE</v>
          </cell>
          <cell r="E42">
            <v>11.46</v>
          </cell>
        </row>
        <row r="43">
          <cell r="D43" t="str">
            <v>CONTRACTEDC</v>
          </cell>
          <cell r="E43">
            <v>6132.8</v>
          </cell>
        </row>
        <row r="44">
          <cell r="D44" t="str">
            <v>DEL1.5-COM</v>
          </cell>
          <cell r="E44">
            <v>537.88</v>
          </cell>
        </row>
        <row r="45">
          <cell r="D45" t="str">
            <v>DEL2-COM</v>
          </cell>
          <cell r="E45">
            <v>318.43999999999994</v>
          </cell>
        </row>
        <row r="46">
          <cell r="D46" t="str">
            <v>DEL-RO</v>
          </cell>
          <cell r="E46">
            <v>1803.96</v>
          </cell>
        </row>
        <row r="47">
          <cell r="D47" t="str">
            <v>DISP-RO</v>
          </cell>
          <cell r="E47">
            <v>102504.25</v>
          </cell>
        </row>
        <row r="48">
          <cell r="D48" t="str">
            <v>DRIVEIN1-COM</v>
          </cell>
          <cell r="E48">
            <v>58.019999999999996</v>
          </cell>
        </row>
        <row r="49">
          <cell r="D49" t="str">
            <v>DRIVEIN1-RES</v>
          </cell>
          <cell r="E49">
            <v>10.82</v>
          </cell>
        </row>
        <row r="50">
          <cell r="D50" t="str">
            <v>DRIVEIN2-RES</v>
          </cell>
          <cell r="E50">
            <v>5.41</v>
          </cell>
        </row>
        <row r="51">
          <cell r="D51" t="str">
            <v>DRIVEIN2WK-COM</v>
          </cell>
          <cell r="E51">
            <v>251.14</v>
          </cell>
        </row>
        <row r="52">
          <cell r="D52" t="str">
            <v>DRIVEIN2WK-RES</v>
          </cell>
          <cell r="E52">
            <v>344.09999999999991</v>
          </cell>
        </row>
        <row r="53">
          <cell r="D53" t="str">
            <v>DRIVEIN-RES</v>
          </cell>
          <cell r="E53">
            <v>683.08</v>
          </cell>
        </row>
        <row r="54">
          <cell r="D54" t="str">
            <v>EMPLOYEER</v>
          </cell>
          <cell r="E54">
            <v>-599.29999999999995</v>
          </cell>
        </row>
        <row r="55">
          <cell r="D55" t="str">
            <v>EXTRA-COMM</v>
          </cell>
          <cell r="E55">
            <v>999.3</v>
          </cell>
        </row>
        <row r="56">
          <cell r="D56" t="str">
            <v>EXTRA-RES</v>
          </cell>
          <cell r="E56">
            <v>20817.530000000002</v>
          </cell>
        </row>
        <row r="57">
          <cell r="D57" t="str">
            <v>FINCHG</v>
          </cell>
          <cell r="E57">
            <v>3335.7</v>
          </cell>
        </row>
        <row r="58">
          <cell r="D58" t="str">
            <v>HAUL10TEMP-RO</v>
          </cell>
          <cell r="E58">
            <v>336.66</v>
          </cell>
        </row>
        <row r="59">
          <cell r="D59" t="str">
            <v>HAUL20ADD-RO</v>
          </cell>
          <cell r="E59">
            <v>97.05</v>
          </cell>
        </row>
        <row r="60">
          <cell r="D60" t="str">
            <v>HAUL20P-RO</v>
          </cell>
          <cell r="E60">
            <v>792.30000000000007</v>
          </cell>
        </row>
        <row r="61">
          <cell r="D61" t="str">
            <v>HAUL20-RO</v>
          </cell>
          <cell r="E61">
            <v>2527.54</v>
          </cell>
        </row>
        <row r="62">
          <cell r="D62" t="str">
            <v>HAUL20TEMP-RO</v>
          </cell>
          <cell r="E62">
            <v>11846.599999999999</v>
          </cell>
        </row>
        <row r="63">
          <cell r="D63" t="str">
            <v>HAUL30ADD-RO</v>
          </cell>
          <cell r="E63">
            <v>4261.25</v>
          </cell>
        </row>
        <row r="64">
          <cell r="D64" t="str">
            <v>HAUL30P-RO</v>
          </cell>
          <cell r="E64">
            <v>1339.25</v>
          </cell>
        </row>
        <row r="65">
          <cell r="D65" t="str">
            <v>HAUL30-RO</v>
          </cell>
          <cell r="E65">
            <v>9302.02</v>
          </cell>
        </row>
        <row r="66">
          <cell r="D66" t="str">
            <v>HAUL30TEMP-RO</v>
          </cell>
          <cell r="E66">
            <v>26958.400000000001</v>
          </cell>
        </row>
        <row r="67">
          <cell r="D67" t="str">
            <v>HHW RESI</v>
          </cell>
          <cell r="E67">
            <v>3.33</v>
          </cell>
        </row>
        <row r="68">
          <cell r="D68" t="str">
            <v>OS - RES</v>
          </cell>
          <cell r="E68">
            <v>4.5199999999999996</v>
          </cell>
        </row>
        <row r="69">
          <cell r="D69" t="str">
            <v>P1.5YC1W1</v>
          </cell>
          <cell r="E69">
            <v>22617.879999999997</v>
          </cell>
        </row>
        <row r="70">
          <cell r="D70" t="str">
            <v>P1.5YC1W2</v>
          </cell>
          <cell r="E70">
            <v>4286.8</v>
          </cell>
        </row>
        <row r="71">
          <cell r="D71" t="str">
            <v>P1.5YC2W1</v>
          </cell>
          <cell r="E71">
            <v>5494.25</v>
          </cell>
        </row>
        <row r="72">
          <cell r="D72" t="str">
            <v>P1.5YC3W1</v>
          </cell>
          <cell r="E72">
            <v>1419.96</v>
          </cell>
        </row>
        <row r="73">
          <cell r="D73" t="str">
            <v>P1.5YCE1</v>
          </cell>
          <cell r="E73">
            <v>9448.4600000000009</v>
          </cell>
        </row>
        <row r="74">
          <cell r="D74" t="str">
            <v>P1YC1W1</v>
          </cell>
          <cell r="E74">
            <v>18865.649999999998</v>
          </cell>
        </row>
        <row r="75">
          <cell r="D75" t="str">
            <v>P1YC1W2</v>
          </cell>
          <cell r="E75">
            <v>2320.8000000000002</v>
          </cell>
        </row>
        <row r="76">
          <cell r="D76" t="str">
            <v>P1YC2W1</v>
          </cell>
          <cell r="E76">
            <v>2326.4</v>
          </cell>
        </row>
        <row r="77">
          <cell r="D77" t="str">
            <v>P1YCE1</v>
          </cell>
          <cell r="E77">
            <v>4941.3599999999997</v>
          </cell>
        </row>
        <row r="78">
          <cell r="D78" t="str">
            <v>P2YC1W1</v>
          </cell>
          <cell r="E78">
            <v>48175.14</v>
          </cell>
        </row>
        <row r="79">
          <cell r="D79" t="str">
            <v>P2YC1W2</v>
          </cell>
          <cell r="E79">
            <v>11127.11</v>
          </cell>
        </row>
        <row r="80">
          <cell r="D80" t="str">
            <v>P2YC1W3</v>
          </cell>
          <cell r="E80">
            <v>7453.5700000000006</v>
          </cell>
        </row>
        <row r="81">
          <cell r="D81" t="str">
            <v>P2YC1W4</v>
          </cell>
          <cell r="E81">
            <v>8959.36</v>
          </cell>
        </row>
        <row r="82">
          <cell r="D82" t="str">
            <v>P2YC1W7</v>
          </cell>
          <cell r="E82">
            <v>7839.36</v>
          </cell>
        </row>
        <row r="83">
          <cell r="D83" t="str">
            <v>P2YC2W1</v>
          </cell>
          <cell r="E83">
            <v>18148.150000000001</v>
          </cell>
        </row>
        <row r="84">
          <cell r="D84" t="str">
            <v>P2YC2W2</v>
          </cell>
          <cell r="E84">
            <v>4479.68</v>
          </cell>
        </row>
        <row r="85">
          <cell r="D85" t="str">
            <v>P2YC2W7</v>
          </cell>
          <cell r="E85">
            <v>15678.72</v>
          </cell>
        </row>
        <row r="86">
          <cell r="D86" t="str">
            <v>P2YC3W1</v>
          </cell>
          <cell r="E86">
            <v>14082.990000000002</v>
          </cell>
        </row>
        <row r="87">
          <cell r="D87" t="str">
            <v>P2YC3W2</v>
          </cell>
          <cell r="E87">
            <v>13438.88</v>
          </cell>
        </row>
        <row r="88">
          <cell r="D88" t="str">
            <v>P2YC4W1</v>
          </cell>
          <cell r="E88">
            <v>4479.68</v>
          </cell>
        </row>
        <row r="89">
          <cell r="D89" t="str">
            <v>P2YCE1</v>
          </cell>
          <cell r="E89">
            <v>7887.07</v>
          </cell>
        </row>
        <row r="90">
          <cell r="D90" t="str">
            <v>P4YC1W1</v>
          </cell>
          <cell r="E90">
            <v>3762.69</v>
          </cell>
        </row>
        <row r="91">
          <cell r="D91" t="str">
            <v>P4YCE1</v>
          </cell>
          <cell r="E91">
            <v>794.08</v>
          </cell>
        </row>
        <row r="92">
          <cell r="D92" t="str">
            <v>PAY ICT</v>
          </cell>
          <cell r="E92">
            <v>67</v>
          </cell>
        </row>
        <row r="93">
          <cell r="D93" t="str">
            <v>QDEL</v>
          </cell>
          <cell r="E93">
            <v>4008.7999999999997</v>
          </cell>
        </row>
        <row r="94">
          <cell r="D94" t="str">
            <v>QMILE</v>
          </cell>
          <cell r="E94">
            <v>7407.18</v>
          </cell>
        </row>
        <row r="95">
          <cell r="D95" t="str">
            <v>QRENT</v>
          </cell>
          <cell r="E95">
            <v>748.14</v>
          </cell>
        </row>
        <row r="96">
          <cell r="D96" t="str">
            <v>R1.5TC-COM</v>
          </cell>
          <cell r="E96">
            <v>34.24</v>
          </cell>
        </row>
        <row r="97">
          <cell r="D97" t="str">
            <v>R1TC-COM</v>
          </cell>
          <cell r="E97">
            <v>186.24</v>
          </cell>
        </row>
        <row r="98">
          <cell r="D98" t="str">
            <v>REFUND</v>
          </cell>
          <cell r="E98">
            <v>7.18</v>
          </cell>
        </row>
        <row r="99">
          <cell r="D99" t="str">
            <v>REINSTATE-COMM</v>
          </cell>
          <cell r="E99">
            <v>892.16000000000008</v>
          </cell>
        </row>
        <row r="100">
          <cell r="D100" t="str">
            <v>RENT1.5-COM</v>
          </cell>
          <cell r="E100">
            <v>10771.06</v>
          </cell>
        </row>
        <row r="101">
          <cell r="D101" t="str">
            <v>RENT1.5TEMP-COM</v>
          </cell>
          <cell r="E101">
            <v>300.16000000000003</v>
          </cell>
        </row>
        <row r="102">
          <cell r="D102" t="str">
            <v>RENT10DAY-RO</v>
          </cell>
          <cell r="E102">
            <v>32.479999999999997</v>
          </cell>
        </row>
        <row r="103">
          <cell r="D103" t="str">
            <v>RENT1-COM</v>
          </cell>
          <cell r="E103">
            <v>7436.99</v>
          </cell>
        </row>
        <row r="104">
          <cell r="D104" t="str">
            <v>RENT1TEMP-COM</v>
          </cell>
          <cell r="E104">
            <v>200</v>
          </cell>
        </row>
        <row r="105">
          <cell r="D105" t="str">
            <v>RENT20DAY-RO</v>
          </cell>
          <cell r="E105">
            <v>10949.04</v>
          </cell>
        </row>
        <row r="106">
          <cell r="D106" t="str">
            <v>RENT20MO-RO</v>
          </cell>
          <cell r="E106">
            <v>12766.55</v>
          </cell>
        </row>
        <row r="107">
          <cell r="D107" t="str">
            <v>RENT20TEMP-RO</v>
          </cell>
          <cell r="E107">
            <v>2149.3200000000002</v>
          </cell>
        </row>
        <row r="108">
          <cell r="D108" t="str">
            <v>RENT2-COM</v>
          </cell>
          <cell r="E108">
            <v>21216.009999999995</v>
          </cell>
        </row>
        <row r="109">
          <cell r="D109" t="str">
            <v>RENT2TEMP-COM</v>
          </cell>
          <cell r="E109">
            <v>353.12</v>
          </cell>
        </row>
        <row r="110">
          <cell r="D110" t="str">
            <v>RENT30DAY-RO</v>
          </cell>
          <cell r="E110">
            <v>194.88</v>
          </cell>
        </row>
        <row r="111">
          <cell r="D111" t="str">
            <v>RENT30MO-RO</v>
          </cell>
          <cell r="E111">
            <v>1246.9000000000001</v>
          </cell>
        </row>
        <row r="112">
          <cell r="D112" t="str">
            <v>RENT4-COM</v>
          </cell>
          <cell r="E112">
            <v>882.24</v>
          </cell>
        </row>
        <row r="113">
          <cell r="D113" t="str">
            <v>RETCK</v>
          </cell>
          <cell r="E113">
            <v>56.44</v>
          </cell>
        </row>
        <row r="114">
          <cell r="D114" t="str">
            <v>ROLL1W-COM</v>
          </cell>
          <cell r="E114">
            <v>1828.4200000000003</v>
          </cell>
        </row>
        <row r="115">
          <cell r="D115" t="str">
            <v>ROLL-COM</v>
          </cell>
          <cell r="E115">
            <v>221.76</v>
          </cell>
        </row>
        <row r="116">
          <cell r="D116" t="str">
            <v>ROLLEOW-COM</v>
          </cell>
          <cell r="E116">
            <v>134.63999999999999</v>
          </cell>
        </row>
        <row r="117">
          <cell r="D117" t="str">
            <v>RTRIP</v>
          </cell>
          <cell r="E117">
            <v>85.74</v>
          </cell>
        </row>
        <row r="118">
          <cell r="D118" t="str">
            <v>SKAMANIA COUNTY FUEL</v>
          </cell>
          <cell r="E118">
            <v>0</v>
          </cell>
        </row>
        <row r="119">
          <cell r="D119" t="str">
            <v>SKAMANIA REFUSE</v>
          </cell>
          <cell r="E119">
            <v>3.64</v>
          </cell>
        </row>
        <row r="120">
          <cell r="D120" t="str">
            <v>SKAMANIA STATE</v>
          </cell>
          <cell r="E120">
            <v>2.42</v>
          </cell>
        </row>
        <row r="121">
          <cell r="D121" t="str">
            <v>STEVENSON CITY UTILITY</v>
          </cell>
          <cell r="E121">
            <v>25.93</v>
          </cell>
        </row>
        <row r="122">
          <cell r="D122" t="str">
            <v>STEVENSON REFUSE</v>
          </cell>
          <cell r="E122">
            <v>28.78</v>
          </cell>
        </row>
        <row r="123">
          <cell r="D123" t="str">
            <v>STEVENSON STATE</v>
          </cell>
          <cell r="E123">
            <v>14.38</v>
          </cell>
        </row>
        <row r="124">
          <cell r="D124" t="str">
            <v>UNC STEVENSON REFUSE</v>
          </cell>
          <cell r="E124">
            <v>0.35</v>
          </cell>
        </row>
        <row r="125">
          <cell r="D125" t="str">
            <v>WI2-RES</v>
          </cell>
          <cell r="E125">
            <v>36.799999999999997</v>
          </cell>
        </row>
        <row r="126">
          <cell r="D126" t="str">
            <v>WI-COMM</v>
          </cell>
          <cell r="E126">
            <v>89.539999999999992</v>
          </cell>
        </row>
        <row r="127">
          <cell r="D127" t="str">
            <v>WI-RES</v>
          </cell>
          <cell r="E127">
            <v>1111.24</v>
          </cell>
        </row>
      </sheetData>
      <sheetData sheetId="8">
        <row r="5">
          <cell r="M5" t="str">
            <v>Service Code</v>
          </cell>
          <cell r="N5" t="str">
            <v>Revenue</v>
          </cell>
        </row>
        <row r="6">
          <cell r="D6" t="str">
            <v>20R1W1</v>
          </cell>
          <cell r="E6">
            <v>152.4</v>
          </cell>
          <cell r="M6" t="str">
            <v>BINGEN FUEL</v>
          </cell>
          <cell r="N6">
            <v>0</v>
          </cell>
        </row>
        <row r="7">
          <cell r="D7" t="str">
            <v>32C1E1</v>
          </cell>
          <cell r="E7">
            <v>166.8</v>
          </cell>
          <cell r="M7" t="str">
            <v>DEL-RO</v>
          </cell>
          <cell r="N7">
            <v>85</v>
          </cell>
        </row>
        <row r="8">
          <cell r="D8" t="str">
            <v>32C1W1</v>
          </cell>
          <cell r="E8">
            <v>667.2</v>
          </cell>
          <cell r="M8" t="str">
            <v>DISP-RO</v>
          </cell>
          <cell r="N8">
            <v>3445.06</v>
          </cell>
        </row>
        <row r="9">
          <cell r="D9" t="str">
            <v>32C1W2</v>
          </cell>
          <cell r="E9">
            <v>443.36</v>
          </cell>
          <cell r="M9" t="str">
            <v>HAUL20P-RO</v>
          </cell>
          <cell r="N9">
            <v>69.900000000000006</v>
          </cell>
        </row>
        <row r="10">
          <cell r="D10" t="str">
            <v>32C1W3</v>
          </cell>
          <cell r="E10">
            <v>581.98</v>
          </cell>
          <cell r="M10" t="str">
            <v>HAUL20-RO</v>
          </cell>
          <cell r="N10">
            <v>1621.8</v>
          </cell>
        </row>
        <row r="11">
          <cell r="D11" t="str">
            <v>32C1W4</v>
          </cell>
          <cell r="E11">
            <v>609.63</v>
          </cell>
          <cell r="M11" t="str">
            <v>HAUL20TEMP-RO</v>
          </cell>
          <cell r="N11">
            <v>601.69000000000005</v>
          </cell>
        </row>
        <row r="12">
          <cell r="D12" t="str">
            <v>32R1E1</v>
          </cell>
          <cell r="E12">
            <v>1182.2</v>
          </cell>
          <cell r="M12" t="str">
            <v>HAUL30-RO</v>
          </cell>
          <cell r="N12">
            <v>8870</v>
          </cell>
        </row>
        <row r="13">
          <cell r="D13" t="str">
            <v>32R1M1</v>
          </cell>
          <cell r="E13">
            <v>128.80000000000001</v>
          </cell>
          <cell r="M13" t="str">
            <v>HAUL30TEMP-RO</v>
          </cell>
          <cell r="N13">
            <v>1067.5</v>
          </cell>
        </row>
        <row r="14">
          <cell r="D14" t="str">
            <v>32R1OC</v>
          </cell>
          <cell r="E14">
            <v>410.98</v>
          </cell>
          <cell r="M14" t="str">
            <v>QDEL</v>
          </cell>
          <cell r="N14">
            <v>255</v>
          </cell>
        </row>
        <row r="15">
          <cell r="D15" t="str">
            <v>32R1W1</v>
          </cell>
          <cell r="E15">
            <v>19086.47</v>
          </cell>
          <cell r="M15" t="str">
            <v>QMILE</v>
          </cell>
          <cell r="N15">
            <v>828.8</v>
          </cell>
        </row>
        <row r="16">
          <cell r="D16" t="str">
            <v>32R1W2</v>
          </cell>
          <cell r="E16">
            <v>7549.84</v>
          </cell>
          <cell r="M16" t="str">
            <v>RENT20DAY-RO</v>
          </cell>
          <cell r="N16">
            <v>1321.46</v>
          </cell>
        </row>
        <row r="17">
          <cell r="D17" t="str">
            <v>32R1W3</v>
          </cell>
          <cell r="E17">
            <v>1497.03</v>
          </cell>
          <cell r="M17" t="str">
            <v>RENT20MO-RO</v>
          </cell>
          <cell r="N17">
            <v>1496.28</v>
          </cell>
        </row>
        <row r="18">
          <cell r="D18" t="str">
            <v>32R1W4</v>
          </cell>
          <cell r="E18">
            <v>674.4</v>
          </cell>
          <cell r="M18" t="str">
            <v>RENT20TEMP-RO</v>
          </cell>
          <cell r="N18">
            <v>318</v>
          </cell>
        </row>
        <row r="19">
          <cell r="D19" t="str">
            <v>45R1W1</v>
          </cell>
          <cell r="E19">
            <v>1598.85</v>
          </cell>
          <cell r="M19" t="str">
            <v>Grand Total</v>
          </cell>
          <cell r="N19">
            <v>19980.489999999998</v>
          </cell>
        </row>
        <row r="20">
          <cell r="D20" t="str">
            <v>ADJ - RES</v>
          </cell>
          <cell r="E20">
            <v>24.91</v>
          </cell>
        </row>
        <row r="21">
          <cell r="D21" t="str">
            <v>BINGEN FUEL</v>
          </cell>
          <cell r="E21">
            <v>0</v>
          </cell>
        </row>
        <row r="22">
          <cell r="D22" t="str">
            <v>CLOCK</v>
          </cell>
          <cell r="E22">
            <v>30</v>
          </cell>
        </row>
        <row r="23">
          <cell r="D23" t="str">
            <v>DEL1.5-COM</v>
          </cell>
          <cell r="E23">
            <v>26.9</v>
          </cell>
        </row>
        <row r="24">
          <cell r="D24" t="str">
            <v>DEL-RO</v>
          </cell>
          <cell r="E24">
            <v>85</v>
          </cell>
        </row>
        <row r="25">
          <cell r="D25" t="str">
            <v>DISP-RO</v>
          </cell>
          <cell r="E25">
            <v>3445.06</v>
          </cell>
        </row>
        <row r="26">
          <cell r="D26" t="str">
            <v>EMPLOYEER</v>
          </cell>
          <cell r="E26">
            <v>-331.2</v>
          </cell>
        </row>
        <row r="27">
          <cell r="D27" t="str">
            <v>EXTRA-COMM</v>
          </cell>
          <cell r="E27">
            <v>238.27999999999997</v>
          </cell>
        </row>
        <row r="28">
          <cell r="D28" t="str">
            <v>EXTRA-RES</v>
          </cell>
          <cell r="E28">
            <v>753.79000000000008</v>
          </cell>
        </row>
        <row r="29">
          <cell r="D29" t="str">
            <v>FINCHG</v>
          </cell>
          <cell r="E29">
            <v>356.97999999999996</v>
          </cell>
        </row>
        <row r="30">
          <cell r="D30" t="str">
            <v>HAUL20P-RO</v>
          </cell>
          <cell r="E30">
            <v>69.900000000000006</v>
          </cell>
        </row>
        <row r="31">
          <cell r="D31" t="str">
            <v>HAUL20-RO</v>
          </cell>
          <cell r="E31">
            <v>1621.8</v>
          </cell>
        </row>
        <row r="32">
          <cell r="D32" t="str">
            <v>HAUL20TEMP-RO</v>
          </cell>
          <cell r="E32">
            <v>601.69000000000005</v>
          </cell>
        </row>
        <row r="33">
          <cell r="D33" t="str">
            <v>HAUL30-RO</v>
          </cell>
          <cell r="E33">
            <v>8870</v>
          </cell>
        </row>
        <row r="34">
          <cell r="D34" t="str">
            <v>HAUL30TEMP-RO</v>
          </cell>
          <cell r="E34">
            <v>1067.5</v>
          </cell>
        </row>
        <row r="35">
          <cell r="D35" t="str">
            <v>P1.5YC1W1</v>
          </cell>
          <cell r="E35">
            <v>8081.42</v>
          </cell>
        </row>
        <row r="36">
          <cell r="D36" t="str">
            <v>P1.5YC1W2</v>
          </cell>
          <cell r="E36">
            <v>1693.92</v>
          </cell>
        </row>
        <row r="37">
          <cell r="D37" t="str">
            <v>P1.5YCE1</v>
          </cell>
          <cell r="E37">
            <v>831.19999999999993</v>
          </cell>
        </row>
        <row r="38">
          <cell r="D38" t="str">
            <v>P1YC1W1</v>
          </cell>
          <cell r="E38">
            <v>2275.6799999999998</v>
          </cell>
        </row>
        <row r="39">
          <cell r="D39" t="str">
            <v>P1YCE1</v>
          </cell>
          <cell r="E39">
            <v>498.96000000000004</v>
          </cell>
        </row>
        <row r="40">
          <cell r="D40" t="str">
            <v>P2YC1W1</v>
          </cell>
          <cell r="E40">
            <v>6656.4</v>
          </cell>
        </row>
        <row r="41">
          <cell r="D41" t="str">
            <v>P2YC1W2</v>
          </cell>
          <cell r="E41">
            <v>2218.6799999999998</v>
          </cell>
        </row>
        <row r="42">
          <cell r="D42" t="str">
            <v>P2YC2W1</v>
          </cell>
          <cell r="E42">
            <v>4437.3599999999997</v>
          </cell>
        </row>
        <row r="43">
          <cell r="D43" t="str">
            <v>P2YC3W1</v>
          </cell>
          <cell r="E43">
            <v>3328.08</v>
          </cell>
        </row>
        <row r="44">
          <cell r="D44" t="str">
            <v>P2YCE1</v>
          </cell>
          <cell r="E44">
            <v>1461.48</v>
          </cell>
        </row>
        <row r="45">
          <cell r="D45" t="str">
            <v>QDEL</v>
          </cell>
          <cell r="E45">
            <v>255</v>
          </cell>
        </row>
        <row r="46">
          <cell r="D46" t="str">
            <v>QMILE</v>
          </cell>
          <cell r="E46">
            <v>828.8</v>
          </cell>
        </row>
        <row r="47">
          <cell r="D47" t="str">
            <v>RENT1.5-COM</v>
          </cell>
          <cell r="E47">
            <v>2700.79</v>
          </cell>
        </row>
        <row r="48">
          <cell r="D48" t="str">
            <v>RENT1-COM</v>
          </cell>
          <cell r="E48">
            <v>941.84999999999991</v>
          </cell>
        </row>
        <row r="49">
          <cell r="D49" t="str">
            <v>RENT20DAY-RO</v>
          </cell>
          <cell r="E49">
            <v>1321.46</v>
          </cell>
        </row>
        <row r="50">
          <cell r="D50" t="str">
            <v>RENT20MO-RO</v>
          </cell>
          <cell r="E50">
            <v>1496.28</v>
          </cell>
        </row>
        <row r="51">
          <cell r="D51" t="str">
            <v>RENT20TEMP-RO</v>
          </cell>
          <cell r="E51">
            <v>318</v>
          </cell>
        </row>
        <row r="52">
          <cell r="D52" t="str">
            <v>RENT2-COM</v>
          </cell>
          <cell r="E52">
            <v>3114.8399999999997</v>
          </cell>
        </row>
        <row r="53">
          <cell r="D53" t="str">
            <v>ROLL1W-COM</v>
          </cell>
          <cell r="E53">
            <v>665.28</v>
          </cell>
        </row>
        <row r="54">
          <cell r="D54" t="str">
            <v>ROLLEOW-COM</v>
          </cell>
          <cell r="E54">
            <v>83.28</v>
          </cell>
        </row>
        <row r="55">
          <cell r="D55" t="str">
            <v>SKAMANIA COUNTY FUEL</v>
          </cell>
          <cell r="E55">
            <v>0</v>
          </cell>
        </row>
        <row r="56">
          <cell r="D56" t="str">
            <v>WI-COMM</v>
          </cell>
          <cell r="E56">
            <v>207.14</v>
          </cell>
        </row>
        <row r="57">
          <cell r="D57" t="str">
            <v>WI-RES</v>
          </cell>
          <cell r="E57">
            <v>216.2</v>
          </cell>
        </row>
        <row r="58">
          <cell r="D58" t="str">
            <v>Grand Total</v>
          </cell>
          <cell r="E58">
            <v>95242.65</v>
          </cell>
        </row>
      </sheetData>
      <sheetData sheetId="9" refreshError="1"/>
      <sheetData sheetId="10" refreshError="1"/>
      <sheetData sheetId="11" refreshError="1"/>
      <sheetData sheetId="1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roll Schedule"/>
      <sheetName val="Pivot Data"/>
      <sheetName val="EE Listing"/>
      <sheetName val="2025_IS210"/>
      <sheetName val="Driver JE"/>
      <sheetName val="Supervisor JE"/>
      <sheetName val="Mechanie JE"/>
      <sheetName val="G&amp;A JE"/>
      <sheetName val="Raises 2025"/>
      <sheetName val="Sheet2"/>
      <sheetName val="Sheet3"/>
      <sheetName val="PIVOT 2025"/>
      <sheetName val="Payroll - 2025"/>
      <sheetName val="PIVOT 2044"/>
      <sheetName val="Payroll - 2044"/>
      <sheetName val="Sheet1"/>
    </sheetNames>
    <sheetDataSet>
      <sheetData sheetId="0">
        <row r="44">
          <cell r="P44">
            <v>1768.4400000000007</v>
          </cell>
        </row>
        <row r="62">
          <cell r="P62">
            <v>1321.3899999999994</v>
          </cell>
        </row>
        <row r="102">
          <cell r="P102">
            <v>8006.68</v>
          </cell>
        </row>
        <row r="116">
          <cell r="P116">
            <v>-5469.51</v>
          </cell>
        </row>
      </sheetData>
      <sheetData sheetId="1">
        <row r="4">
          <cell r="C4" t="str">
            <v>Auto Allowance</v>
          </cell>
          <cell r="E4" t="str">
            <v>Bonus - Safety</v>
          </cell>
          <cell r="G4" t="str">
            <v>Bonus - Signing</v>
          </cell>
          <cell r="I4" t="str">
            <v>Bonus - Tooty</v>
          </cell>
          <cell r="K4" t="str">
            <v>Bonus OT</v>
          </cell>
          <cell r="M4" t="str">
            <v>Gift Card GU Non FLSA</v>
          </cell>
          <cell r="O4" t="str">
            <v>Holiday Pay</v>
          </cell>
          <cell r="Q4" t="str">
            <v>Overtime</v>
          </cell>
          <cell r="S4" t="str">
            <v>Personal Time</v>
          </cell>
          <cell r="U4" t="str">
            <v>Regular Hourly Pay</v>
          </cell>
          <cell r="W4" t="str">
            <v>Regular Salary Pay</v>
          </cell>
          <cell r="Y4" t="str">
            <v>Sick</v>
          </cell>
          <cell r="AA4" t="str">
            <v>Vacation</v>
          </cell>
          <cell r="AC4" t="str">
            <v>Vacation Payout</v>
          </cell>
          <cell r="AE4" t="str">
            <v>Total Sum of Result Line Hours</v>
          </cell>
          <cell r="AF4" t="str">
            <v>Total Sum of Result Line Amount</v>
          </cell>
          <cell r="AH4" t="str">
            <v>REGULAR</v>
          </cell>
          <cell r="AI4" t="str">
            <v>OVERTIME</v>
          </cell>
          <cell r="AJ4" t="str">
            <v>VACATION/PTO</v>
          </cell>
          <cell r="AK4" t="str">
            <v>HOLIDAY</v>
          </cell>
          <cell r="AL4" t="str">
            <v>OTHER</v>
          </cell>
          <cell r="AN4" t="str">
            <v>REGULAR</v>
          </cell>
          <cell r="AO4" t="str">
            <v>OVERTIME</v>
          </cell>
          <cell r="AP4" t="str">
            <v>VACATION/PTO</v>
          </cell>
          <cell r="AQ4" t="str">
            <v>HOLIDAY</v>
          </cell>
          <cell r="AR4" t="str">
            <v>BONUS</v>
          </cell>
          <cell r="AS4" t="str">
            <v>OTHER</v>
          </cell>
        </row>
        <row r="5">
          <cell r="B5" t="str">
            <v>Employee ID</v>
          </cell>
          <cell r="C5" t="str">
            <v>Sum of Result Line Hours</v>
          </cell>
          <cell r="D5" t="str">
            <v>Sum of Result Line Amount</v>
          </cell>
          <cell r="E5" t="str">
            <v>Sum of Result Line Hours</v>
          </cell>
          <cell r="F5" t="str">
            <v>Sum of Result Line Amount</v>
          </cell>
          <cell r="G5" t="str">
            <v>Sum of Result Line Hours</v>
          </cell>
          <cell r="H5" t="str">
            <v>Sum of Result Line Amount</v>
          </cell>
          <cell r="I5" t="str">
            <v>Sum of Result Line Hours</v>
          </cell>
          <cell r="J5" t="str">
            <v>Sum of Result Line Amount</v>
          </cell>
          <cell r="K5" t="str">
            <v>Sum of Result Line Hours</v>
          </cell>
          <cell r="L5" t="str">
            <v>Sum of Result Line Amount</v>
          </cell>
          <cell r="M5" t="str">
            <v>Sum of Result Line Hours</v>
          </cell>
          <cell r="N5" t="str">
            <v>Sum of Result Line Amount</v>
          </cell>
          <cell r="O5" t="str">
            <v>Sum of Result Line Hours</v>
          </cell>
          <cell r="P5" t="str">
            <v>Sum of Result Line Amount</v>
          </cell>
          <cell r="Q5" t="str">
            <v>Sum of Result Line Hours</v>
          </cell>
          <cell r="R5" t="str">
            <v>Sum of Result Line Amount</v>
          </cell>
          <cell r="S5" t="str">
            <v>Sum of Result Line Hours</v>
          </cell>
          <cell r="T5" t="str">
            <v>Sum of Result Line Amount</v>
          </cell>
          <cell r="U5" t="str">
            <v>Sum of Result Line Hours</v>
          </cell>
          <cell r="V5" t="str">
            <v>Sum of Result Line Amount</v>
          </cell>
          <cell r="W5" t="str">
            <v>Sum of Result Line Hours</v>
          </cell>
          <cell r="X5" t="str">
            <v>Sum of Result Line Amount</v>
          </cell>
          <cell r="Y5" t="str">
            <v>Sum of Result Line Hours</v>
          </cell>
          <cell r="Z5" t="str">
            <v>Sum of Result Line Amount</v>
          </cell>
          <cell r="AA5" t="str">
            <v>Sum of Result Line Hours</v>
          </cell>
          <cell r="AB5" t="str">
            <v>Sum of Result Line Amount</v>
          </cell>
          <cell r="AC5" t="str">
            <v>Sum of Result Line Hours</v>
          </cell>
          <cell r="AD5" t="str">
            <v>Sum of Result Line Amount</v>
          </cell>
          <cell r="AH5" t="str">
            <v>Hours</v>
          </cell>
          <cell r="AI5" t="str">
            <v>Hours</v>
          </cell>
          <cell r="AJ5" t="str">
            <v>Hours</v>
          </cell>
          <cell r="AK5" t="str">
            <v>Hours</v>
          </cell>
          <cell r="AL5" t="str">
            <v>Hours</v>
          </cell>
          <cell r="AN5" t="str">
            <v>Pay</v>
          </cell>
          <cell r="AO5" t="str">
            <v>Pay</v>
          </cell>
          <cell r="AP5" t="str">
            <v>Pay</v>
          </cell>
          <cell r="AQ5" t="str">
            <v>Pay</v>
          </cell>
          <cell r="AR5" t="str">
            <v>Pay</v>
          </cell>
          <cell r="AS5" t="str">
            <v>Pay</v>
          </cell>
        </row>
        <row r="6">
          <cell r="B6" t="str">
            <v>158843</v>
          </cell>
          <cell r="O6">
            <v>16</v>
          </cell>
          <cell r="P6">
            <v>545.28</v>
          </cell>
          <cell r="W6">
            <v>864</v>
          </cell>
          <cell r="X6">
            <v>29541.299999999996</v>
          </cell>
          <cell r="AE6">
            <v>880</v>
          </cell>
          <cell r="AF6">
            <v>30086.579999999994</v>
          </cell>
          <cell r="AH6">
            <v>864</v>
          </cell>
          <cell r="AI6">
            <v>0</v>
          </cell>
          <cell r="AJ6">
            <v>0</v>
          </cell>
          <cell r="AK6">
            <v>16</v>
          </cell>
          <cell r="AL6">
            <v>0</v>
          </cell>
          <cell r="AN6">
            <v>29541.299999999996</v>
          </cell>
          <cell r="AO6">
            <v>0</v>
          </cell>
          <cell r="AP6">
            <v>0</v>
          </cell>
          <cell r="AQ6">
            <v>545.28</v>
          </cell>
          <cell r="AR6">
            <v>0</v>
          </cell>
          <cell r="AS6">
            <v>0</v>
          </cell>
        </row>
        <row r="7">
          <cell r="B7" t="str">
            <v>158533</v>
          </cell>
          <cell r="O7">
            <v>16</v>
          </cell>
          <cell r="P7">
            <v>280</v>
          </cell>
          <cell r="Q7">
            <v>17.266667999999999</v>
          </cell>
          <cell r="R7">
            <v>453.28</v>
          </cell>
          <cell r="U7">
            <v>247.03333400000002</v>
          </cell>
          <cell r="V7">
            <v>4323.1000000000004</v>
          </cell>
          <cell r="AC7">
            <v>17.399999999999999</v>
          </cell>
          <cell r="AD7">
            <v>304.5</v>
          </cell>
          <cell r="AE7">
            <v>297.70000199999998</v>
          </cell>
          <cell r="AF7">
            <v>5360.88</v>
          </cell>
          <cell r="AH7">
            <v>247.03333400000002</v>
          </cell>
          <cell r="AI7">
            <v>17.266667999999999</v>
          </cell>
          <cell r="AJ7">
            <v>17.399999999999999</v>
          </cell>
          <cell r="AK7">
            <v>16</v>
          </cell>
          <cell r="AL7">
            <v>0</v>
          </cell>
          <cell r="AN7">
            <v>4323.1000000000004</v>
          </cell>
          <cell r="AO7">
            <v>453.28</v>
          </cell>
          <cell r="AP7">
            <v>304.5</v>
          </cell>
          <cell r="AQ7">
            <v>280</v>
          </cell>
          <cell r="AR7">
            <v>0</v>
          </cell>
          <cell r="AS7">
            <v>0</v>
          </cell>
        </row>
        <row r="8">
          <cell r="B8" t="str">
            <v>155606</v>
          </cell>
          <cell r="L8">
            <v>154.11000000000001</v>
          </cell>
          <cell r="N8">
            <v>296.95999999999998</v>
          </cell>
          <cell r="O8">
            <v>48</v>
          </cell>
          <cell r="P8">
            <v>1007.04</v>
          </cell>
          <cell r="Q8">
            <v>462.6666679999999</v>
          </cell>
          <cell r="R8">
            <v>14668.440000000002</v>
          </cell>
          <cell r="U8">
            <v>1990.6833329999999</v>
          </cell>
          <cell r="V8">
            <v>42350.349999999991</v>
          </cell>
          <cell r="AA8">
            <v>88</v>
          </cell>
          <cell r="AB8">
            <v>1882.8</v>
          </cell>
          <cell r="AC8">
            <v>24</v>
          </cell>
          <cell r="AD8">
            <v>467.28</v>
          </cell>
          <cell r="AE8">
            <v>2613.3500009999998</v>
          </cell>
          <cell r="AF8">
            <v>60826.979999999996</v>
          </cell>
          <cell r="AH8">
            <v>1990.6833329999999</v>
          </cell>
          <cell r="AI8">
            <v>462.6666679999999</v>
          </cell>
          <cell r="AJ8">
            <v>112</v>
          </cell>
          <cell r="AK8">
            <v>48</v>
          </cell>
          <cell r="AL8">
            <v>0</v>
          </cell>
          <cell r="AN8">
            <v>42350.349999999991</v>
          </cell>
          <cell r="AO8">
            <v>14668.440000000002</v>
          </cell>
          <cell r="AP8">
            <v>2350.08</v>
          </cell>
          <cell r="AQ8">
            <v>1007.04</v>
          </cell>
          <cell r="AR8">
            <v>154.11000000000001</v>
          </cell>
          <cell r="AS8">
            <v>296.95999999999998</v>
          </cell>
        </row>
        <row r="9">
          <cell r="B9" t="str">
            <v>301300</v>
          </cell>
          <cell r="O9">
            <v>16</v>
          </cell>
          <cell r="P9">
            <v>312</v>
          </cell>
          <cell r="Q9">
            <v>244.083327</v>
          </cell>
          <cell r="R9">
            <v>6748.4</v>
          </cell>
          <cell r="U9">
            <v>1111.0666670000001</v>
          </cell>
          <cell r="V9">
            <v>20626.5</v>
          </cell>
          <cell r="AE9">
            <v>1371.1499940000001</v>
          </cell>
          <cell r="AF9">
            <v>27686.9</v>
          </cell>
          <cell r="AH9">
            <v>1111.0666670000001</v>
          </cell>
          <cell r="AI9">
            <v>244.083327</v>
          </cell>
          <cell r="AJ9">
            <v>0</v>
          </cell>
          <cell r="AK9">
            <v>16</v>
          </cell>
          <cell r="AL9">
            <v>0</v>
          </cell>
          <cell r="AN9">
            <v>20626.5</v>
          </cell>
          <cell r="AO9">
            <v>6748.4</v>
          </cell>
          <cell r="AP9">
            <v>0</v>
          </cell>
          <cell r="AQ9">
            <v>312</v>
          </cell>
          <cell r="AR9">
            <v>0</v>
          </cell>
          <cell r="AS9">
            <v>0</v>
          </cell>
        </row>
        <row r="10">
          <cell r="B10" t="str">
            <v>154324</v>
          </cell>
          <cell r="F10">
            <v>1499.9999999999995</v>
          </cell>
          <cell r="L10">
            <v>63.1</v>
          </cell>
          <cell r="O10">
            <v>48</v>
          </cell>
          <cell r="P10">
            <v>939.2</v>
          </cell>
          <cell r="Q10">
            <v>509.9666610000001</v>
          </cell>
          <cell r="R10">
            <v>15109.29</v>
          </cell>
          <cell r="U10">
            <v>2060.1166670000002</v>
          </cell>
          <cell r="V10">
            <v>40783.599999999999</v>
          </cell>
          <cell r="Y10">
            <v>8</v>
          </cell>
          <cell r="Z10">
            <v>150.80000000000001</v>
          </cell>
          <cell r="AC10">
            <v>24</v>
          </cell>
          <cell r="AD10">
            <v>428.4</v>
          </cell>
          <cell r="AE10">
            <v>2650.0833280000006</v>
          </cell>
          <cell r="AF10">
            <v>58974.390000000007</v>
          </cell>
          <cell r="AH10">
            <v>2060.1166670000002</v>
          </cell>
          <cell r="AI10">
            <v>509.9666610000001</v>
          </cell>
          <cell r="AJ10">
            <v>32</v>
          </cell>
          <cell r="AK10">
            <v>48</v>
          </cell>
          <cell r="AL10">
            <v>0</v>
          </cell>
          <cell r="AN10">
            <v>40783.599999999999</v>
          </cell>
          <cell r="AO10">
            <v>15109.29</v>
          </cell>
          <cell r="AP10">
            <v>579.20000000000005</v>
          </cell>
          <cell r="AQ10">
            <v>939.2</v>
          </cell>
          <cell r="AR10">
            <v>1563.0999999999995</v>
          </cell>
          <cell r="AS10">
            <v>0</v>
          </cell>
        </row>
        <row r="11">
          <cell r="B11" t="str">
            <v>302718</v>
          </cell>
          <cell r="J11">
            <v>145</v>
          </cell>
          <cell r="Q11">
            <v>25.100000999999999</v>
          </cell>
          <cell r="R11">
            <v>605.37999999999988</v>
          </cell>
          <cell r="U11">
            <v>464.74999699999995</v>
          </cell>
          <cell r="V11">
            <v>7436.02</v>
          </cell>
          <cell r="AC11">
            <v>9.1999999999999993</v>
          </cell>
          <cell r="AD11">
            <v>147.19999999999999</v>
          </cell>
          <cell r="AE11">
            <v>499.04999799999996</v>
          </cell>
          <cell r="AF11">
            <v>8333.6</v>
          </cell>
          <cell r="AH11">
            <v>464.74999699999995</v>
          </cell>
          <cell r="AI11">
            <v>25.100000999999999</v>
          </cell>
          <cell r="AJ11">
            <v>9.1999999999999993</v>
          </cell>
          <cell r="AK11">
            <v>0</v>
          </cell>
          <cell r="AL11">
            <v>0</v>
          </cell>
          <cell r="AN11">
            <v>7436.02</v>
          </cell>
          <cell r="AO11">
            <v>605.37999999999988</v>
          </cell>
          <cell r="AP11">
            <v>147.19999999999999</v>
          </cell>
          <cell r="AQ11">
            <v>0</v>
          </cell>
          <cell r="AR11">
            <v>145</v>
          </cell>
          <cell r="AS11">
            <v>0</v>
          </cell>
        </row>
        <row r="12">
          <cell r="B12" t="str">
            <v>150331</v>
          </cell>
          <cell r="D12">
            <v>1550.79</v>
          </cell>
          <cell r="O12">
            <v>16</v>
          </cell>
          <cell r="P12">
            <v>382.08</v>
          </cell>
          <cell r="W12">
            <v>680</v>
          </cell>
          <cell r="X12">
            <v>16231.97</v>
          </cell>
          <cell r="Y12">
            <v>16</v>
          </cell>
          <cell r="Z12">
            <v>382.08</v>
          </cell>
          <cell r="AA12">
            <v>56</v>
          </cell>
          <cell r="AB12">
            <v>1337.28</v>
          </cell>
          <cell r="AE12">
            <v>768</v>
          </cell>
          <cell r="AF12">
            <v>19884.2</v>
          </cell>
          <cell r="AH12">
            <v>680</v>
          </cell>
          <cell r="AI12">
            <v>0</v>
          </cell>
          <cell r="AJ12">
            <v>72</v>
          </cell>
          <cell r="AK12">
            <v>16</v>
          </cell>
          <cell r="AL12">
            <v>0</v>
          </cell>
          <cell r="AN12">
            <v>16231.97</v>
          </cell>
          <cell r="AO12">
            <v>0</v>
          </cell>
          <cell r="AP12">
            <v>1719.36</v>
          </cell>
          <cell r="AQ12">
            <v>382.08</v>
          </cell>
          <cell r="AR12">
            <v>0</v>
          </cell>
          <cell r="AS12">
            <v>1550.79</v>
          </cell>
        </row>
        <row r="13">
          <cell r="B13" t="str">
            <v>155633</v>
          </cell>
          <cell r="J13">
            <v>1770.0000000000005</v>
          </cell>
          <cell r="N13">
            <v>74.239999999999995</v>
          </cell>
          <cell r="O13">
            <v>32</v>
          </cell>
          <cell r="P13">
            <v>500.15999999999997</v>
          </cell>
          <cell r="Q13">
            <v>96.933341999999996</v>
          </cell>
          <cell r="R13">
            <v>2322.5800000000004</v>
          </cell>
          <cell r="T13">
            <v>507.53999999999996</v>
          </cell>
          <cell r="U13">
            <v>1220.2833370000001</v>
          </cell>
          <cell r="V13">
            <v>19114.150000000009</v>
          </cell>
          <cell r="AA13">
            <v>56</v>
          </cell>
          <cell r="AB13">
            <v>872.28000000000009</v>
          </cell>
          <cell r="AC13">
            <v>55.7</v>
          </cell>
          <cell r="AD13">
            <v>920.07</v>
          </cell>
          <cell r="AE13">
            <v>1460.9166790000002</v>
          </cell>
          <cell r="AF13">
            <v>26081.020000000008</v>
          </cell>
          <cell r="AH13">
            <v>1220.2833370000001</v>
          </cell>
          <cell r="AI13">
            <v>96.933341999999996</v>
          </cell>
          <cell r="AJ13">
            <v>111.7</v>
          </cell>
          <cell r="AK13">
            <v>32</v>
          </cell>
          <cell r="AL13">
            <v>0</v>
          </cell>
          <cell r="AN13">
            <v>19114.150000000009</v>
          </cell>
          <cell r="AO13">
            <v>2322.5800000000004</v>
          </cell>
          <cell r="AP13">
            <v>2299.8900000000003</v>
          </cell>
          <cell r="AQ13">
            <v>500.15999999999997</v>
          </cell>
          <cell r="AR13">
            <v>1770.0000000000005</v>
          </cell>
          <cell r="AS13">
            <v>74.239999999999995</v>
          </cell>
        </row>
        <row r="14">
          <cell r="B14" t="str">
            <v>300258</v>
          </cell>
          <cell r="H14">
            <v>2000</v>
          </cell>
          <cell r="O14">
            <v>24</v>
          </cell>
          <cell r="P14">
            <v>448</v>
          </cell>
          <cell r="Q14">
            <v>259.29999400000008</v>
          </cell>
          <cell r="R14">
            <v>7387.510000000002</v>
          </cell>
          <cell r="U14">
            <v>1520.1666679999998</v>
          </cell>
          <cell r="V14">
            <v>28294.05</v>
          </cell>
          <cell r="AE14">
            <v>1803.4666619999998</v>
          </cell>
          <cell r="AF14">
            <v>38129.56</v>
          </cell>
          <cell r="AH14">
            <v>1520.1666679999998</v>
          </cell>
          <cell r="AI14">
            <v>259.29999400000008</v>
          </cell>
          <cell r="AJ14">
            <v>0</v>
          </cell>
          <cell r="AK14">
            <v>24</v>
          </cell>
          <cell r="AL14">
            <v>0</v>
          </cell>
          <cell r="AN14">
            <v>28294.05</v>
          </cell>
          <cell r="AO14">
            <v>7387.510000000002</v>
          </cell>
          <cell r="AP14">
            <v>0</v>
          </cell>
          <cell r="AQ14">
            <v>448</v>
          </cell>
          <cell r="AR14">
            <v>2000</v>
          </cell>
          <cell r="AS14">
            <v>0</v>
          </cell>
        </row>
        <row r="15">
          <cell r="B15">
            <v>154987</v>
          </cell>
          <cell r="N15">
            <v>342.97</v>
          </cell>
          <cell r="O15">
            <v>32</v>
          </cell>
          <cell r="P15">
            <v>1038.08</v>
          </cell>
          <cell r="U15">
            <v>1288</v>
          </cell>
          <cell r="V15">
            <v>39577.339999999997</v>
          </cell>
          <cell r="AA15">
            <v>40</v>
          </cell>
          <cell r="AB15">
            <v>1313.6</v>
          </cell>
          <cell r="AE15">
            <v>1360</v>
          </cell>
          <cell r="AF15">
            <v>42271.99</v>
          </cell>
          <cell r="AH15">
            <v>1288</v>
          </cell>
          <cell r="AI15">
            <v>0</v>
          </cell>
          <cell r="AJ15">
            <v>40</v>
          </cell>
          <cell r="AK15">
            <v>32</v>
          </cell>
          <cell r="AL15">
            <v>0</v>
          </cell>
          <cell r="AN15">
            <v>39577.339999999997</v>
          </cell>
          <cell r="AO15">
            <v>0</v>
          </cell>
          <cell r="AP15">
            <v>1313.6</v>
          </cell>
          <cell r="AQ15">
            <v>1038.08</v>
          </cell>
          <cell r="AR15">
            <v>0</v>
          </cell>
          <cell r="AS15">
            <v>342.97</v>
          </cell>
        </row>
        <row r="16">
          <cell r="AH16">
            <v>11446.100003</v>
          </cell>
          <cell r="AI16">
            <v>1615.3166610000003</v>
          </cell>
          <cell r="AJ16">
            <v>394.3</v>
          </cell>
          <cell r="AK16">
            <v>248</v>
          </cell>
          <cell r="AL16">
            <v>0</v>
          </cell>
          <cell r="AN16">
            <v>248278.37999999998</v>
          </cell>
          <cell r="AO16">
            <v>47294.880000000005</v>
          </cell>
          <cell r="AP16">
            <v>8713.83</v>
          </cell>
          <cell r="AQ16">
            <v>5451.8399999999992</v>
          </cell>
          <cell r="AR16">
            <v>5632.21</v>
          </cell>
          <cell r="AS16">
            <v>2264.96</v>
          </cell>
        </row>
      </sheetData>
      <sheetData sheetId="2">
        <row r="1">
          <cell r="A1" t="str">
            <v>EE Number</v>
          </cell>
          <cell r="B1" t="str">
            <v>EE Name</v>
          </cell>
          <cell r="C1" t="str">
            <v>Job Type By GL Code</v>
          </cell>
          <cell r="D1" t="str">
            <v>Employee Title</v>
          </cell>
        </row>
        <row r="2">
          <cell r="A2" t="str">
            <v>158843</v>
          </cell>
          <cell r="B2" t="str">
            <v xml:space="preserve">Ben Thompson </v>
          </cell>
          <cell r="C2" t="str">
            <v>G&amp;A</v>
          </cell>
          <cell r="D2" t="str">
            <v>Controller</v>
          </cell>
        </row>
        <row r="3">
          <cell r="A3" t="str">
            <v>158533</v>
          </cell>
          <cell r="B3" t="str">
            <v xml:space="preserve">Byron Babcock </v>
          </cell>
          <cell r="C3" t="str">
            <v>Driver</v>
          </cell>
          <cell r="D3" t="str">
            <v>Driver</v>
          </cell>
        </row>
        <row r="4">
          <cell r="A4" t="str">
            <v>155606</v>
          </cell>
          <cell r="B4" t="str">
            <v xml:space="preserve">Daniel Esch </v>
          </cell>
          <cell r="C4" t="str">
            <v>Driver</v>
          </cell>
          <cell r="D4" t="str">
            <v>Driver</v>
          </cell>
        </row>
        <row r="5">
          <cell r="A5">
            <v>154987</v>
          </cell>
          <cell r="B5" t="str">
            <v>James Speer</v>
          </cell>
          <cell r="C5" t="str">
            <v>G&amp;A</v>
          </cell>
          <cell r="D5" t="str">
            <v>Ops Supervisor</v>
          </cell>
        </row>
        <row r="6">
          <cell r="A6" t="str">
            <v>301300</v>
          </cell>
          <cell r="B6" t="str">
            <v xml:space="preserve">Jason Reid </v>
          </cell>
          <cell r="C6" t="str">
            <v>Driver</v>
          </cell>
          <cell r="D6" t="str">
            <v>Driver</v>
          </cell>
        </row>
        <row r="7">
          <cell r="A7" t="str">
            <v>154324</v>
          </cell>
          <cell r="B7" t="str">
            <v xml:space="preserve">Jason Schultz </v>
          </cell>
          <cell r="C7" t="str">
            <v>Mechanic</v>
          </cell>
          <cell r="D7" t="str">
            <v>Mechanic</v>
          </cell>
        </row>
        <row r="8">
          <cell r="A8" t="str">
            <v>302718</v>
          </cell>
          <cell r="B8" t="str">
            <v xml:space="preserve">Kelly Durham </v>
          </cell>
          <cell r="C8" t="str">
            <v>G&amp;A</v>
          </cell>
          <cell r="D8" t="str">
            <v>CSR</v>
          </cell>
        </row>
        <row r="9">
          <cell r="A9" t="str">
            <v>150331</v>
          </cell>
          <cell r="B9" t="str">
            <v xml:space="preserve">Kristen Neal </v>
          </cell>
          <cell r="C9" t="str">
            <v>G&amp;A</v>
          </cell>
          <cell r="D9" t="str">
            <v>Office Manager</v>
          </cell>
        </row>
        <row r="10">
          <cell r="A10" t="str">
            <v>155633</v>
          </cell>
          <cell r="B10" t="str">
            <v xml:space="preserve">Princess Wood </v>
          </cell>
          <cell r="C10" t="str">
            <v>G&amp;A</v>
          </cell>
          <cell r="D10" t="str">
            <v>CSR</v>
          </cell>
        </row>
        <row r="11">
          <cell r="A11" t="str">
            <v>300258</v>
          </cell>
          <cell r="B11" t="str">
            <v xml:space="preserve">Rick Webb III </v>
          </cell>
          <cell r="C11" t="str">
            <v>Driver</v>
          </cell>
          <cell r="D11" t="str">
            <v>Driver</v>
          </cell>
        </row>
      </sheetData>
      <sheetData sheetId="3"/>
      <sheetData sheetId="4"/>
      <sheetData sheetId="5"/>
      <sheetData sheetId="6"/>
      <sheetData sheetId="7"/>
      <sheetData sheetId="8">
        <row r="4">
          <cell r="A4" t="str">
            <v>158843</v>
          </cell>
          <cell r="B4" t="str">
            <v xml:space="preserve">Ben Thompson </v>
          </cell>
          <cell r="C4">
            <v>42996</v>
          </cell>
          <cell r="D4">
            <v>70000</v>
          </cell>
          <cell r="E4">
            <v>2.5000000000000001E-2</v>
          </cell>
          <cell r="K4">
            <v>42996</v>
          </cell>
          <cell r="L4">
            <v>260</v>
          </cell>
          <cell r="M4">
            <v>71750</v>
          </cell>
          <cell r="N4">
            <v>2.5000000000000001E-2</v>
          </cell>
          <cell r="P4">
            <v>43361</v>
          </cell>
          <cell r="Q4">
            <v>2.5000000000000001E-2</v>
          </cell>
        </row>
        <row r="5">
          <cell r="A5" t="str">
            <v>158533</v>
          </cell>
          <cell r="B5" t="str">
            <v xml:space="preserve">Byron Babcock </v>
          </cell>
          <cell r="L5">
            <v>365</v>
          </cell>
          <cell r="P5" t="str">
            <v>N/A</v>
          </cell>
        </row>
        <row r="6">
          <cell r="A6" t="str">
            <v>155606</v>
          </cell>
          <cell r="B6" t="str">
            <v xml:space="preserve">Daniel Esch </v>
          </cell>
          <cell r="C6">
            <v>42828</v>
          </cell>
          <cell r="D6">
            <v>19.47</v>
          </cell>
          <cell r="E6">
            <v>5.1361068310220859E-2</v>
          </cell>
          <cell r="G6">
            <v>42940</v>
          </cell>
          <cell r="H6">
            <v>20.47</v>
          </cell>
          <cell r="I6">
            <v>0.12359550561797752</v>
          </cell>
          <cell r="K6">
            <v>42940</v>
          </cell>
          <cell r="L6">
            <v>204</v>
          </cell>
          <cell r="M6">
            <v>23</v>
          </cell>
          <cell r="N6">
            <v>0.18130457113507967</v>
          </cell>
          <cell r="P6">
            <v>43252</v>
          </cell>
          <cell r="Q6">
            <v>2.5000000000000001E-2</v>
          </cell>
        </row>
        <row r="7">
          <cell r="A7" t="str">
            <v>301300</v>
          </cell>
          <cell r="B7" t="str">
            <v xml:space="preserve">Jason Reid </v>
          </cell>
          <cell r="C7">
            <v>42940</v>
          </cell>
          <cell r="D7">
            <v>17</v>
          </cell>
          <cell r="E7">
            <v>0.11764705882352941</v>
          </cell>
          <cell r="G7">
            <v>43038</v>
          </cell>
          <cell r="H7">
            <v>19</v>
          </cell>
          <cell r="I7">
            <v>5.2631578947368418E-2</v>
          </cell>
          <cell r="K7">
            <v>43038</v>
          </cell>
          <cell r="L7">
            <v>302</v>
          </cell>
          <cell r="M7">
            <v>20</v>
          </cell>
          <cell r="N7">
            <v>0.17647058823529413</v>
          </cell>
          <cell r="P7">
            <v>43252</v>
          </cell>
          <cell r="Q7">
            <v>2.5000000000000001E-2</v>
          </cell>
        </row>
        <row r="8">
          <cell r="A8" t="str">
            <v>154324</v>
          </cell>
          <cell r="B8" t="str">
            <v xml:space="preserve">Jason Schultz </v>
          </cell>
          <cell r="C8">
            <v>42828</v>
          </cell>
          <cell r="D8">
            <v>17.850000000000001</v>
          </cell>
          <cell r="E8">
            <v>5.6022408963585429E-2</v>
          </cell>
          <cell r="G8">
            <v>43038</v>
          </cell>
          <cell r="H8">
            <v>21</v>
          </cell>
          <cell r="I8">
            <v>9.5238095238095233E-2</v>
          </cell>
          <cell r="K8">
            <v>43038</v>
          </cell>
          <cell r="L8">
            <v>302</v>
          </cell>
          <cell r="M8">
            <v>23</v>
          </cell>
          <cell r="N8">
            <v>0.2885154061624649</v>
          </cell>
          <cell r="P8">
            <v>43252</v>
          </cell>
          <cell r="Q8">
            <v>2.5000000000000001E-2</v>
          </cell>
        </row>
        <row r="9">
          <cell r="A9" t="str">
            <v>302718</v>
          </cell>
          <cell r="B9" t="str">
            <v xml:space="preserve">Kelly Durham </v>
          </cell>
          <cell r="L9">
            <v>365</v>
          </cell>
          <cell r="P9" t="str">
            <v>N/A</v>
          </cell>
        </row>
        <row r="10">
          <cell r="A10" t="str">
            <v>150331</v>
          </cell>
          <cell r="B10" t="str">
            <v xml:space="preserve">Kristen Neal </v>
          </cell>
          <cell r="L10">
            <v>365</v>
          </cell>
          <cell r="P10">
            <v>43122</v>
          </cell>
          <cell r="Q10">
            <v>2.5000000000000001E-2</v>
          </cell>
        </row>
        <row r="11">
          <cell r="A11" t="str">
            <v>155633</v>
          </cell>
          <cell r="B11" t="str">
            <v xml:space="preserve">Princess Wood </v>
          </cell>
          <cell r="C11">
            <v>42919</v>
          </cell>
          <cell r="D11">
            <v>15.38</v>
          </cell>
          <cell r="E11">
            <v>6.5019505851755519E-2</v>
          </cell>
          <cell r="G11">
            <v>42940</v>
          </cell>
          <cell r="H11">
            <v>16.38</v>
          </cell>
          <cell r="I11">
            <v>6.1050061050061055E-2</v>
          </cell>
          <cell r="K11">
            <v>42940</v>
          </cell>
          <cell r="L11">
            <v>204</v>
          </cell>
          <cell r="M11">
            <v>17.38</v>
          </cell>
          <cell r="N11">
            <v>0.13003901170351093</v>
          </cell>
          <cell r="P11" t="str">
            <v>N/A</v>
          </cell>
        </row>
        <row r="12">
          <cell r="A12" t="str">
            <v>300258</v>
          </cell>
          <cell r="B12" t="str">
            <v xml:space="preserve">Rick Webb III </v>
          </cell>
          <cell r="C12">
            <v>42828</v>
          </cell>
          <cell r="D12">
            <v>17.5</v>
          </cell>
          <cell r="E12">
            <v>2.8571428571428571E-2</v>
          </cell>
          <cell r="G12">
            <v>42940</v>
          </cell>
          <cell r="H12">
            <v>18</v>
          </cell>
          <cell r="I12">
            <v>0.1111111111111111</v>
          </cell>
          <cell r="K12">
            <v>42940</v>
          </cell>
          <cell r="L12">
            <v>204</v>
          </cell>
          <cell r="M12">
            <v>20</v>
          </cell>
          <cell r="N12">
            <v>0.14285714285714285</v>
          </cell>
          <cell r="P12" t="str">
            <v>N/A</v>
          </cell>
        </row>
        <row r="13">
          <cell r="A13">
            <v>154987</v>
          </cell>
          <cell r="B13" t="str">
            <v>James Speer</v>
          </cell>
          <cell r="C13">
            <v>42751</v>
          </cell>
          <cell r="D13">
            <v>66625</v>
          </cell>
          <cell r="E13">
            <v>2.5000000000000001E-2</v>
          </cell>
          <cell r="K13">
            <v>42751</v>
          </cell>
          <cell r="L13">
            <v>15</v>
          </cell>
          <cell r="M13">
            <v>68290.63</v>
          </cell>
          <cell r="N13">
            <v>2.5000075046904387E-2</v>
          </cell>
          <cell r="P13">
            <v>43122</v>
          </cell>
          <cell r="Q13">
            <v>2.5000000000000001E-2</v>
          </cell>
        </row>
      </sheetData>
      <sheetData sheetId="9"/>
      <sheetData sheetId="10"/>
      <sheetData sheetId="11"/>
      <sheetData sheetId="12"/>
      <sheetData sheetId="13"/>
      <sheetData sheetId="14"/>
      <sheetData sheetId="15"/>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 Summary"/>
      <sheetName val="Depreciation - with Salvage Val"/>
      <sheetName val="Depr- Cont, Shop, Serv, Office"/>
      <sheetName val="Depreciation - Original"/>
    </sheetNames>
    <sheetDataSet>
      <sheetData sheetId="0">
        <row r="9">
          <cell r="B9">
            <v>734640.29142857133</v>
          </cell>
          <cell r="D9">
            <v>734640.29142857133</v>
          </cell>
          <cell r="E9">
            <v>121205.9375752381</v>
          </cell>
          <cell r="F9">
            <v>172969.86106476191</v>
          </cell>
          <cell r="G9">
            <v>294175.79863999994</v>
          </cell>
          <cell r="H9">
            <v>501067.46157619054</v>
          </cell>
        </row>
        <row r="11">
          <cell r="B11">
            <v>215848.56857142859</v>
          </cell>
          <cell r="D11">
            <v>215848.56857142859</v>
          </cell>
          <cell r="E11">
            <v>45173.030537777784</v>
          </cell>
          <cell r="F11">
            <v>39722.215958095243</v>
          </cell>
          <cell r="G11">
            <v>84895.246495873012</v>
          </cell>
          <cell r="H11">
            <v>153539.83734444442</v>
          </cell>
        </row>
        <row r="16">
          <cell r="B16">
            <v>147439.66</v>
          </cell>
          <cell r="D16">
            <v>147439.66</v>
          </cell>
          <cell r="E16">
            <v>15509.443777777498</v>
          </cell>
          <cell r="F16">
            <v>18600</v>
          </cell>
          <cell r="G16">
            <v>37247.595499999843</v>
          </cell>
          <cell r="H16">
            <v>95681.786388888897</v>
          </cell>
        </row>
        <row r="18">
          <cell r="B18">
            <v>132903.5</v>
          </cell>
          <cell r="D18">
            <v>132903.5</v>
          </cell>
          <cell r="E18">
            <v>14356.783333333138</v>
          </cell>
          <cell r="F18">
            <v>19885.420833333355</v>
          </cell>
          <cell r="G18">
            <v>34242.204166666495</v>
          </cell>
          <cell r="H18">
            <v>90371.687500000073</v>
          </cell>
        </row>
        <row r="23">
          <cell r="B23">
            <v>0</v>
          </cell>
          <cell r="D23">
            <v>0</v>
          </cell>
          <cell r="E23">
            <v>0</v>
          </cell>
          <cell r="F23">
            <v>0</v>
          </cell>
          <cell r="G23">
            <v>0</v>
          </cell>
          <cell r="H23">
            <v>0</v>
          </cell>
        </row>
        <row r="25">
          <cell r="B25">
            <v>67415.540000000008</v>
          </cell>
          <cell r="D25">
            <v>67415.540000000008</v>
          </cell>
          <cell r="E25">
            <v>14554.21441</v>
          </cell>
          <cell r="F25">
            <v>15497.803933333993</v>
          </cell>
          <cell r="G25">
            <v>30052.018343333992</v>
          </cell>
          <cell r="H25">
            <v>33929.564761666006</v>
          </cell>
        </row>
        <row r="27">
          <cell r="B27">
            <v>8559.24</v>
          </cell>
          <cell r="D27">
            <v>8559.24</v>
          </cell>
          <cell r="E27">
            <v>1709.0439999999999</v>
          </cell>
          <cell r="F27">
            <v>3418.0880000000002</v>
          </cell>
          <cell r="G27">
            <v>5127.1320000000005</v>
          </cell>
          <cell r="H27">
            <v>4286.63</v>
          </cell>
        </row>
      </sheetData>
      <sheetData sheetId="1" refreshError="1"/>
      <sheetData sheetId="2" refreshError="1"/>
      <sheetData sheetId="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F Schedule"/>
      <sheetName val="31005 RO PT"/>
      <sheetName val="40101 Disposal"/>
      <sheetName val="2016 Internalization"/>
      <sheetName val="2017 Internalization"/>
    </sheetNames>
    <sheetDataSet>
      <sheetData sheetId="0">
        <row r="25">
          <cell r="O25">
            <v>2359.5699999999997</v>
          </cell>
        </row>
      </sheetData>
      <sheetData sheetId="1">
        <row r="198">
          <cell r="E198">
            <v>-6518.4000000000005</v>
          </cell>
          <cell r="J198">
            <v>-62.2</v>
          </cell>
          <cell r="O198">
            <v>-6518.4000000000005</v>
          </cell>
        </row>
        <row r="199">
          <cell r="E199">
            <v>-15757.699999999999</v>
          </cell>
          <cell r="J199">
            <v>-62.2</v>
          </cell>
          <cell r="O199">
            <v>-15757.699999999999</v>
          </cell>
        </row>
        <row r="200">
          <cell r="E200">
            <v>-18763.499999999996</v>
          </cell>
          <cell r="J200">
            <v>-273.68</v>
          </cell>
          <cell r="O200">
            <v>-18825.699999999997</v>
          </cell>
        </row>
        <row r="201">
          <cell r="E201">
            <v>-14619.5</v>
          </cell>
          <cell r="J201">
            <v>-896.61000000000013</v>
          </cell>
          <cell r="O201">
            <v>-14681.7</v>
          </cell>
        </row>
        <row r="202">
          <cell r="E202">
            <v>-19330</v>
          </cell>
          <cell r="J202">
            <v>-208.37</v>
          </cell>
          <cell r="O202">
            <v>-19603.68</v>
          </cell>
        </row>
        <row r="203">
          <cell r="E203">
            <v>-23440.660000000003</v>
          </cell>
          <cell r="J203">
            <v>-495.85</v>
          </cell>
          <cell r="O203">
            <v>-24337.270000000004</v>
          </cell>
        </row>
        <row r="204">
          <cell r="E204">
            <v>-11853.73</v>
          </cell>
          <cell r="J204">
            <v>-311</v>
          </cell>
          <cell r="O204">
            <v>-12062.1</v>
          </cell>
        </row>
        <row r="205">
          <cell r="E205">
            <v>-8806.74</v>
          </cell>
          <cell r="J205">
            <v>-419.85</v>
          </cell>
          <cell r="O205">
            <v>-9302.59</v>
          </cell>
        </row>
        <row r="206">
          <cell r="E206">
            <v>-8355.6400000000012</v>
          </cell>
          <cell r="J206">
            <v>-404.3</v>
          </cell>
          <cell r="O206">
            <v>-8666.6400000000012</v>
          </cell>
        </row>
        <row r="207">
          <cell r="E207">
            <v>-14351.350000000002</v>
          </cell>
          <cell r="J207">
            <v>-311</v>
          </cell>
          <cell r="O207">
            <v>-14771.2</v>
          </cell>
        </row>
        <row r="208">
          <cell r="E208">
            <v>-9710.5699999999979</v>
          </cell>
          <cell r="O208">
            <v>-10114.870000000001</v>
          </cell>
        </row>
        <row r="209">
          <cell r="E209">
            <v>-5647.5600000000013</v>
          </cell>
          <cell r="O209">
            <v>-5958.5599999999995</v>
          </cell>
        </row>
      </sheetData>
      <sheetData sheetId="2">
        <row r="142">
          <cell r="E142">
            <v>17799.699999999997</v>
          </cell>
          <cell r="F142">
            <v>17424.099999999999</v>
          </cell>
          <cell r="G142">
            <v>375.59999999999991</v>
          </cell>
        </row>
        <row r="143">
          <cell r="E143">
            <v>22497.18</v>
          </cell>
          <cell r="F143">
            <v>21955.510000000002</v>
          </cell>
          <cell r="G143">
            <v>541.66999999999996</v>
          </cell>
        </row>
        <row r="144">
          <cell r="E144">
            <v>29887.149999999998</v>
          </cell>
          <cell r="F144">
            <v>29947.8</v>
          </cell>
          <cell r="G144">
            <v>-60.649999999999977</v>
          </cell>
        </row>
        <row r="145">
          <cell r="E145">
            <v>40787.65</v>
          </cell>
          <cell r="F145">
            <v>40445.550000000003</v>
          </cell>
          <cell r="G145">
            <v>342.1</v>
          </cell>
        </row>
        <row r="146">
          <cell r="E146">
            <v>28919.94</v>
          </cell>
          <cell r="F146">
            <v>28496.98</v>
          </cell>
          <cell r="G146">
            <v>422.96</v>
          </cell>
        </row>
        <row r="147">
          <cell r="E147">
            <v>40325.409999999996</v>
          </cell>
          <cell r="F147">
            <v>39404.85</v>
          </cell>
          <cell r="G147">
            <v>920.56</v>
          </cell>
        </row>
        <row r="148">
          <cell r="E148">
            <v>35314.790000000008</v>
          </cell>
          <cell r="F148">
            <v>34810.97</v>
          </cell>
          <cell r="G148">
            <v>503.82000000000011</v>
          </cell>
        </row>
        <row r="149">
          <cell r="E149">
            <v>28328.300000000003</v>
          </cell>
          <cell r="F149">
            <v>27978.720000000001</v>
          </cell>
          <cell r="G149">
            <v>349.58</v>
          </cell>
        </row>
        <row r="150">
          <cell r="E150">
            <v>30406.869999999995</v>
          </cell>
          <cell r="F150">
            <v>29969.62</v>
          </cell>
          <cell r="G150">
            <v>437.25000000000006</v>
          </cell>
        </row>
        <row r="151">
          <cell r="E151">
            <v>31034.82</v>
          </cell>
          <cell r="F151">
            <v>30278.639999999999</v>
          </cell>
          <cell r="G151">
            <v>756.18000000000006</v>
          </cell>
        </row>
        <row r="152">
          <cell r="E152">
            <v>27022.46</v>
          </cell>
          <cell r="F152">
            <v>26385.360000000001</v>
          </cell>
          <cell r="G152">
            <v>637.09999999999991</v>
          </cell>
        </row>
        <row r="153">
          <cell r="E153">
            <v>20996.46</v>
          </cell>
          <cell r="F153">
            <v>20418</v>
          </cell>
          <cell r="G153">
            <v>578.46</v>
          </cell>
        </row>
        <row r="154">
          <cell r="E154">
            <v>353320.73000000004</v>
          </cell>
        </row>
      </sheetData>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sheetData sheetId="1"/>
      <sheetData sheetId="2" refreshError="1"/>
      <sheetData sheetId="3"/>
      <sheetData sheetId="4"/>
      <sheetData sheetId="5"/>
      <sheetData sheetId="6" refreshError="1"/>
      <sheetData sheetId="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183 IS"/>
      <sheetName val="2184 IS"/>
      <sheetName val="2185 IS"/>
      <sheetName val="Consolidated IS"/>
      <sheetName val="Ratios Thurston"/>
      <sheetName val="2183 Pro forma"/>
      <sheetName val="2183 Ratios"/>
      <sheetName val="Restating Expl"/>
      <sheetName val="Pro forma Expl"/>
      <sheetName val="Pacific Regulated - Price Out"/>
      <sheetName val="Total Matrix"/>
      <sheetName val="Packer_RO Matrix"/>
      <sheetName val="COS Packer_RO"/>
      <sheetName val="Res YW Matix"/>
      <sheetName val="Res Recy Matrix"/>
      <sheetName val="MF Recy Matrix"/>
      <sheetName val="COS RR YW MFR"/>
      <sheetName val="Total Pac,Rural"/>
      <sheetName val="Rural"/>
      <sheetName val="LG-Pacific Pckr Rts"/>
      <sheetName val="LG-RO"/>
      <sheetName val="Res Recycl"/>
      <sheetName val="MF Recycl"/>
      <sheetName val="YW"/>
      <sheetName val="Depr Summary 2183"/>
      <sheetName val="Trucks 2183"/>
      <sheetName val="Containers 2183"/>
      <sheetName val="OTHER EQUIP 2183"/>
      <sheetName val="LeMay Global"/>
      <sheetName val="Fuel"/>
      <sheetName val="DF Schedule"/>
      <sheetName val="2183 Payroll"/>
      <sheetName val="2184 Payroll"/>
      <sheetName val="2185 Payroll"/>
      <sheetName val="Cust Cnt"/>
      <sheetName val="Unit Cnt"/>
      <sheetName val="70148 Summary"/>
      <sheetName val="Time Study"/>
      <sheetName val="Corp OH"/>
    </sheetNames>
    <sheetDataSet>
      <sheetData sheetId="0"/>
      <sheetData sheetId="1"/>
      <sheetData sheetId="2"/>
      <sheetData sheetId="3"/>
      <sheetData sheetId="4"/>
      <sheetData sheetId="5"/>
      <sheetData sheetId="6"/>
      <sheetData sheetId="7"/>
      <sheetData sheetId="8"/>
      <sheetData sheetId="9"/>
      <sheetData sheetId="10">
        <row r="49">
          <cell r="M49">
            <v>8000432.4617248299</v>
          </cell>
        </row>
        <row r="50">
          <cell r="F50">
            <v>8158680.0299999993</v>
          </cell>
        </row>
        <row r="58">
          <cell r="M58">
            <v>2625393.5068796892</v>
          </cell>
        </row>
        <row r="59">
          <cell r="F59">
            <v>2119461.4499999997</v>
          </cell>
        </row>
        <row r="69">
          <cell r="M69">
            <v>1361744.4391882615</v>
          </cell>
        </row>
        <row r="70">
          <cell r="F70">
            <v>1347163.92</v>
          </cell>
        </row>
        <row r="213">
          <cell r="M213">
            <v>4757117.5866496488</v>
          </cell>
        </row>
        <row r="214">
          <cell r="F214">
            <v>4859462.2200000007</v>
          </cell>
        </row>
        <row r="221">
          <cell r="M221">
            <v>395543.82663328515</v>
          </cell>
        </row>
        <row r="222">
          <cell r="F222">
            <v>332798.89999999997</v>
          </cell>
        </row>
        <row r="281">
          <cell r="M281">
            <v>1187221.5155152699</v>
          </cell>
        </row>
        <row r="282">
          <cell r="F282">
            <v>744277.47999999975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183 IS"/>
      <sheetName val="2184 IS"/>
      <sheetName val="2185 IS"/>
      <sheetName val="Consolidated IS"/>
      <sheetName val="Ratios Thurston"/>
      <sheetName val="2183 Pro forma"/>
      <sheetName val="2183 Ratios"/>
      <sheetName val="Restating Expl"/>
      <sheetName val="Pro forma Expl"/>
      <sheetName val="Pacific Regulated - Price Out"/>
      <sheetName val="Total Matrix"/>
      <sheetName val="Packer_RO Matrix"/>
      <sheetName val="COS Packer_RO"/>
      <sheetName val="Res YW Matix"/>
      <sheetName val="Res Recy Matrix"/>
      <sheetName val="MF Recy Matrix"/>
      <sheetName val="COS RR YW MFR"/>
      <sheetName val="Total Pac,Rural"/>
      <sheetName val="Rural"/>
      <sheetName val="LG-Pacific Pckr Rts"/>
      <sheetName val="LG-RO"/>
      <sheetName val="Res Recycl"/>
      <sheetName val="MF Recycl"/>
      <sheetName val="YW"/>
      <sheetName val="Depr Summary 2183"/>
      <sheetName val="Trucks 2183"/>
      <sheetName val="Containers 2183"/>
      <sheetName val="OTHER EQUIP 2183"/>
      <sheetName val="LeMay Global"/>
      <sheetName val="Fuel"/>
      <sheetName val="DF Schedule"/>
      <sheetName val="2183 Payroll"/>
      <sheetName val="2184 Payroll"/>
      <sheetName val="2185 Payroll"/>
      <sheetName val="Cust Cnt"/>
      <sheetName val="Unit Cnt"/>
      <sheetName val="70148 Summary"/>
      <sheetName val="Time Study"/>
      <sheetName val="Corp O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9">
          <cell r="M49">
            <v>8000432.4617248299</v>
          </cell>
        </row>
        <row r="50">
          <cell r="F50">
            <v>8158680.0299999993</v>
          </cell>
        </row>
        <row r="58">
          <cell r="M58">
            <v>2625393.5068796892</v>
          </cell>
        </row>
        <row r="59">
          <cell r="F59">
            <v>2119461.4499999997</v>
          </cell>
        </row>
        <row r="69">
          <cell r="M69">
            <v>1361744.4391882615</v>
          </cell>
        </row>
        <row r="70">
          <cell r="F70">
            <v>1347163.92</v>
          </cell>
        </row>
        <row r="213">
          <cell r="M213">
            <v>4757117.5866496488</v>
          </cell>
        </row>
        <row r="214">
          <cell r="F214">
            <v>4859462.2200000007</v>
          </cell>
        </row>
        <row r="221">
          <cell r="M221">
            <v>395543.82663328515</v>
          </cell>
        </row>
        <row r="222">
          <cell r="F222">
            <v>332798.89999999997</v>
          </cell>
        </row>
        <row r="281">
          <cell r="M281">
            <v>1187221.5155152699</v>
          </cell>
        </row>
        <row r="282">
          <cell r="F282">
            <v>744277.47999999975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6.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H47"/>
  <sheetViews>
    <sheetView showGridLines="0" workbookViewId="0">
      <selection activeCell="F29" sqref="F29"/>
    </sheetView>
  </sheetViews>
  <sheetFormatPr defaultRowHeight="15"/>
  <cols>
    <col min="1" max="1" width="30.5703125" style="594" customWidth="1"/>
    <col min="2" max="8" width="10.5703125" style="594" customWidth="1"/>
    <col min="9" max="9" width="15.85546875" style="594" bestFit="1" customWidth="1"/>
    <col min="10" max="10" width="12" style="594" bestFit="1" customWidth="1"/>
    <col min="11" max="16384" width="9.140625" style="594"/>
  </cols>
  <sheetData>
    <row r="1" spans="1:8">
      <c r="A1" s="846" t="s">
        <v>588</v>
      </c>
      <c r="B1" s="833"/>
      <c r="C1" s="833"/>
      <c r="D1" s="833"/>
      <c r="E1" s="833"/>
      <c r="F1" s="833"/>
      <c r="G1" s="833"/>
      <c r="H1" s="833"/>
    </row>
    <row r="2" spans="1:8">
      <c r="A2" s="846" t="s">
        <v>589</v>
      </c>
      <c r="B2" s="832"/>
      <c r="C2" s="833"/>
      <c r="D2" s="833"/>
      <c r="E2" s="833"/>
      <c r="F2" s="833"/>
      <c r="G2" s="833"/>
      <c r="H2" s="833"/>
    </row>
    <row r="3" spans="1:8">
      <c r="A3" s="846" t="s">
        <v>1097</v>
      </c>
      <c r="B3" s="833"/>
      <c r="C3" s="833"/>
      <c r="D3" s="833"/>
      <c r="E3" s="833"/>
      <c r="F3" s="833"/>
      <c r="G3" s="833"/>
      <c r="H3" s="833"/>
    </row>
    <row r="4" spans="1:8">
      <c r="A4" s="706"/>
      <c r="B4" s="833"/>
      <c r="C4" s="833"/>
      <c r="D4" s="833"/>
      <c r="E4" s="833"/>
      <c r="F4" s="833"/>
      <c r="G4" s="833"/>
      <c r="H4" s="833"/>
    </row>
    <row r="5" spans="1:8">
      <c r="A5" s="1307" t="s">
        <v>1098</v>
      </c>
      <c r="B5" s="1307"/>
      <c r="C5" s="1307"/>
      <c r="D5" s="1307"/>
      <c r="E5" s="1307"/>
      <c r="F5" s="1307"/>
      <c r="G5" s="1307"/>
      <c r="H5" s="1307"/>
    </row>
    <row r="6" spans="1:8">
      <c r="A6" s="833" t="s">
        <v>1099</v>
      </c>
      <c r="B6" s="834" t="s">
        <v>1100</v>
      </c>
      <c r="C6" s="834" t="s">
        <v>1101</v>
      </c>
      <c r="D6" s="834" t="s">
        <v>1102</v>
      </c>
      <c r="E6" s="834" t="s">
        <v>1103</v>
      </c>
      <c r="F6" s="834" t="s">
        <v>1104</v>
      </c>
      <c r="G6" s="834" t="s">
        <v>1105</v>
      </c>
      <c r="H6" s="834" t="s">
        <v>1106</v>
      </c>
    </row>
    <row r="7" spans="1:8">
      <c r="A7" s="833" t="s">
        <v>1107</v>
      </c>
      <c r="B7" s="835">
        <f>B11*5</f>
        <v>21.65</v>
      </c>
      <c r="C7" s="836">
        <f>$B$7*2</f>
        <v>43.3</v>
      </c>
      <c r="D7" s="836">
        <f>$B$7*3</f>
        <v>64.949999999999989</v>
      </c>
      <c r="E7" s="836">
        <f>$B$7*4</f>
        <v>86.6</v>
      </c>
      <c r="F7" s="836">
        <f>$B$7*5</f>
        <v>108.25</v>
      </c>
      <c r="G7" s="836">
        <f>$B$7*6</f>
        <v>129.89999999999998</v>
      </c>
      <c r="H7" s="836">
        <f>$B$7*7</f>
        <v>151.54999999999998</v>
      </c>
    </row>
    <row r="8" spans="1:8">
      <c r="A8" s="833" t="s">
        <v>1108</v>
      </c>
      <c r="B8" s="835">
        <f>B11*4</f>
        <v>17.32</v>
      </c>
      <c r="C8" s="836">
        <f>$B$8*2</f>
        <v>34.64</v>
      </c>
      <c r="D8" s="836">
        <f>$B$8*3</f>
        <v>51.96</v>
      </c>
      <c r="E8" s="836">
        <f>$B$8*4</f>
        <v>69.28</v>
      </c>
      <c r="F8" s="836">
        <f>$B$8*5</f>
        <v>86.6</v>
      </c>
      <c r="G8" s="836">
        <f>$B$8*6</f>
        <v>103.92</v>
      </c>
      <c r="H8" s="836">
        <f>$B$8*7</f>
        <v>121.24000000000001</v>
      </c>
    </row>
    <row r="9" spans="1:8">
      <c r="A9" s="833" t="s">
        <v>1109</v>
      </c>
      <c r="B9" s="835">
        <f>B11*3</f>
        <v>12.99</v>
      </c>
      <c r="C9" s="836">
        <f>$B$9*2</f>
        <v>25.98</v>
      </c>
      <c r="D9" s="836">
        <f>$B$9*3</f>
        <v>38.97</v>
      </c>
      <c r="E9" s="836">
        <f>$B$9*4</f>
        <v>51.96</v>
      </c>
      <c r="F9" s="836">
        <f>$B$9*5</f>
        <v>64.95</v>
      </c>
      <c r="G9" s="836">
        <f>$B$9*6</f>
        <v>77.94</v>
      </c>
      <c r="H9" s="836">
        <f>$B$9*7</f>
        <v>90.93</v>
      </c>
    </row>
    <row r="10" spans="1:8">
      <c r="A10" s="833" t="s">
        <v>1110</v>
      </c>
      <c r="B10" s="835">
        <f>B11*2</f>
        <v>8.66</v>
      </c>
      <c r="C10" s="837">
        <f>$B$10*2</f>
        <v>17.32</v>
      </c>
      <c r="D10" s="837">
        <f>$B$10*3</f>
        <v>25.98</v>
      </c>
      <c r="E10" s="837">
        <f>$B$10*4</f>
        <v>34.64</v>
      </c>
      <c r="F10" s="837">
        <f>$B$10*5</f>
        <v>43.3</v>
      </c>
      <c r="G10" s="837">
        <f>$B$10*6</f>
        <v>51.96</v>
      </c>
      <c r="H10" s="837">
        <f>$B$10*7</f>
        <v>60.620000000000005</v>
      </c>
    </row>
    <row r="11" spans="1:8">
      <c r="A11" s="833" t="s">
        <v>1111</v>
      </c>
      <c r="B11" s="835">
        <f>ROUND(52/12,2)</f>
        <v>4.33</v>
      </c>
      <c r="C11" s="837">
        <f>$B$11*2</f>
        <v>8.66</v>
      </c>
      <c r="D11" s="837">
        <f>$B$11*3</f>
        <v>12.99</v>
      </c>
      <c r="E11" s="837">
        <f>$B$11*4</f>
        <v>17.32</v>
      </c>
      <c r="F11" s="837">
        <f>$B$11*5</f>
        <v>21.65</v>
      </c>
      <c r="G11" s="837">
        <f>$B$11*6</f>
        <v>25.98</v>
      </c>
      <c r="H11" s="837">
        <f>$B$11*7</f>
        <v>30.310000000000002</v>
      </c>
    </row>
    <row r="12" spans="1:8">
      <c r="A12" s="833" t="s">
        <v>1112</v>
      </c>
      <c r="B12" s="835">
        <f>ROUND(26/12,2)</f>
        <v>2.17</v>
      </c>
      <c r="C12" s="837">
        <f>$B$12*2</f>
        <v>4.34</v>
      </c>
      <c r="D12" s="837">
        <f>$B$12*3</f>
        <v>6.51</v>
      </c>
      <c r="E12" s="837">
        <f>$B$12*4</f>
        <v>8.68</v>
      </c>
      <c r="F12" s="837">
        <f>$B$12*5</f>
        <v>10.85</v>
      </c>
      <c r="G12" s="837">
        <f>$B$12*6</f>
        <v>13.02</v>
      </c>
      <c r="H12" s="837">
        <f>$B$12*7</f>
        <v>15.19</v>
      </c>
    </row>
    <row r="13" spans="1:8">
      <c r="A13" s="833" t="s">
        <v>1113</v>
      </c>
      <c r="B13" s="835">
        <f>12/12</f>
        <v>1</v>
      </c>
      <c r="C13" s="837">
        <f>$B$13*2</f>
        <v>2</v>
      </c>
      <c r="D13" s="837">
        <f>$B$13*3</f>
        <v>3</v>
      </c>
      <c r="E13" s="837">
        <f>$B$13*4</f>
        <v>4</v>
      </c>
      <c r="F13" s="837">
        <f>$B$13*5</f>
        <v>5</v>
      </c>
      <c r="G13" s="837">
        <f>$B$13*6</f>
        <v>6</v>
      </c>
      <c r="H13" s="837">
        <f>$B$13*7</f>
        <v>7</v>
      </c>
    </row>
    <row r="14" spans="1:8">
      <c r="A14" s="833"/>
      <c r="B14" s="835"/>
      <c r="C14" s="837"/>
      <c r="D14" s="837"/>
      <c r="E14" s="837"/>
      <c r="F14" s="837"/>
      <c r="G14" s="837"/>
      <c r="H14" s="837"/>
    </row>
    <row r="15" spans="1:8">
      <c r="A15" s="1307" t="s">
        <v>1114</v>
      </c>
      <c r="B15" s="1307"/>
      <c r="C15" s="1307"/>
      <c r="D15" s="837"/>
      <c r="E15" s="837"/>
      <c r="F15" s="837"/>
      <c r="G15" s="837"/>
      <c r="H15" s="837"/>
    </row>
    <row r="16" spans="1:8">
      <c r="A16" s="319" t="s">
        <v>1115</v>
      </c>
      <c r="B16" s="838" t="s">
        <v>1116</v>
      </c>
      <c r="C16" s="837"/>
      <c r="D16" s="837"/>
      <c r="E16" s="837"/>
      <c r="F16" s="837"/>
      <c r="G16" s="837"/>
      <c r="H16" s="837"/>
    </row>
    <row r="17" spans="1:8">
      <c r="A17" s="839" t="s">
        <v>1117</v>
      </c>
      <c r="B17" s="840">
        <v>20</v>
      </c>
      <c r="C17" s="837"/>
      <c r="D17" s="837"/>
      <c r="E17" s="837"/>
      <c r="F17" s="837"/>
      <c r="G17" s="837"/>
      <c r="H17" s="837"/>
    </row>
    <row r="18" spans="1:8">
      <c r="A18" s="839" t="s">
        <v>1118</v>
      </c>
      <c r="B18" s="840">
        <v>34</v>
      </c>
      <c r="C18" s="837"/>
      <c r="D18" s="837"/>
      <c r="E18" s="837"/>
      <c r="F18" s="837"/>
      <c r="G18" s="837"/>
      <c r="H18" s="837"/>
    </row>
    <row r="19" spans="1:8">
      <c r="A19" s="839" t="s">
        <v>1119</v>
      </c>
      <c r="B19" s="840">
        <v>51</v>
      </c>
      <c r="C19" s="837"/>
      <c r="D19" s="837"/>
      <c r="E19" s="837"/>
      <c r="F19" s="837"/>
      <c r="G19" s="837"/>
      <c r="H19" s="837"/>
    </row>
    <row r="20" spans="1:8">
      <c r="A20" s="839" t="s">
        <v>1120</v>
      </c>
      <c r="B20" s="840">
        <v>77</v>
      </c>
      <c r="C20" s="837"/>
      <c r="D20" s="837"/>
      <c r="E20" s="837"/>
      <c r="F20" s="833" t="s">
        <v>1121</v>
      </c>
      <c r="G20" s="840">
        <v>2000</v>
      </c>
      <c r="H20" s="837"/>
    </row>
    <row r="21" spans="1:8">
      <c r="A21" s="839" t="s">
        <v>1122</v>
      </c>
      <c r="B21" s="840">
        <v>97</v>
      </c>
      <c r="C21" s="837"/>
      <c r="D21" s="837"/>
      <c r="E21" s="837"/>
      <c r="F21" s="833" t="s">
        <v>1123</v>
      </c>
      <c r="G21" s="841" t="s">
        <v>1124</v>
      </c>
      <c r="H21" s="837"/>
    </row>
    <row r="22" spans="1:8">
      <c r="A22" s="839" t="s">
        <v>1125</v>
      </c>
      <c r="B22" s="840">
        <v>117</v>
      </c>
      <c r="C22" s="837"/>
      <c r="D22" s="837"/>
      <c r="E22" s="837"/>
      <c r="F22" s="833"/>
      <c r="G22" s="833"/>
      <c r="H22" s="837"/>
    </row>
    <row r="23" spans="1:8">
      <c r="A23" s="839" t="s">
        <v>1126</v>
      </c>
      <c r="B23" s="840">
        <v>157</v>
      </c>
      <c r="C23" s="837"/>
      <c r="D23" s="837"/>
      <c r="E23" s="837"/>
      <c r="F23" s="842"/>
      <c r="G23" s="843"/>
      <c r="H23" s="837"/>
    </row>
    <row r="24" spans="1:8">
      <c r="A24" s="839" t="s">
        <v>1127</v>
      </c>
      <c r="B24" s="840">
        <v>47</v>
      </c>
      <c r="C24" s="837"/>
      <c r="D24" s="837"/>
      <c r="E24" s="837"/>
      <c r="F24" s="837"/>
      <c r="G24" s="837"/>
      <c r="H24" s="837"/>
    </row>
    <row r="25" spans="1:8">
      <c r="A25" s="839" t="s">
        <v>1128</v>
      </c>
      <c r="B25" s="840">
        <v>68</v>
      </c>
      <c r="C25" s="837"/>
      <c r="D25" s="837"/>
      <c r="E25" s="837"/>
      <c r="F25" s="837"/>
      <c r="G25" s="837"/>
      <c r="H25" s="837"/>
    </row>
    <row r="26" spans="1:8">
      <c r="A26" s="839" t="s">
        <v>1129</v>
      </c>
      <c r="B26" s="840">
        <v>34</v>
      </c>
      <c r="C26" s="837"/>
      <c r="D26" s="837"/>
      <c r="E26" s="837"/>
      <c r="F26" s="837"/>
      <c r="G26" s="837"/>
      <c r="H26" s="837"/>
    </row>
    <row r="27" spans="1:8">
      <c r="A27" s="839" t="s">
        <v>1130</v>
      </c>
      <c r="B27" s="840">
        <v>34</v>
      </c>
      <c r="C27" s="837"/>
      <c r="D27" s="837"/>
      <c r="E27" s="837"/>
      <c r="F27" s="837"/>
      <c r="G27" s="837"/>
      <c r="H27" s="837"/>
    </row>
    <row r="28" spans="1:8">
      <c r="A28" s="319" t="s">
        <v>1131</v>
      </c>
      <c r="B28" s="840"/>
      <c r="C28" s="837"/>
      <c r="D28" s="837"/>
      <c r="E28" s="837"/>
      <c r="F28" s="837"/>
      <c r="G28" s="837"/>
      <c r="H28" s="837"/>
    </row>
    <row r="29" spans="1:8">
      <c r="A29" s="839" t="s">
        <v>429</v>
      </c>
      <c r="B29" s="840">
        <v>29</v>
      </c>
      <c r="C29" s="837"/>
      <c r="D29" s="837"/>
      <c r="E29" s="837"/>
      <c r="F29" s="837"/>
      <c r="G29" s="837"/>
      <c r="H29" s="837"/>
    </row>
    <row r="30" spans="1:8">
      <c r="A30" s="839" t="s">
        <v>1132</v>
      </c>
      <c r="B30" s="840">
        <v>175</v>
      </c>
      <c r="C30" s="837"/>
      <c r="D30" s="837"/>
      <c r="E30" s="837"/>
      <c r="F30" s="837"/>
      <c r="G30" s="837"/>
      <c r="H30" s="837"/>
    </row>
    <row r="31" spans="1:8">
      <c r="A31" s="839" t="s">
        <v>1133</v>
      </c>
      <c r="B31" s="840">
        <v>250</v>
      </c>
      <c r="C31" s="837"/>
      <c r="D31" s="837"/>
      <c r="E31" s="837"/>
      <c r="F31" s="837"/>
      <c r="G31" s="837"/>
      <c r="H31" s="837"/>
    </row>
    <row r="32" spans="1:8">
      <c r="A32" s="839" t="s">
        <v>1134</v>
      </c>
      <c r="B32" s="840">
        <v>324</v>
      </c>
      <c r="C32" s="837"/>
      <c r="D32" s="837"/>
      <c r="E32" s="837"/>
      <c r="F32" s="837"/>
      <c r="G32" s="837"/>
      <c r="H32" s="837"/>
    </row>
    <row r="33" spans="1:8">
      <c r="A33" s="839" t="s">
        <v>1135</v>
      </c>
      <c r="B33" s="840">
        <v>473</v>
      </c>
      <c r="C33" s="837"/>
      <c r="D33" s="837"/>
      <c r="E33" s="837"/>
      <c r="F33" s="837"/>
      <c r="G33" s="837"/>
      <c r="H33" s="837"/>
    </row>
    <row r="34" spans="1:8">
      <c r="A34" s="839" t="s">
        <v>1136</v>
      </c>
      <c r="B34" s="840">
        <v>613</v>
      </c>
      <c r="C34" s="837"/>
      <c r="D34" s="837"/>
      <c r="E34" s="837"/>
      <c r="F34" s="837"/>
      <c r="G34" s="837"/>
      <c r="H34" s="837"/>
    </row>
    <row r="35" spans="1:8">
      <c r="A35" s="839" t="s">
        <v>1137</v>
      </c>
      <c r="B35" s="840">
        <v>840</v>
      </c>
      <c r="C35" s="837"/>
      <c r="D35" s="837"/>
      <c r="E35" s="837"/>
      <c r="F35" s="837"/>
      <c r="G35" s="837"/>
      <c r="H35" s="837"/>
    </row>
    <row r="36" spans="1:8">
      <c r="A36" s="839" t="s">
        <v>1138</v>
      </c>
      <c r="B36" s="840">
        <v>980</v>
      </c>
      <c r="C36" s="837"/>
      <c r="D36" s="837"/>
      <c r="E36" s="837"/>
      <c r="F36" s="837"/>
      <c r="G36" s="837"/>
      <c r="H36" s="837"/>
    </row>
    <row r="37" spans="1:8">
      <c r="A37" s="839" t="s">
        <v>1139</v>
      </c>
      <c r="B37" s="840">
        <v>1301</v>
      </c>
      <c r="C37" s="837"/>
      <c r="D37" s="837"/>
      <c r="E37" s="837"/>
      <c r="F37" s="837"/>
      <c r="G37" s="837"/>
      <c r="H37" s="837"/>
    </row>
    <row r="38" spans="1:8">
      <c r="A38" s="839" t="s">
        <v>1140</v>
      </c>
      <c r="B38" s="840">
        <v>1686</v>
      </c>
      <c r="C38" s="837"/>
      <c r="D38" s="837"/>
      <c r="E38" s="837"/>
      <c r="F38" s="837"/>
      <c r="G38" s="837"/>
      <c r="H38" s="837"/>
    </row>
    <row r="39" spans="1:8">
      <c r="A39" s="839" t="s">
        <v>1141</v>
      </c>
      <c r="B39" s="840">
        <v>2046</v>
      </c>
      <c r="C39" s="837"/>
      <c r="D39" s="837"/>
      <c r="E39" s="837"/>
      <c r="F39" s="837"/>
      <c r="G39" s="837"/>
      <c r="H39" s="837"/>
    </row>
    <row r="40" spans="1:8">
      <c r="A40" s="839" t="s">
        <v>1142</v>
      </c>
      <c r="B40" s="840">
        <v>2310</v>
      </c>
      <c r="C40" s="837"/>
      <c r="D40" s="837"/>
      <c r="E40" s="837"/>
      <c r="F40" s="837"/>
      <c r="G40" s="837"/>
      <c r="H40" s="837"/>
    </row>
    <row r="41" spans="1:8">
      <c r="A41" s="839" t="s">
        <v>1143</v>
      </c>
      <c r="B41" s="840">
        <v>125</v>
      </c>
      <c r="C41" s="837"/>
      <c r="D41" s="837"/>
      <c r="E41" s="837"/>
      <c r="F41" s="837"/>
      <c r="G41" s="837"/>
      <c r="H41" s="837"/>
    </row>
    <row r="42" spans="1:8">
      <c r="A42" s="833"/>
      <c r="B42" s="844" t="s">
        <v>1144</v>
      </c>
      <c r="C42" s="845"/>
      <c r="D42" s="833"/>
      <c r="E42" s="833"/>
      <c r="F42" s="833"/>
      <c r="G42" s="833"/>
      <c r="H42" s="833"/>
    </row>
    <row r="43" spans="1:8">
      <c r="A43" s="833"/>
      <c r="B43" s="833"/>
      <c r="C43" s="833"/>
      <c r="D43" s="833"/>
      <c r="E43" s="833"/>
      <c r="F43" s="833"/>
      <c r="G43" s="833"/>
      <c r="H43" s="833"/>
    </row>
    <row r="44" spans="1:8">
      <c r="A44" s="833"/>
      <c r="B44" s="1308"/>
      <c r="C44" s="1308"/>
      <c r="D44" s="833"/>
      <c r="E44" s="833"/>
      <c r="F44" s="833"/>
      <c r="G44" s="833"/>
      <c r="H44" s="833"/>
    </row>
    <row r="45" spans="1:8">
      <c r="A45" s="833"/>
      <c r="B45" s="833"/>
      <c r="C45" s="833"/>
      <c r="D45" s="833"/>
      <c r="E45" s="833"/>
      <c r="F45" s="833"/>
      <c r="G45" s="833"/>
      <c r="H45" s="833"/>
    </row>
    <row r="46" spans="1:8">
      <c r="A46" s="833"/>
      <c r="B46" s="833"/>
      <c r="C46" s="833"/>
      <c r="D46" s="833"/>
      <c r="E46" s="833"/>
      <c r="F46" s="833"/>
      <c r="G46" s="833"/>
      <c r="H46" s="833"/>
    </row>
    <row r="47" spans="1:8">
      <c r="A47" s="833"/>
      <c r="B47" s="833"/>
      <c r="C47" s="833"/>
      <c r="D47" s="833"/>
      <c r="E47" s="833"/>
      <c r="F47" s="833"/>
      <c r="G47" s="833"/>
      <c r="H47" s="833"/>
    </row>
  </sheetData>
  <mergeCells count="3">
    <mergeCell ref="A5:H5"/>
    <mergeCell ref="B44:C44"/>
    <mergeCell ref="A15:C15"/>
  </mergeCells>
  <pageMargins left="0.28000000000000003" right="0.52" top="0.75" bottom="0.75" header="0.3" footer="0.3"/>
  <pageSetup scale="93" orientation="portrait" r:id="rId1"/>
  <headerFooter>
    <oddHeader>&amp;C&amp;"-,Bold"&amp;12Empire Disposal Inc&amp;"-,Regular"
Disposal Fee Reference</oddHeader>
    <oddFooter>&amp;L&amp;F - &amp;A&amp;C&amp;D&amp;R&amp;P of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pageSetUpPr fitToPage="1"/>
  </sheetPr>
  <dimension ref="A1:S146"/>
  <sheetViews>
    <sheetView showGridLines="0" view="pageBreakPreview" zoomScale="85" zoomScaleNormal="85" zoomScaleSheetLayoutView="85" workbookViewId="0">
      <pane xSplit="2" ySplit="7" topLeftCell="C8" activePane="bottomRight" state="frozen"/>
      <selection activeCell="Q16" sqref="Q16"/>
      <selection pane="topRight" activeCell="Q16" sqref="Q16"/>
      <selection pane="bottomLeft" activeCell="Q16" sqref="Q16"/>
      <selection pane="bottomRight" activeCell="C87" sqref="C87:D92"/>
    </sheetView>
  </sheetViews>
  <sheetFormatPr defaultRowHeight="14.25"/>
  <cols>
    <col min="1" max="1" width="24.140625" style="936" customWidth="1"/>
    <col min="2" max="2" width="23.85546875" style="936" customWidth="1"/>
    <col min="3" max="7" width="16" style="936" customWidth="1"/>
    <col min="8" max="8" width="1.140625" style="936" customWidth="1"/>
    <col min="9" max="11" width="13.85546875" style="936" customWidth="1"/>
    <col min="12" max="12" width="1" style="936" customWidth="1"/>
    <col min="13" max="13" width="13.7109375" style="936" customWidth="1"/>
    <col min="14" max="14" width="0.85546875" style="936" customWidth="1"/>
    <col min="15" max="15" width="15.140625" style="936" customWidth="1"/>
    <col min="16" max="16" width="1" style="936" customWidth="1"/>
    <col min="17" max="17" width="11.42578125" style="936" customWidth="1"/>
    <col min="18" max="18" width="13.140625" style="936" customWidth="1"/>
    <col min="19" max="19" width="1.140625" style="207" customWidth="1"/>
    <col min="20" max="16384" width="9.140625" style="207"/>
  </cols>
  <sheetData>
    <row r="1" spans="1:18" ht="12" customHeight="1">
      <c r="A1" s="934" t="s">
        <v>410</v>
      </c>
      <c r="B1" s="935"/>
      <c r="C1" s="935"/>
      <c r="D1" s="935"/>
      <c r="E1" s="935"/>
      <c r="F1" s="935"/>
      <c r="G1" s="935"/>
      <c r="H1" s="935"/>
      <c r="I1" s="935"/>
      <c r="J1" s="935"/>
    </row>
    <row r="2" spans="1:18" ht="12" customHeight="1">
      <c r="A2" s="934" t="s">
        <v>650</v>
      </c>
      <c r="B2" s="935"/>
      <c r="C2" s="937" t="s">
        <v>651</v>
      </c>
      <c r="D2" s="935"/>
      <c r="F2" s="935"/>
      <c r="G2" s="935"/>
      <c r="H2" s="935"/>
      <c r="I2" s="935"/>
      <c r="J2" s="935"/>
    </row>
    <row r="3" spans="1:18" ht="12" customHeight="1">
      <c r="A3" s="938" t="s">
        <v>594</v>
      </c>
      <c r="B3" s="935"/>
      <c r="C3" s="935"/>
      <c r="D3" s="935"/>
      <c r="E3" s="935"/>
      <c r="F3" s="935"/>
      <c r="G3" s="935"/>
      <c r="H3" s="935"/>
      <c r="I3" s="935"/>
      <c r="J3" s="935"/>
      <c r="Q3" s="939">
        <f>O136</f>
        <v>161.60751759874984</v>
      </c>
      <c r="R3" s="940" t="s">
        <v>1300</v>
      </c>
    </row>
    <row r="4" spans="1:18" ht="12" customHeight="1">
      <c r="B4" s="935"/>
      <c r="C4" s="935"/>
      <c r="D4" s="935"/>
      <c r="E4" s="935"/>
      <c r="F4" s="935"/>
      <c r="G4" s="935"/>
      <c r="H4" s="935"/>
      <c r="I4" s="935"/>
      <c r="J4" s="935"/>
    </row>
    <row r="5" spans="1:18" ht="14.25" customHeight="1">
      <c r="A5" s="941"/>
      <c r="B5" s="942"/>
      <c r="C5" s="943" t="s">
        <v>652</v>
      </c>
      <c r="D5" s="943" t="s">
        <v>653</v>
      </c>
      <c r="E5" s="944" t="s">
        <v>652</v>
      </c>
      <c r="F5" s="944" t="s">
        <v>653</v>
      </c>
      <c r="G5" s="944" t="s">
        <v>20</v>
      </c>
      <c r="H5" s="935"/>
      <c r="I5" s="945" t="s">
        <v>652</v>
      </c>
      <c r="J5" s="945" t="s">
        <v>653</v>
      </c>
      <c r="K5" s="946" t="s">
        <v>1296</v>
      </c>
      <c r="M5" s="947" t="s">
        <v>1145</v>
      </c>
      <c r="N5" s="948"/>
      <c r="O5" s="1312" t="s">
        <v>1149</v>
      </c>
      <c r="P5" s="948"/>
      <c r="Q5" s="1313" t="s">
        <v>1147</v>
      </c>
      <c r="R5" s="1313"/>
    </row>
    <row r="6" spans="1:18" ht="14.25" customHeight="1">
      <c r="A6" s="949" t="s">
        <v>654</v>
      </c>
      <c r="B6" s="942" t="s">
        <v>655</v>
      </c>
      <c r="C6" s="943" t="s">
        <v>656</v>
      </c>
      <c r="D6" s="943" t="s">
        <v>656</v>
      </c>
      <c r="E6" s="944" t="s">
        <v>84</v>
      </c>
      <c r="F6" s="944" t="s">
        <v>84</v>
      </c>
      <c r="G6" s="944" t="s">
        <v>84</v>
      </c>
      <c r="H6" s="935"/>
      <c r="I6" s="945" t="s">
        <v>657</v>
      </c>
      <c r="J6" s="945" t="s">
        <v>657</v>
      </c>
      <c r="K6" s="946" t="s">
        <v>1297</v>
      </c>
      <c r="M6" s="950">
        <f>'LG G-48'!J6+M7</f>
        <v>0.15045444516958695</v>
      </c>
      <c r="N6" s="951"/>
      <c r="O6" s="1312"/>
      <c r="P6" s="951"/>
      <c r="Q6" s="947" t="s">
        <v>656</v>
      </c>
      <c r="R6" s="947" t="s">
        <v>1148</v>
      </c>
    </row>
    <row r="7" spans="1:18" ht="13.5" customHeight="1">
      <c r="L7" s="952" t="s">
        <v>1295</v>
      </c>
      <c r="M7" s="953">
        <v>2.35E-2</v>
      </c>
      <c r="N7" s="954"/>
      <c r="O7" s="955"/>
      <c r="P7" s="954"/>
      <c r="Q7" s="954"/>
      <c r="R7" s="954"/>
    </row>
    <row r="8" spans="1:18" s="402" customFormat="1" ht="6.75" customHeight="1">
      <c r="A8" s="935"/>
      <c r="B8" s="935"/>
      <c r="C8" s="935"/>
      <c r="D8" s="935"/>
      <c r="E8" s="935"/>
      <c r="F8" s="935"/>
      <c r="G8" s="935"/>
      <c r="H8" s="935"/>
      <c r="I8" s="935"/>
      <c r="J8" s="935"/>
      <c r="K8" s="936"/>
      <c r="L8" s="935"/>
      <c r="M8" s="956"/>
      <c r="N8" s="956"/>
      <c r="O8" s="957"/>
      <c r="P8" s="956"/>
      <c r="Q8" s="956"/>
      <c r="R8" s="956"/>
    </row>
    <row r="9" spans="1:18" s="402" customFormat="1" ht="12" customHeight="1">
      <c r="A9" s="958" t="s">
        <v>658</v>
      </c>
      <c r="B9" s="958" t="s">
        <v>658</v>
      </c>
      <c r="C9" s="958"/>
      <c r="D9" s="959"/>
      <c r="E9" s="959"/>
      <c r="F9" s="935"/>
      <c r="G9" s="935"/>
      <c r="H9" s="935"/>
      <c r="I9" s="935"/>
      <c r="J9" s="935"/>
      <c r="K9" s="936"/>
      <c r="L9" s="935"/>
      <c r="M9" s="956"/>
      <c r="N9" s="956"/>
      <c r="O9" s="957"/>
      <c r="P9" s="956"/>
      <c r="Q9" s="956"/>
      <c r="R9" s="956"/>
    </row>
    <row r="10" spans="1:18" s="402" customFormat="1" ht="6.75" customHeight="1">
      <c r="A10" s="958"/>
      <c r="B10" s="958"/>
      <c r="C10" s="958"/>
      <c r="D10" s="959"/>
      <c r="E10" s="959"/>
      <c r="F10" s="935"/>
      <c r="G10" s="935"/>
      <c r="H10" s="935"/>
      <c r="I10" s="935"/>
      <c r="J10" s="935"/>
      <c r="K10" s="936"/>
      <c r="L10" s="935"/>
      <c r="M10" s="956"/>
      <c r="N10" s="956"/>
      <c r="O10" s="957"/>
      <c r="P10" s="956"/>
      <c r="Q10" s="956"/>
      <c r="R10" s="956"/>
    </row>
    <row r="11" spans="1:18" s="402" customFormat="1" ht="12" customHeight="1">
      <c r="A11" s="960" t="s">
        <v>659</v>
      </c>
      <c r="B11" s="960" t="s">
        <v>659</v>
      </c>
      <c r="C11" s="960"/>
      <c r="D11" s="961"/>
      <c r="E11" s="962"/>
      <c r="F11" s="962"/>
      <c r="G11" s="963"/>
      <c r="H11" s="935"/>
      <c r="I11" s="962"/>
      <c r="J11" s="962"/>
      <c r="K11" s="936"/>
      <c r="L11" s="935"/>
      <c r="M11" s="956"/>
      <c r="N11" s="956"/>
      <c r="O11" s="957"/>
      <c r="P11" s="956"/>
      <c r="Q11" s="956"/>
      <c r="R11" s="956"/>
    </row>
    <row r="12" spans="1:18" s="402" customFormat="1" ht="12" customHeight="1">
      <c r="A12" s="964" t="s">
        <v>660</v>
      </c>
      <c r="B12" s="965" t="s">
        <v>661</v>
      </c>
      <c r="C12" s="966">
        <f>IFERROR(VLOOKUP(A12,'[46]G-48 Rate Jan-Apr '!$F$4:$H$710,3,FALSE),0)</f>
        <v>16.84</v>
      </c>
      <c r="D12" s="961">
        <f>'Rate Schedule G-48'!B54</f>
        <v>16.88</v>
      </c>
      <c r="E12" s="962">
        <f>IFERROR(VLOOKUP(A12,'[46]G-48 Rev Jan-Apr'!$D$5:$E$117,2,FALSE),0)</f>
        <v>261.02</v>
      </c>
      <c r="F12" s="962">
        <f>IFERROR(VLOOKUP(A12,'[46]G-48 Rev May-Dec'!$D$5:$E$127,2,FALSE),0)</f>
        <v>443.1</v>
      </c>
      <c r="G12" s="962">
        <f>SUM(E12:F12)</f>
        <v>704.12</v>
      </c>
      <c r="H12" s="935"/>
      <c r="I12" s="962">
        <f>IFERROR(E12/($C12),0)/4</f>
        <v>3.8749999999999996</v>
      </c>
      <c r="J12" s="962">
        <f>IFERROR(F12/($D12),0)/8</f>
        <v>3.2812500000000004</v>
      </c>
      <c r="K12" s="967">
        <f t="shared" ref="K12:K21" si="0">IFERROR(AVERAGEIF(I12:J12,"&lt;&gt;0"),0)</f>
        <v>3.578125</v>
      </c>
      <c r="L12" s="935"/>
      <c r="M12" s="968">
        <f>$M$6*D12</f>
        <v>2.5396710344626277</v>
      </c>
      <c r="N12" s="956"/>
      <c r="O12" s="957">
        <f>K12*SUM(M12:M12)*12</f>
        <v>109.04712504223909</v>
      </c>
      <c r="P12" s="956"/>
      <c r="Q12" s="963">
        <f>ROUND((+D12+SUM(M12:M12)),2)</f>
        <v>19.420000000000002</v>
      </c>
      <c r="R12" s="969">
        <f>G12+O12</f>
        <v>813.16712504223915</v>
      </c>
    </row>
    <row r="13" spans="1:18" s="402" customFormat="1" ht="12" customHeight="1">
      <c r="A13" s="964" t="s">
        <v>662</v>
      </c>
      <c r="B13" s="965" t="s">
        <v>663</v>
      </c>
      <c r="C13" s="966">
        <f>IFERROR(VLOOKUP(A13,'[46]G-48 Rate Jan-Apr '!$F$4:$H$710,3,FALSE),0)</f>
        <v>19.47</v>
      </c>
      <c r="D13" s="961">
        <f>'Rate Schedule G-48'!B57</f>
        <v>19.54</v>
      </c>
      <c r="E13" s="962">
        <f>IFERROR(VLOOKUP(A13,'[46]G-48 Rev Jan-Apr'!$D$5:$E$117,2,FALSE),0)-425</f>
        <v>75482.52</v>
      </c>
      <c r="F13" s="962">
        <f>IFERROR(VLOOKUP(A13,'[46]G-48 Rev May-Dec'!$D$5:$E$127,2,FALSE),0)-599</f>
        <v>160549.45000000001</v>
      </c>
      <c r="G13" s="962">
        <f t="shared" ref="G13:G32" si="1">SUM(E13:F13)</f>
        <v>236031.97000000003</v>
      </c>
      <c r="H13" s="935"/>
      <c r="I13" s="962">
        <f t="shared" ref="I13:I21" si="2">IFERROR(E13/($C13),0)/4</f>
        <v>969.21571648690303</v>
      </c>
      <c r="J13" s="962">
        <f t="shared" ref="J13:J21" si="3">IFERROR(F13/($D13),0)/8</f>
        <v>1027.0563587512795</v>
      </c>
      <c r="K13" s="967">
        <f t="shared" si="0"/>
        <v>998.13603761909121</v>
      </c>
      <c r="L13" s="935"/>
      <c r="M13" s="968">
        <f t="shared" ref="M13:M33" si="4">$M$6*D13</f>
        <v>2.9398798586137289</v>
      </c>
      <c r="N13" s="956"/>
      <c r="O13" s="957">
        <f t="shared" ref="O13:O33" si="5">K13*SUM(M13:M13)*12</f>
        <v>35212.800397834581</v>
      </c>
      <c r="P13" s="956"/>
      <c r="Q13" s="963">
        <f t="shared" ref="Q13:Q33" si="6">ROUND((+D13+SUM(M13:M13)),2)</f>
        <v>22.48</v>
      </c>
      <c r="R13" s="969">
        <f t="shared" ref="R13:R33" si="7">G13+O13</f>
        <v>271244.7703978346</v>
      </c>
    </row>
    <row r="14" spans="1:18" s="402" customFormat="1" ht="12" customHeight="1">
      <c r="A14" s="964" t="s">
        <v>664</v>
      </c>
      <c r="B14" s="965" t="s">
        <v>665</v>
      </c>
      <c r="C14" s="966">
        <f>IFERROR(VLOOKUP(A14,'[46]G-48 Rate Jan-Apr '!$F$4:$H$710,3,FALSE),0)</f>
        <v>26.67</v>
      </c>
      <c r="D14" s="961">
        <f>'Rate Schedule G-48'!B58</f>
        <v>26.77</v>
      </c>
      <c r="E14" s="962">
        <f>IFERROR(VLOOKUP(A14,'[46]G-48 Rev Jan-Apr'!$D$5:$E$117,2,FALSE),0)</f>
        <v>35924.199999999997</v>
      </c>
      <c r="F14" s="962">
        <f>IFERROR(VLOOKUP(A14,'[46]G-48 Rev May-Dec'!$D$5:$E$127,2,FALSE),0)</f>
        <v>74098.399999999994</v>
      </c>
      <c r="G14" s="962">
        <f t="shared" si="1"/>
        <v>110022.59999999999</v>
      </c>
      <c r="H14" s="935"/>
      <c r="I14" s="962">
        <f t="shared" si="2"/>
        <v>336.74728158980122</v>
      </c>
      <c r="J14" s="962">
        <f t="shared" si="3"/>
        <v>345.9955173701905</v>
      </c>
      <c r="K14" s="967">
        <f t="shared" si="0"/>
        <v>341.37139947999583</v>
      </c>
      <c r="L14" s="935"/>
      <c r="M14" s="968">
        <f t="shared" si="4"/>
        <v>4.0276654971898429</v>
      </c>
      <c r="N14" s="956"/>
      <c r="O14" s="957">
        <f t="shared" si="5"/>
        <v>16499.157688955878</v>
      </c>
      <c r="P14" s="956"/>
      <c r="Q14" s="963">
        <f t="shared" si="6"/>
        <v>30.8</v>
      </c>
      <c r="R14" s="969">
        <f t="shared" si="7"/>
        <v>126521.75768895587</v>
      </c>
    </row>
    <row r="15" spans="1:18" s="402" customFormat="1" ht="12" customHeight="1">
      <c r="A15" s="964" t="s">
        <v>666</v>
      </c>
      <c r="B15" s="965" t="s">
        <v>667</v>
      </c>
      <c r="C15" s="966">
        <f>IFERROR(VLOOKUP(A15,'[46]G-48 Rate Jan-Apr '!$F$4:$H$710,3,FALSE),0)</f>
        <v>34.729999999999997</v>
      </c>
      <c r="D15" s="961">
        <f>'Rate Schedule G-48'!B59</f>
        <v>34.880000000000003</v>
      </c>
      <c r="E15" s="962">
        <f>IFERROR(VLOOKUP(A15,'[46]G-48 Rev Jan-Apr'!$D$5:$E$117,2,FALSE),0)</f>
        <v>5322.09</v>
      </c>
      <c r="F15" s="962">
        <f>IFERROR(VLOOKUP(A15,'[46]G-48 Rev May-Dec'!$D$5:$E$127,2,FALSE),0)</f>
        <v>10714.890000000001</v>
      </c>
      <c r="G15" s="962">
        <f t="shared" si="1"/>
        <v>16036.980000000001</v>
      </c>
      <c r="H15" s="935"/>
      <c r="I15" s="962">
        <f t="shared" si="2"/>
        <v>38.310466455513968</v>
      </c>
      <c r="J15" s="962">
        <f t="shared" si="3"/>
        <v>38.399118405963307</v>
      </c>
      <c r="K15" s="967">
        <f t="shared" si="0"/>
        <v>38.354792430738641</v>
      </c>
      <c r="L15" s="935"/>
      <c r="M15" s="968">
        <f t="shared" si="4"/>
        <v>5.2478510475151934</v>
      </c>
      <c r="N15" s="956"/>
      <c r="O15" s="957">
        <f t="shared" si="5"/>
        <v>2415.3628516185554</v>
      </c>
      <c r="P15" s="956"/>
      <c r="Q15" s="963">
        <f t="shared" si="6"/>
        <v>40.130000000000003</v>
      </c>
      <c r="R15" s="969">
        <f t="shared" si="7"/>
        <v>18452.342851618556</v>
      </c>
    </row>
    <row r="16" spans="1:18" s="402" customFormat="1" ht="12" customHeight="1">
      <c r="A16" s="964" t="s">
        <v>668</v>
      </c>
      <c r="B16" s="965" t="s">
        <v>669</v>
      </c>
      <c r="C16" s="966">
        <f>IFERROR(VLOOKUP(A16,'[46]G-48 Rate Jan-Apr '!$F$4:$H$710,3,FALSE),0)</f>
        <v>42.27</v>
      </c>
      <c r="D16" s="961">
        <f>'Rate Schedule G-48'!B60</f>
        <v>42.46</v>
      </c>
      <c r="E16" s="962">
        <f>IFERROR(VLOOKUP(A16,'[46]G-48 Rev Jan-Apr'!$D$5:$E$117,2,FALSE),0)</f>
        <v>1521.7200000000003</v>
      </c>
      <c r="F16" s="962">
        <f>IFERROR(VLOOKUP(A16,'[46]G-48 Rev May-Dec'!$D$5:$E$127,2,FALSE),0)</f>
        <v>3290.65</v>
      </c>
      <c r="G16" s="962">
        <f>SUM(E16:F16)</f>
        <v>4812.3700000000008</v>
      </c>
      <c r="H16" s="935"/>
      <c r="I16" s="962">
        <f t="shared" si="2"/>
        <v>9</v>
      </c>
      <c r="J16" s="962">
        <f t="shared" si="3"/>
        <v>9.6875</v>
      </c>
      <c r="K16" s="967">
        <f t="shared" si="0"/>
        <v>9.34375</v>
      </c>
      <c r="L16" s="935"/>
      <c r="M16" s="968">
        <f>$M$6*D16</f>
        <v>6.3882957419006621</v>
      </c>
      <c r="N16" s="956"/>
      <c r="O16" s="957">
        <f t="shared" si="5"/>
        <v>716.28766006061176</v>
      </c>
      <c r="P16" s="956"/>
      <c r="Q16" s="963">
        <f t="shared" si="6"/>
        <v>48.85</v>
      </c>
      <c r="R16" s="969">
        <f t="shared" si="7"/>
        <v>5528.6576600606122</v>
      </c>
    </row>
    <row r="17" spans="1:18" s="402" customFormat="1" ht="12" customHeight="1">
      <c r="A17" s="964" t="s">
        <v>670</v>
      </c>
      <c r="B17" s="965" t="s">
        <v>671</v>
      </c>
      <c r="C17" s="966">
        <f>IFERROR(VLOOKUP(A17,'[46]G-48 Rate Jan-Apr '!$F$4:$H$710,3,FALSE),0)</f>
        <v>60.8</v>
      </c>
      <c r="D17" s="961">
        <f>'Rate Schedule G-48'!B62</f>
        <v>61.1</v>
      </c>
      <c r="E17" s="962">
        <f>IFERROR(VLOOKUP(A17,'[46]G-48 Rev Jan-Apr'!$D$5:$E$117,2,FALSE),0)</f>
        <v>243.2</v>
      </c>
      <c r="F17" s="962">
        <f>IFERROR(VLOOKUP(A17,'[46]G-48 Rev May-Dec'!$D$5:$E$127,2,FALSE),0)</f>
        <v>488.8</v>
      </c>
      <c r="G17" s="962">
        <f t="shared" si="1"/>
        <v>732</v>
      </c>
      <c r="H17" s="935"/>
      <c r="I17" s="962">
        <f t="shared" si="2"/>
        <v>1</v>
      </c>
      <c r="J17" s="962">
        <f t="shared" si="3"/>
        <v>1</v>
      </c>
      <c r="K17" s="967">
        <f t="shared" si="0"/>
        <v>1</v>
      </c>
      <c r="L17" s="935"/>
      <c r="M17" s="968">
        <f t="shared" si="4"/>
        <v>9.1927665998617627</v>
      </c>
      <c r="N17" s="956"/>
      <c r="O17" s="957">
        <f t="shared" si="5"/>
        <v>110.31319919834115</v>
      </c>
      <c r="P17" s="956"/>
      <c r="Q17" s="963">
        <f t="shared" si="6"/>
        <v>70.290000000000006</v>
      </c>
      <c r="R17" s="969">
        <f t="shared" si="7"/>
        <v>842.31319919834118</v>
      </c>
    </row>
    <row r="18" spans="1:18" s="402" customFormat="1" ht="12" customHeight="1">
      <c r="A18" s="964" t="s">
        <v>672</v>
      </c>
      <c r="B18" s="965" t="s">
        <v>673</v>
      </c>
      <c r="C18" s="966">
        <f>IFERROR(VLOOKUP(A18,'[46]G-48 Rate Jan-Apr '!$F$4:$H$710,3,FALSE),0)</f>
        <v>12.33</v>
      </c>
      <c r="D18" s="961">
        <f>'Rate Schedule G-48'!B56</f>
        <v>12.36</v>
      </c>
      <c r="E18" s="962">
        <f>IFERROR(VLOOKUP(A18,'[46]G-48 Rev Jan-Apr'!$D$5:$E$117,2,FALSE),0)</f>
        <v>6247.24</v>
      </c>
      <c r="F18" s="962">
        <f>IFERROR(VLOOKUP(A18,'[46]G-48 Rev May-Dec'!$D$5:$E$127,2,FALSE),0)</f>
        <v>12638.07</v>
      </c>
      <c r="G18" s="962">
        <f t="shared" si="1"/>
        <v>18885.309999999998</v>
      </c>
      <c r="H18" s="935"/>
      <c r="I18" s="962">
        <f t="shared" si="2"/>
        <v>126.66747769667477</v>
      </c>
      <c r="J18" s="962">
        <f t="shared" si="3"/>
        <v>127.81219660194175</v>
      </c>
      <c r="K18" s="967">
        <f t="shared" si="0"/>
        <v>127.23983714930826</v>
      </c>
      <c r="L18" s="935"/>
      <c r="M18" s="968">
        <f t="shared" si="4"/>
        <v>1.8596169422960946</v>
      </c>
      <c r="N18" s="956"/>
      <c r="O18" s="957">
        <f t="shared" si="5"/>
        <v>2839.4082827741959</v>
      </c>
      <c r="P18" s="956"/>
      <c r="Q18" s="963">
        <f t="shared" si="6"/>
        <v>14.22</v>
      </c>
      <c r="R18" s="969">
        <f t="shared" si="7"/>
        <v>21724.718282774193</v>
      </c>
    </row>
    <row r="19" spans="1:18" s="402" customFormat="1" ht="12" customHeight="1">
      <c r="A19" s="964" t="s">
        <v>674</v>
      </c>
      <c r="B19" s="965" t="s">
        <v>675</v>
      </c>
      <c r="C19" s="966">
        <f>IFERROR(VLOOKUP(A19,'[46]G-48 Rate Jan-Apr '!$F$4:$H$710,3,FALSE),0)</f>
        <v>6.16</v>
      </c>
      <c r="D19" s="961">
        <f>'Rate Schedule G-48'!B55</f>
        <v>6.18</v>
      </c>
      <c r="E19" s="962">
        <f>IFERROR(VLOOKUP(A19,'[46]G-48 Rev Jan-Apr'!$D$5:$E$117,2,FALSE),0)</f>
        <v>720.72</v>
      </c>
      <c r="F19" s="962">
        <f>IFERROR(VLOOKUP(A19,'[46]G-48 Rev May-Dec'!$D$5:$E$127,2,FALSE),0)</f>
        <v>1507.92</v>
      </c>
      <c r="G19" s="962">
        <f t="shared" si="1"/>
        <v>2228.6400000000003</v>
      </c>
      <c r="H19" s="935"/>
      <c r="I19" s="962">
        <f t="shared" si="2"/>
        <v>29.25</v>
      </c>
      <c r="J19" s="962">
        <f t="shared" si="3"/>
        <v>30.500000000000004</v>
      </c>
      <c r="K19" s="967">
        <f t="shared" si="0"/>
        <v>29.875</v>
      </c>
      <c r="L19" s="935"/>
      <c r="M19" s="968">
        <f t="shared" si="4"/>
        <v>0.92980847114804732</v>
      </c>
      <c r="N19" s="935"/>
      <c r="O19" s="957">
        <f t="shared" si="5"/>
        <v>333.33633690657496</v>
      </c>
      <c r="P19" s="935"/>
      <c r="Q19" s="963">
        <f t="shared" si="6"/>
        <v>7.11</v>
      </c>
      <c r="R19" s="969">
        <f t="shared" si="7"/>
        <v>2561.9763369065754</v>
      </c>
    </row>
    <row r="20" spans="1:18" s="402" customFormat="1" ht="12" customHeight="1">
      <c r="A20" s="964" t="s">
        <v>676</v>
      </c>
      <c r="B20" s="965" t="s">
        <v>677</v>
      </c>
      <c r="C20" s="966">
        <f>IFERROR(VLOOKUP(A20,'[46]G-48 Rate Jan-Apr '!$F$4:$H$710,3,FALSE),0)</f>
        <v>31.52</v>
      </c>
      <c r="D20" s="961">
        <f>'Rate Schedule G-48'!B64</f>
        <v>31.61</v>
      </c>
      <c r="E20" s="962">
        <f>IFERROR(VLOOKUP(A20,'[46]G-48 Rev Jan-Apr'!$D$5:$E$117,2,FALSE),0)</f>
        <v>9544.26</v>
      </c>
      <c r="F20" s="962">
        <f>IFERROR(VLOOKUP(A20,'[46]G-48 Rev May-Dec'!$D$5:$E$127,2,FALSE),0)</f>
        <v>17863.7</v>
      </c>
      <c r="G20" s="962">
        <f>SUM(E20:F20)</f>
        <v>27407.96</v>
      </c>
      <c r="H20" s="935"/>
      <c r="I20" s="962">
        <f t="shared" si="2"/>
        <v>75.700031725888323</v>
      </c>
      <c r="J20" s="962">
        <f t="shared" si="3"/>
        <v>70.64101550142361</v>
      </c>
      <c r="K20" s="967">
        <f t="shared" si="0"/>
        <v>73.170523613655973</v>
      </c>
      <c r="L20" s="935"/>
      <c r="M20" s="968">
        <f t="shared" si="4"/>
        <v>4.7558650118106431</v>
      </c>
      <c r="N20" s="935"/>
      <c r="O20" s="957">
        <f t="shared" si="5"/>
        <v>4175.8695978006108</v>
      </c>
      <c r="P20" s="935"/>
      <c r="Q20" s="963">
        <f t="shared" si="6"/>
        <v>36.369999999999997</v>
      </c>
      <c r="R20" s="969">
        <f t="shared" si="7"/>
        <v>31583.82959780061</v>
      </c>
    </row>
    <row r="21" spans="1:18" s="402" customFormat="1" ht="12" customHeight="1">
      <c r="A21" s="964" t="s">
        <v>678</v>
      </c>
      <c r="B21" s="965" t="s">
        <v>679</v>
      </c>
      <c r="C21" s="966">
        <f>IFERROR(VLOOKUP(A21,'[46]G-48 Rate Jan-Apr '!$F$4:$H$710,3,FALSE),0)</f>
        <v>39.35</v>
      </c>
      <c r="D21" s="961">
        <f>'Rate Schedule G-48'!B66</f>
        <v>39.44</v>
      </c>
      <c r="E21" s="962">
        <f>IFERROR(VLOOKUP(A21,'[46]G-48 Rev Jan-Apr'!$D$5:$E$117,2,FALSE),0)+115</f>
        <v>1197.1300000000001</v>
      </c>
      <c r="F21" s="962">
        <f>IFERROR(VLOOKUP(A21,'[46]G-48 Rev May-Dec'!$D$5:$E$127,2,FALSE),0)+65</f>
        <v>2273.64</v>
      </c>
      <c r="G21" s="962">
        <f t="shared" si="1"/>
        <v>3470.77</v>
      </c>
      <c r="H21" s="935"/>
      <c r="I21" s="962">
        <f t="shared" si="2"/>
        <v>7.6056543837357058</v>
      </c>
      <c r="J21" s="962">
        <f t="shared" si="3"/>
        <v>7.2060091277890468</v>
      </c>
      <c r="K21" s="967">
        <f t="shared" si="0"/>
        <v>7.4058317557623763</v>
      </c>
      <c r="L21" s="935"/>
      <c r="M21" s="968">
        <f t="shared" si="4"/>
        <v>5.9339233174885093</v>
      </c>
      <c r="N21" s="935"/>
      <c r="O21" s="957">
        <f t="shared" si="5"/>
        <v>527.34765289098277</v>
      </c>
      <c r="P21" s="935"/>
      <c r="Q21" s="963">
        <f t="shared" si="6"/>
        <v>45.37</v>
      </c>
      <c r="R21" s="969">
        <f t="shared" si="7"/>
        <v>3998.1176528909828</v>
      </c>
    </row>
    <row r="22" spans="1:18" s="402" customFormat="1" ht="12" customHeight="1">
      <c r="A22" s="964" t="s">
        <v>680</v>
      </c>
      <c r="B22" s="965" t="s">
        <v>681</v>
      </c>
      <c r="C22" s="966">
        <f>IFERROR(VLOOKUP(A22,'[46]G-48 Rate Jan-Apr '!$F$4:$H$710,3,FALSE),0)</f>
        <v>6.16</v>
      </c>
      <c r="D22" s="961">
        <f>'Rate Schedule G-48'!B55</f>
        <v>6.18</v>
      </c>
      <c r="E22" s="962">
        <f>IFERROR(VLOOKUP(A22,'[46]G-48 Rev Jan-Apr'!$D$5:$E$117,2,FALSE),0)</f>
        <v>868.54000000000008</v>
      </c>
      <c r="F22" s="962">
        <f>IFERROR(VLOOKUP(A22,'[46]G-48 Rev May-Dec'!$D$5:$E$127,2,FALSE),0)</f>
        <v>2013.6</v>
      </c>
      <c r="G22" s="962">
        <f t="shared" si="1"/>
        <v>2882.14</v>
      </c>
      <c r="H22" s="935"/>
      <c r="I22" s="962">
        <f t="shared" ref="I22:I33" si="8">IFERROR(E22/($C22),0)/4</f>
        <v>35.249188311688314</v>
      </c>
      <c r="J22" s="962">
        <f t="shared" ref="J22:J33" si="9">IFERROR(F22/($D22),0)/8</f>
        <v>40.728155339805824</v>
      </c>
      <c r="K22" s="967">
        <f t="shared" ref="K22:K33" si="10">IFERROR(AVERAGEIF(I22:J22,"&lt;&gt;0"),0)</f>
        <v>37.988671825747069</v>
      </c>
      <c r="L22" s="935"/>
      <c r="M22" s="968">
        <f t="shared" si="4"/>
        <v>0.92980847114804732</v>
      </c>
      <c r="N22" s="935"/>
      <c r="O22" s="957">
        <f t="shared" si="5"/>
        <v>423.86626645491333</v>
      </c>
      <c r="P22" s="935"/>
      <c r="Q22" s="963">
        <f t="shared" si="6"/>
        <v>7.11</v>
      </c>
      <c r="R22" s="969">
        <f t="shared" si="7"/>
        <v>3306.0062664549132</v>
      </c>
    </row>
    <row r="23" spans="1:18" s="402" customFormat="1" ht="12" customHeight="1">
      <c r="A23" s="964" t="s">
        <v>682</v>
      </c>
      <c r="B23" s="965" t="s">
        <v>683</v>
      </c>
      <c r="C23" s="966">
        <f>IFERROR(VLOOKUP(A23,'[46]G-48 Rate Jan-Apr '!$F$4:$H$710,3,FALSE),0)</f>
        <v>4.5199999999999996</v>
      </c>
      <c r="D23" s="961">
        <f>'Rate Schedule G-48'!B72</f>
        <v>4.54</v>
      </c>
      <c r="E23" s="962">
        <f>IFERROR(VLOOKUP(A23,'[46]G-48 Rev Jan-Apr'!$D$5:$E$117,2,FALSE),0)</f>
        <v>4742.93</v>
      </c>
      <c r="F23" s="962">
        <f>IFERROR(VLOOKUP(A23,'[46]G-48 Rev May-Dec'!$D$5:$E$127,2,FALSE),0)</f>
        <v>20817.530000000002</v>
      </c>
      <c r="G23" s="962">
        <f t="shared" si="1"/>
        <v>25560.460000000003</v>
      </c>
      <c r="H23" s="935"/>
      <c r="I23" s="962">
        <f t="shared" si="8"/>
        <v>262.33019911504431</v>
      </c>
      <c r="J23" s="962">
        <f t="shared" si="9"/>
        <v>573.16987885462561</v>
      </c>
      <c r="K23" s="967">
        <f t="shared" si="10"/>
        <v>417.75003898483499</v>
      </c>
      <c r="L23" s="935"/>
      <c r="M23" s="968">
        <f t="shared" si="4"/>
        <v>0.6830631810699247</v>
      </c>
      <c r="N23" s="935"/>
      <c r="O23" s="957">
        <f t="shared" si="5"/>
        <v>3424.1960462527977</v>
      </c>
      <c r="P23" s="935"/>
      <c r="Q23" s="963">
        <f t="shared" si="6"/>
        <v>5.22</v>
      </c>
      <c r="R23" s="969">
        <f t="shared" si="7"/>
        <v>28984.6560462528</v>
      </c>
    </row>
    <row r="24" spans="1:18" s="402" customFormat="1" ht="12" customHeight="1">
      <c r="A24" s="964" t="s">
        <v>684</v>
      </c>
      <c r="B24" s="965" t="s">
        <v>685</v>
      </c>
      <c r="C24" s="966">
        <f>IFERROR(VLOOKUP(A24,'[46]G-48 Rate Jan-Apr '!$F$4:$H$710,3,FALSE),0)</f>
        <v>4.32</v>
      </c>
      <c r="D24" s="961">
        <f>'Rate Schedule G-48'!B15</f>
        <v>4.34</v>
      </c>
      <c r="E24" s="962">
        <f>IFERROR(VLOOKUP(A24,'[46]G-48 Rev Jan-Apr'!$D$5:$E$117,2,FALSE),0)</f>
        <v>8.43</v>
      </c>
      <c r="F24" s="962">
        <f>IFERROR(VLOOKUP(A24,'[46]G-48 Rev May-Dec'!$D$5:$E$127,2,FALSE),0)</f>
        <v>0</v>
      </c>
      <c r="G24" s="962">
        <f>SUM(E24:F24)</f>
        <v>8.43</v>
      </c>
      <c r="H24" s="935"/>
      <c r="I24" s="962">
        <f t="shared" si="8"/>
        <v>0.48784722222222215</v>
      </c>
      <c r="J24" s="962">
        <f t="shared" si="9"/>
        <v>0</v>
      </c>
      <c r="K24" s="967">
        <f t="shared" si="10"/>
        <v>0.48784722222222215</v>
      </c>
      <c r="L24" s="935"/>
      <c r="M24" s="968">
        <f t="shared" si="4"/>
        <v>0.65297229203600737</v>
      </c>
      <c r="N24" s="935"/>
      <c r="O24" s="957">
        <f t="shared" si="5"/>
        <v>3.8226086262941257</v>
      </c>
      <c r="P24" s="935"/>
      <c r="Q24" s="963">
        <f t="shared" si="6"/>
        <v>4.99</v>
      </c>
      <c r="R24" s="969">
        <f t="shared" si="7"/>
        <v>12.252608626294126</v>
      </c>
    </row>
    <row r="25" spans="1:18" s="402" customFormat="1" ht="12" customHeight="1">
      <c r="A25" s="964" t="s">
        <v>686</v>
      </c>
      <c r="B25" s="970" t="s">
        <v>687</v>
      </c>
      <c r="C25" s="966">
        <f>IFERROR(VLOOKUP(A25,'[46]G-48 Rate Jan-Apr '!$F$4:$H$710,3,FALSE),0)</f>
        <v>4.32</v>
      </c>
      <c r="D25" s="961">
        <f>'Rate Schedule G-48'!B15</f>
        <v>4.34</v>
      </c>
      <c r="E25" s="962">
        <f>IFERROR(VLOOKUP(A25,'[46]G-48 Rev Jan-Apr'!$D$5:$E$117,2,FALSE),0)</f>
        <v>59.01</v>
      </c>
      <c r="F25" s="962">
        <f>IFERROR(VLOOKUP(A25,'[46]G-48 Rev May-Dec'!$D$5:$E$127,2,FALSE),0)</f>
        <v>4.5199999999999996</v>
      </c>
      <c r="G25" s="962">
        <f>SUM(E25:F25)</f>
        <v>63.53</v>
      </c>
      <c r="H25" s="935"/>
      <c r="I25" s="962">
        <f t="shared" si="8"/>
        <v>3.4149305555555554</v>
      </c>
      <c r="J25" s="962">
        <f t="shared" si="9"/>
        <v>0.13018433179723501</v>
      </c>
      <c r="K25" s="967">
        <f t="shared" si="10"/>
        <v>1.7725574436763951</v>
      </c>
      <c r="L25" s="935"/>
      <c r="M25" s="968">
        <f t="shared" si="4"/>
        <v>0.65297229203600737</v>
      </c>
      <c r="N25" s="935"/>
      <c r="O25" s="957">
        <f t="shared" si="5"/>
        <v>13.88917076115434</v>
      </c>
      <c r="P25" s="935"/>
      <c r="Q25" s="963">
        <f t="shared" si="6"/>
        <v>4.99</v>
      </c>
      <c r="R25" s="969">
        <f t="shared" si="7"/>
        <v>77.419170761154334</v>
      </c>
    </row>
    <row r="26" spans="1:18" s="402" customFormat="1" ht="12" customHeight="1">
      <c r="A26" s="964" t="s">
        <v>688</v>
      </c>
      <c r="B26" s="970" t="s">
        <v>689</v>
      </c>
      <c r="C26" s="966">
        <f>IFERROR(VLOOKUP(A26,'[46]G-48 Rate Jan-Apr '!$F$4:$H$710,3,FALSE),0)</f>
        <v>88.82</v>
      </c>
      <c r="D26" s="961">
        <f>'Rate Schedule G-48'!B95</f>
        <v>88.82</v>
      </c>
      <c r="E26" s="962">
        <f>IFERROR(VLOOKUP(A26,'[46]G-48 Rev Jan-Apr'!$D$5:$E$117,2,FALSE),0)</f>
        <v>0</v>
      </c>
      <c r="F26" s="962">
        <f>IFERROR(VLOOKUP(A26,'[46]G-48 Rev May-Dec'!$D$5:$E$127,2,FALSE),0)</f>
        <v>85.74</v>
      </c>
      <c r="G26" s="962">
        <f>SUM(E26:F26)</f>
        <v>85.74</v>
      </c>
      <c r="H26" s="935"/>
      <c r="I26" s="962">
        <f t="shared" si="8"/>
        <v>0</v>
      </c>
      <c r="J26" s="962">
        <f t="shared" si="9"/>
        <v>0.12066539067777528</v>
      </c>
      <c r="K26" s="967">
        <f t="shared" si="10"/>
        <v>0.12066539067777528</v>
      </c>
      <c r="L26" s="935"/>
      <c r="M26" s="968">
        <f t="shared" si="4"/>
        <v>13.363363819962712</v>
      </c>
      <c r="N26" s="935"/>
      <c r="O26" s="957">
        <f t="shared" si="5"/>
        <v>19.349946193260578</v>
      </c>
      <c r="P26" s="935"/>
      <c r="Q26" s="963">
        <f t="shared" si="6"/>
        <v>102.18</v>
      </c>
      <c r="R26" s="969">
        <f t="shared" si="7"/>
        <v>105.08994619326057</v>
      </c>
    </row>
    <row r="27" spans="1:18" s="402" customFormat="1" ht="12" customHeight="1">
      <c r="A27" s="964" t="s">
        <v>690</v>
      </c>
      <c r="B27" s="965" t="s">
        <v>691</v>
      </c>
      <c r="C27" s="966">
        <f>IFERROR(VLOOKUP(A27,'[46]G-48 Rate Jan-Apr '!$F$4:$H$710,3,FALSE),0)</f>
        <v>17.68</v>
      </c>
      <c r="D27" s="961">
        <f>'Rate Schedule G-48'!B83</f>
        <v>17.739999999999998</v>
      </c>
      <c r="E27" s="962">
        <f>IFERROR(VLOOKUP(A27,'[46]G-48 Rev Jan-Apr'!$D$5:$E$117,2,FALSE),0)</f>
        <v>35.36</v>
      </c>
      <c r="F27" s="962">
        <f>IFERROR(VLOOKUP(A27,'[46]G-48 Rev May-Dec'!$D$5:$E$127,2,FALSE),0)</f>
        <v>88.699999999999989</v>
      </c>
      <c r="G27" s="962">
        <f t="shared" si="1"/>
        <v>124.05999999999999</v>
      </c>
      <c r="H27" s="935"/>
      <c r="I27" s="962">
        <f t="shared" si="8"/>
        <v>0.5</v>
      </c>
      <c r="J27" s="962">
        <f t="shared" si="9"/>
        <v>0.625</v>
      </c>
      <c r="K27" s="967">
        <f t="shared" si="10"/>
        <v>0.5625</v>
      </c>
      <c r="L27" s="935"/>
      <c r="M27" s="968">
        <f t="shared" si="4"/>
        <v>2.6690618573084723</v>
      </c>
      <c r="N27" s="935"/>
      <c r="O27" s="957">
        <f t="shared" si="5"/>
        <v>18.016167536832185</v>
      </c>
      <c r="P27" s="935"/>
      <c r="Q27" s="963">
        <f t="shared" si="6"/>
        <v>20.41</v>
      </c>
      <c r="R27" s="969">
        <f t="shared" si="7"/>
        <v>142.07616753683217</v>
      </c>
    </row>
    <row r="28" spans="1:18" s="402" customFormat="1" ht="12" customHeight="1">
      <c r="A28" s="964" t="s">
        <v>692</v>
      </c>
      <c r="B28" s="965" t="s">
        <v>693</v>
      </c>
      <c r="C28" s="966">
        <f>IFERROR(VLOOKUP(A28,'[46]G-48 Rate Jan-Apr '!$F$4:$H$710,3,FALSE),0)</f>
        <v>2.71</v>
      </c>
      <c r="D28" s="961">
        <f>'Rate Schedule G-48'!B31</f>
        <v>2.71</v>
      </c>
      <c r="E28" s="962">
        <f>IFERROR(VLOOKUP(A28,'[46]G-48 Rev Jan-Apr'!$D$5:$E$117,2,FALSE),0)</f>
        <v>548.52</v>
      </c>
      <c r="F28" s="962">
        <f>IFERROR(VLOOKUP(A28,'[46]G-48 Rev May-Dec'!$D$5:$E$127,2,FALSE),0)</f>
        <v>1111.24</v>
      </c>
      <c r="G28" s="962">
        <f>SUM(E28:F28)</f>
        <v>1659.76</v>
      </c>
      <c r="H28" s="935"/>
      <c r="I28" s="962">
        <f t="shared" si="8"/>
        <v>50.601476014760145</v>
      </c>
      <c r="J28" s="962">
        <f t="shared" si="9"/>
        <v>51.256457564575648</v>
      </c>
      <c r="K28" s="967">
        <f t="shared" si="10"/>
        <v>50.928966789667896</v>
      </c>
      <c r="L28" s="935"/>
      <c r="M28" s="968">
        <f t="shared" si="4"/>
        <v>0.40773154640958065</v>
      </c>
      <c r="N28" s="935"/>
      <c r="O28" s="957">
        <f t="shared" si="5"/>
        <v>249.1841566343216</v>
      </c>
      <c r="P28" s="935"/>
      <c r="Q28" s="963">
        <f t="shared" si="6"/>
        <v>3.12</v>
      </c>
      <c r="R28" s="969">
        <f t="shared" si="7"/>
        <v>1908.9441566343216</v>
      </c>
    </row>
    <row r="29" spans="1:18" s="402" customFormat="1" ht="12" customHeight="1">
      <c r="A29" s="964" t="s">
        <v>694</v>
      </c>
      <c r="B29" s="965" t="s">
        <v>695</v>
      </c>
      <c r="C29" s="966">
        <f>IFERROR(VLOOKUP(A29,'[46]G-48 Rate Jan-Apr '!$F$4:$H$710,3,FALSE),0)</f>
        <v>2.71</v>
      </c>
      <c r="D29" s="961">
        <f>'Rate Schedule G-48'!B32</f>
        <v>2.71</v>
      </c>
      <c r="E29" s="962">
        <f>IFERROR(VLOOKUP(A29,'[46]G-48 Rev Jan-Apr'!$D$5:$E$117,2,FALSE),0)</f>
        <v>18.399999999999999</v>
      </c>
      <c r="F29" s="962">
        <f>IFERROR(VLOOKUP(A29,'[46]G-48 Rev May-Dec'!$D$5:$E$127,2,FALSE),0)+11</f>
        <v>47.8</v>
      </c>
      <c r="G29" s="962">
        <f>SUM(E29:F29)</f>
        <v>66.199999999999989</v>
      </c>
      <c r="H29" s="935"/>
      <c r="I29" s="962">
        <f t="shared" si="8"/>
        <v>1.6974169741697416</v>
      </c>
      <c r="J29" s="962">
        <f t="shared" si="9"/>
        <v>2.2047970479704797</v>
      </c>
      <c r="K29" s="967">
        <f t="shared" si="10"/>
        <v>1.9511070110701105</v>
      </c>
      <c r="L29" s="935"/>
      <c r="M29" s="968">
        <f t="shared" si="4"/>
        <v>0.40773154640958065</v>
      </c>
      <c r="N29" s="935"/>
      <c r="O29" s="957">
        <f t="shared" si="5"/>
        <v>9.5463345460102911</v>
      </c>
      <c r="P29" s="935"/>
      <c r="Q29" s="963">
        <f t="shared" si="6"/>
        <v>3.12</v>
      </c>
      <c r="R29" s="969">
        <f t="shared" si="7"/>
        <v>75.746334546010274</v>
      </c>
    </row>
    <row r="30" spans="1:18" s="402" customFormat="1" ht="12" customHeight="1">
      <c r="A30" s="964" t="s">
        <v>696</v>
      </c>
      <c r="B30" s="970" t="s">
        <v>697</v>
      </c>
      <c r="C30" s="966">
        <f>IFERROR(VLOOKUP(A30,'[46]G-48 Rate Jan-Apr '!$F$4:$H$710,3,FALSE),0)</f>
        <v>5.41</v>
      </c>
      <c r="D30" s="961">
        <f>'Rate Schedule G-48'!B38</f>
        <v>5.41</v>
      </c>
      <c r="E30" s="962">
        <f>IFERROR(VLOOKUP(A30,'[46]G-48 Rev Jan-Apr'!$D$5:$E$117,2,FALSE),0)</f>
        <v>21.64</v>
      </c>
      <c r="F30" s="962">
        <f>IFERROR(VLOOKUP(A30,'[46]G-48 Rev May-Dec'!$D$5:$E$127,2,FALSE),0)</f>
        <v>5.41</v>
      </c>
      <c r="G30" s="962">
        <f t="shared" si="1"/>
        <v>27.05</v>
      </c>
      <c r="H30" s="935"/>
      <c r="I30" s="962">
        <f t="shared" si="8"/>
        <v>1</v>
      </c>
      <c r="J30" s="962">
        <f t="shared" si="9"/>
        <v>0.125</v>
      </c>
      <c r="K30" s="967">
        <f t="shared" si="10"/>
        <v>0.5625</v>
      </c>
      <c r="L30" s="935"/>
      <c r="M30" s="968">
        <f t="shared" si="4"/>
        <v>0.8139585483674654</v>
      </c>
      <c r="N30" s="935"/>
      <c r="O30" s="957">
        <f t="shared" si="5"/>
        <v>5.4942202014803918</v>
      </c>
      <c r="P30" s="935"/>
      <c r="Q30" s="963">
        <f t="shared" si="6"/>
        <v>6.22</v>
      </c>
      <c r="R30" s="969">
        <f t="shared" si="7"/>
        <v>32.544220201480393</v>
      </c>
    </row>
    <row r="31" spans="1:18" s="402" customFormat="1" ht="12" customHeight="1">
      <c r="A31" s="964" t="s">
        <v>698</v>
      </c>
      <c r="B31" s="970" t="s">
        <v>699</v>
      </c>
      <c r="C31" s="966">
        <f>IFERROR(VLOOKUP(A31,'[46]G-48 Rate Jan-Apr '!$F$4:$H$710,3,FALSE),0)</f>
        <v>5.41</v>
      </c>
      <c r="D31" s="961">
        <f>'Rate Schedule G-48'!B38</f>
        <v>5.41</v>
      </c>
      <c r="E31" s="962">
        <f>IFERROR(VLOOKUP(A31,'[46]G-48 Rev Jan-Apr'!$D$5:$E$117,2,FALSE),0)</f>
        <v>245.08999999999997</v>
      </c>
      <c r="F31" s="962">
        <f>IFERROR(VLOOKUP(A31,'[46]G-48 Rev May-Dec'!$D$5:$E$127,2,FALSE),0)</f>
        <v>344.09999999999991</v>
      </c>
      <c r="G31" s="962">
        <f t="shared" si="1"/>
        <v>589.18999999999983</v>
      </c>
      <c r="H31" s="935"/>
      <c r="I31" s="962">
        <f t="shared" si="8"/>
        <v>11.325785582255081</v>
      </c>
      <c r="J31" s="962">
        <f t="shared" si="9"/>
        <v>7.9505545286506445</v>
      </c>
      <c r="K31" s="967">
        <f t="shared" si="10"/>
        <v>9.6381700554528624</v>
      </c>
      <c r="L31" s="935"/>
      <c r="M31" s="968">
        <f t="shared" si="4"/>
        <v>0.8139585483674654</v>
      </c>
      <c r="N31" s="935"/>
      <c r="O31" s="957">
        <f t="shared" si="5"/>
        <v>94.140850887062228</v>
      </c>
      <c r="P31" s="935"/>
      <c r="Q31" s="963">
        <f t="shared" si="6"/>
        <v>6.22</v>
      </c>
      <c r="R31" s="969">
        <f t="shared" si="7"/>
        <v>683.33085088706207</v>
      </c>
    </row>
    <row r="32" spans="1:18" s="402" customFormat="1" ht="12" customHeight="1">
      <c r="A32" s="964" t="s">
        <v>700</v>
      </c>
      <c r="B32" s="970" t="s">
        <v>701</v>
      </c>
      <c r="C32" s="966">
        <f>IFERROR(VLOOKUP(A32,'[46]G-48 Rate Jan-Apr '!$F$4:$H$710,3,FALSE),0)</f>
        <v>2.71</v>
      </c>
      <c r="D32" s="961">
        <f>'Rate Schedule G-48'!B31</f>
        <v>2.71</v>
      </c>
      <c r="E32" s="962">
        <f>IFERROR(VLOOKUP(A32,'[46]G-48 Rev Jan-Apr'!$D$5:$E$117,2,FALSE),0)</f>
        <v>324.24999999999994</v>
      </c>
      <c r="F32" s="962">
        <f>IFERROR(VLOOKUP(A32,'[46]G-48 Rev May-Dec'!$D$5:$E$127,2,FALSE),0)</f>
        <v>683.08</v>
      </c>
      <c r="G32" s="962">
        <f t="shared" si="1"/>
        <v>1007.3299999999999</v>
      </c>
      <c r="H32" s="935"/>
      <c r="I32" s="962">
        <f t="shared" si="8"/>
        <v>29.912361623616231</v>
      </c>
      <c r="J32" s="962">
        <f t="shared" si="9"/>
        <v>31.507380073800739</v>
      </c>
      <c r="K32" s="967">
        <f t="shared" si="10"/>
        <v>30.709870848708483</v>
      </c>
      <c r="L32" s="935"/>
      <c r="M32" s="968">
        <f t="shared" si="4"/>
        <v>0.40773154640958065</v>
      </c>
      <c r="N32" s="935"/>
      <c r="O32" s="957">
        <f t="shared" si="5"/>
        <v>150.25659757418893</v>
      </c>
      <c r="P32" s="935"/>
      <c r="Q32" s="963">
        <f t="shared" si="6"/>
        <v>3.12</v>
      </c>
      <c r="R32" s="969">
        <f t="shared" si="7"/>
        <v>1157.5865975741888</v>
      </c>
    </row>
    <row r="33" spans="1:19" s="402" customFormat="1" ht="12" customHeight="1">
      <c r="A33" s="964" t="s">
        <v>702</v>
      </c>
      <c r="B33" s="965" t="s">
        <v>703</v>
      </c>
      <c r="C33" s="966">
        <f>IFERROR(VLOOKUP(A33,'[46]G-48 Rate Jan-Apr '!$F$4:$H$710,3,FALSE),0)</f>
        <v>0</v>
      </c>
      <c r="D33" s="961"/>
      <c r="E33" s="962">
        <f>IFERROR(VLOOKUP(A33,'[46]G-48 Rev Jan-Apr'!$D$5:$E$117,2,FALSE),0)</f>
        <v>-1.9399999999999995</v>
      </c>
      <c r="F33" s="962">
        <f>IFERROR(VLOOKUP(A33,'[46]G-48 Rev May-Dec'!$D$5:$E$127,2,FALSE),0)</f>
        <v>80.759999999999991</v>
      </c>
      <c r="G33" s="962">
        <f>SUM(E33:F33)</f>
        <v>78.819999999999993</v>
      </c>
      <c r="H33" s="935"/>
      <c r="I33" s="962">
        <f t="shared" si="8"/>
        <v>0</v>
      </c>
      <c r="J33" s="962">
        <f t="shared" si="9"/>
        <v>0</v>
      </c>
      <c r="K33" s="967">
        <f t="shared" si="10"/>
        <v>0</v>
      </c>
      <c r="L33" s="935"/>
      <c r="M33" s="968">
        <f t="shared" si="4"/>
        <v>0</v>
      </c>
      <c r="N33" s="935"/>
      <c r="O33" s="957">
        <f t="shared" si="5"/>
        <v>0</v>
      </c>
      <c r="P33" s="935"/>
      <c r="Q33" s="963">
        <f t="shared" si="6"/>
        <v>0</v>
      </c>
      <c r="R33" s="969">
        <f t="shared" si="7"/>
        <v>78.819999999999993</v>
      </c>
    </row>
    <row r="34" spans="1:19" s="402" customFormat="1" ht="6" customHeight="1" thickBot="1">
      <c r="A34" s="971"/>
      <c r="B34" s="971"/>
      <c r="C34" s="971"/>
      <c r="D34" s="961"/>
      <c r="E34" s="962"/>
      <c r="F34" s="962"/>
      <c r="G34" s="962"/>
      <c r="H34" s="935"/>
      <c r="I34" s="962"/>
      <c r="J34" s="962"/>
      <c r="K34" s="967"/>
      <c r="L34" s="935"/>
      <c r="M34" s="935"/>
      <c r="N34" s="935"/>
      <c r="O34" s="935"/>
      <c r="P34" s="935"/>
      <c r="Q34" s="935"/>
      <c r="R34" s="972"/>
    </row>
    <row r="35" spans="1:19" s="673" customFormat="1" ht="13.5" customHeight="1" thickBot="1">
      <c r="A35" s="973"/>
      <c r="B35" s="974" t="s">
        <v>704</v>
      </c>
      <c r="C35" s="974"/>
      <c r="D35" s="975"/>
      <c r="E35" s="976">
        <f>SUM(E12:E34)</f>
        <v>143334.32999999999</v>
      </c>
      <c r="F35" s="976">
        <f>SUM(F12:F34)</f>
        <v>309151.09999999998</v>
      </c>
      <c r="G35" s="976">
        <f>SUM(G12:G34)</f>
        <v>452485.43000000011</v>
      </c>
      <c r="H35" s="973"/>
      <c r="I35" s="977"/>
      <c r="J35" s="977"/>
      <c r="K35" s="978">
        <f>+SUM(K12:K21)</f>
        <v>1629.475297048552</v>
      </c>
      <c r="L35" s="977"/>
      <c r="M35" s="977"/>
      <c r="N35" s="977"/>
      <c r="O35" s="979">
        <f>+SUM(O12:O33)</f>
        <v>67350.693158750888</v>
      </c>
      <c r="P35" s="977"/>
      <c r="Q35" s="977"/>
      <c r="R35" s="980">
        <f>+SUM(R12:R33)</f>
        <v>519836.12315875088</v>
      </c>
      <c r="S35" s="675"/>
    </row>
    <row r="36" spans="1:19" s="402" customFormat="1" ht="6.75" customHeight="1">
      <c r="A36" s="958"/>
      <c r="B36" s="981"/>
      <c r="C36" s="981"/>
      <c r="D36" s="982"/>
      <c r="E36" s="983"/>
      <c r="F36" s="983"/>
      <c r="G36" s="963"/>
      <c r="H36" s="935"/>
      <c r="I36" s="962"/>
      <c r="J36" s="962"/>
      <c r="K36" s="967"/>
      <c r="L36" s="935"/>
      <c r="M36" s="935"/>
      <c r="N36" s="935"/>
      <c r="O36" s="935"/>
      <c r="P36" s="935"/>
      <c r="Q36" s="935"/>
      <c r="R36" s="935"/>
    </row>
    <row r="37" spans="1:19" ht="12" customHeight="1">
      <c r="A37" s="958" t="s">
        <v>705</v>
      </c>
      <c r="B37" s="958" t="s">
        <v>705</v>
      </c>
      <c r="C37" s="958"/>
      <c r="I37" s="967"/>
      <c r="J37" s="967"/>
      <c r="K37" s="967"/>
    </row>
    <row r="38" spans="1:19" ht="3.75" customHeight="1">
      <c r="A38" s="958"/>
      <c r="B38" s="958"/>
      <c r="C38" s="958"/>
      <c r="I38" s="967"/>
      <c r="J38" s="967"/>
      <c r="K38" s="967"/>
    </row>
    <row r="39" spans="1:19" s="402" customFormat="1" ht="12" customHeight="1">
      <c r="A39" s="960" t="s">
        <v>706</v>
      </c>
      <c r="B39" s="960" t="s">
        <v>706</v>
      </c>
      <c r="C39" s="960"/>
      <c r="D39" s="961"/>
      <c r="E39" s="983"/>
      <c r="F39" s="962" t="str">
        <f>IF(D39="","",(#REF!/D39)+(#REF!/#REF!))</f>
        <v/>
      </c>
      <c r="G39" s="963"/>
      <c r="H39" s="935"/>
      <c r="I39" s="962"/>
      <c r="J39" s="962"/>
      <c r="K39" s="967"/>
      <c r="L39" s="935"/>
      <c r="M39" s="935"/>
      <c r="N39" s="935"/>
      <c r="O39" s="935"/>
      <c r="P39" s="935"/>
      <c r="Q39" s="935"/>
      <c r="R39" s="935"/>
    </row>
    <row r="40" spans="1:19" s="402" customFormat="1" ht="12" customHeight="1">
      <c r="A40" s="954" t="s">
        <v>707</v>
      </c>
      <c r="B40" s="954" t="s">
        <v>708</v>
      </c>
      <c r="C40" s="966">
        <f>IFERROR(VLOOKUP(A40,'[46]G-48 Rate Jan-Apr '!$F$4:$H$710,3,FALSE),0)</f>
        <v>72.349999999999994</v>
      </c>
      <c r="D40" s="961">
        <f>'Rate Schedule G-48'!B135*References!B11</f>
        <v>72.700699999999998</v>
      </c>
      <c r="E40" s="962">
        <f>IFERROR(VLOOKUP(A40,'[46]G-48 Rev Jan-Apr'!$D$5:$E$117,2,FALSE),0)</f>
        <v>8634.98</v>
      </c>
      <c r="F40" s="962">
        <f>IFERROR(VLOOKUP(A40,'[46]G-48 Rev May-Dec'!$D$5:$E$127,2,FALSE),0)</f>
        <v>18865.649999999998</v>
      </c>
      <c r="G40" s="962">
        <f t="shared" ref="G40:G100" si="11">SUM(E40:F40)</f>
        <v>27500.629999999997</v>
      </c>
      <c r="H40" s="935"/>
      <c r="I40" s="962">
        <f t="shared" ref="I40:I70" si="12">IFERROR(E40/($C40),0)/4</f>
        <v>29.837525915687632</v>
      </c>
      <c r="J40" s="962">
        <f t="shared" ref="J40:J70" si="13">IFERROR(F40/($D40),0)/8</f>
        <v>32.437187674946728</v>
      </c>
      <c r="K40" s="967">
        <f>IFERROR(AVERAGEIF(I40:J40,"&lt;&gt;0"),0)</f>
        <v>31.137356795317181</v>
      </c>
      <c r="L40" s="935"/>
      <c r="M40" s="968">
        <f>$M$6*D40</f>
        <v>10.938143481940589</v>
      </c>
      <c r="N40" s="956"/>
      <c r="O40" s="957">
        <f>K40*SUM(M40:M40)*12</f>
        <v>4087.0185153066855</v>
      </c>
      <c r="P40" s="956"/>
      <c r="Q40" s="963">
        <f t="shared" ref="Q40:Q101" si="14">ROUND((+D40+SUM(M40:M40)),2)</f>
        <v>83.64</v>
      </c>
      <c r="R40" s="969">
        <f>G40+O40</f>
        <v>31587.648515306682</v>
      </c>
    </row>
    <row r="41" spans="1:19" s="402" customFormat="1" ht="12" customHeight="1">
      <c r="A41" s="954" t="s">
        <v>709</v>
      </c>
      <c r="B41" s="954" t="s">
        <v>710</v>
      </c>
      <c r="C41" s="966">
        <f>IFERROR(VLOOKUP(A41,'[46]G-48 Rate Jan-Apr '!$F$4:$H$710,3,FALSE),0)</f>
        <v>144.71</v>
      </c>
      <c r="D41" s="961">
        <f>'Rate Schedule G-48'!B135*References!B10</f>
        <v>145.4014</v>
      </c>
      <c r="E41" s="962">
        <f>IFERROR(VLOOKUP(A41,'[46]G-48 Rev Jan-Apr'!$D$5:$E$117,2,FALSE),0)</f>
        <v>1157.68</v>
      </c>
      <c r="F41" s="962">
        <f>IFERROR(VLOOKUP(A41,'[46]G-48 Rev May-Dec'!$D$5:$E$127,2,FALSE),0)</f>
        <v>2326.4</v>
      </c>
      <c r="G41" s="962">
        <f t="shared" si="11"/>
        <v>3484.08</v>
      </c>
      <c r="H41" s="935"/>
      <c r="I41" s="962">
        <f t="shared" si="12"/>
        <v>2</v>
      </c>
      <c r="J41" s="962">
        <f t="shared" si="13"/>
        <v>1.9999807429639607</v>
      </c>
      <c r="K41" s="967">
        <f t="shared" ref="K41:K61" si="15">IFERROR(AVERAGEIF(I41:J41,"&lt;&gt;0"),0)</f>
        <v>1.9999903714819802</v>
      </c>
      <c r="L41" s="935"/>
      <c r="M41" s="968">
        <f t="shared" ref="M41:M63" si="16">$M$6*D41</f>
        <v>21.876286963881178</v>
      </c>
      <c r="N41" s="956"/>
      <c r="O41" s="957">
        <f t="shared" ref="O41:O63" si="17">K41*SUM(M41:M41)*12</f>
        <v>525.0283594984694</v>
      </c>
      <c r="P41" s="956"/>
      <c r="Q41" s="963">
        <f t="shared" si="14"/>
        <v>167.28</v>
      </c>
      <c r="R41" s="969">
        <f t="shared" ref="R41:R63" si="18">G41+O41</f>
        <v>4009.1083594984693</v>
      </c>
    </row>
    <row r="42" spans="1:19" s="402" customFormat="1" ht="12" customHeight="1">
      <c r="A42" s="954" t="s">
        <v>711</v>
      </c>
      <c r="B42" s="954" t="s">
        <v>712</v>
      </c>
      <c r="C42" s="966">
        <f>IFERROR(VLOOKUP(A42,'[46]G-48 Rate Jan-Apr '!$F$4:$H$710,3,FALSE),0)</f>
        <v>144.71</v>
      </c>
      <c r="D42" s="961">
        <f>'Rate Schedule G-48'!B135*References!C11</f>
        <v>145.4014</v>
      </c>
      <c r="E42" s="962">
        <f>IFERROR(VLOOKUP(A42,'[46]G-48 Rev Jan-Apr'!$D$5:$E$117,2,FALSE),0)</f>
        <v>1157.68</v>
      </c>
      <c r="F42" s="962">
        <f>IFERROR(VLOOKUP(A42,'[46]G-48 Rev May-Dec'!$D$5:$E$127,2,FALSE),0)</f>
        <v>2320.8000000000002</v>
      </c>
      <c r="G42" s="962">
        <f t="shared" si="11"/>
        <v>3478.4800000000005</v>
      </c>
      <c r="H42" s="935"/>
      <c r="I42" s="962">
        <f t="shared" si="12"/>
        <v>2</v>
      </c>
      <c r="J42" s="962">
        <f t="shared" si="13"/>
        <v>1.995166483954075</v>
      </c>
      <c r="K42" s="967">
        <f t="shared" si="15"/>
        <v>1.9975832419770376</v>
      </c>
      <c r="L42" s="935"/>
      <c r="M42" s="968">
        <f t="shared" si="16"/>
        <v>21.876286963881178</v>
      </c>
      <c r="N42" s="956"/>
      <c r="O42" s="957">
        <f t="shared" si="17"/>
        <v>524.39645082875722</v>
      </c>
      <c r="P42" s="956"/>
      <c r="Q42" s="963">
        <f t="shared" si="14"/>
        <v>167.28</v>
      </c>
      <c r="R42" s="969">
        <f t="shared" si="18"/>
        <v>4002.8764508287577</v>
      </c>
    </row>
    <row r="43" spans="1:19" s="402" customFormat="1" ht="12" customHeight="1">
      <c r="A43" s="954" t="s">
        <v>713</v>
      </c>
      <c r="B43" s="954" t="s">
        <v>714</v>
      </c>
      <c r="C43" s="966">
        <f>IFERROR(VLOOKUP(A43,'[46]G-48 Rate Jan-Apr '!$F$4:$H$710,3,FALSE),0)</f>
        <v>36.26</v>
      </c>
      <c r="D43" s="961">
        <f>'Rate Schedule G-48'!B135*References!B12</f>
        <v>36.4343</v>
      </c>
      <c r="E43" s="962">
        <f>IFERROR(VLOOKUP(A43,'[46]G-48 Rev Jan-Apr'!$D$5:$E$117,2,FALSE),0)</f>
        <v>3038.8399999999997</v>
      </c>
      <c r="F43" s="962">
        <f>IFERROR(VLOOKUP(A43,'[46]G-48 Rev May-Dec'!$D$5:$E$127,2,FALSE),0)</f>
        <v>4941.3599999999997</v>
      </c>
      <c r="G43" s="962">
        <f t="shared" si="11"/>
        <v>7980.1999999999989</v>
      </c>
      <c r="H43" s="935"/>
      <c r="I43" s="962">
        <f t="shared" si="12"/>
        <v>20.951737451737451</v>
      </c>
      <c r="J43" s="962">
        <f t="shared" si="13"/>
        <v>16.952981119439649</v>
      </c>
      <c r="K43" s="967">
        <f t="shared" si="15"/>
        <v>18.95235928558855</v>
      </c>
      <c r="L43" s="935"/>
      <c r="M43" s="968">
        <f t="shared" si="16"/>
        <v>5.4817023916422816</v>
      </c>
      <c r="N43" s="956"/>
      <c r="O43" s="957">
        <f t="shared" si="17"/>
        <v>1246.6943186768947</v>
      </c>
      <c r="P43" s="956"/>
      <c r="Q43" s="963">
        <f t="shared" si="14"/>
        <v>41.92</v>
      </c>
      <c r="R43" s="969">
        <f t="shared" si="18"/>
        <v>9226.8943186768938</v>
      </c>
    </row>
    <row r="44" spans="1:19" s="402" customFormat="1" ht="12" customHeight="1">
      <c r="A44" s="954" t="s">
        <v>715</v>
      </c>
      <c r="B44" s="954" t="s">
        <v>716</v>
      </c>
      <c r="C44" s="966">
        <f>IFERROR(VLOOKUP(A44,'[46]G-48 Rate Jan-Apr '!$F$4:$H$710,3,FALSE),0)</f>
        <v>106.69</v>
      </c>
      <c r="D44" s="961">
        <f>'Rate Schedule G-48'!B136*References!B11</f>
        <v>107.1675</v>
      </c>
      <c r="E44" s="962">
        <f>IFERROR(VLOOKUP(A44,'[46]G-48 Rev Jan-Apr'!$D$5:$E$117,2,FALSE),0)</f>
        <v>10162.16</v>
      </c>
      <c r="F44" s="962">
        <f>IFERROR(VLOOKUP(A44,'[46]G-48 Rev May-Dec'!$D$5:$E$127,2,FALSE),0)</f>
        <v>22617.879999999997</v>
      </c>
      <c r="G44" s="962">
        <f t="shared" si="11"/>
        <v>32780.039999999994</v>
      </c>
      <c r="H44" s="935"/>
      <c r="I44" s="962">
        <f t="shared" si="12"/>
        <v>23.812353547661449</v>
      </c>
      <c r="J44" s="962">
        <f t="shared" si="13"/>
        <v>26.381458931112508</v>
      </c>
      <c r="K44" s="967">
        <f t="shared" si="15"/>
        <v>25.096906239386978</v>
      </c>
      <c r="L44" s="935"/>
      <c r="M44" s="968">
        <f t="shared" si="16"/>
        <v>16.123826752711711</v>
      </c>
      <c r="N44" s="956"/>
      <c r="O44" s="957">
        <f t="shared" si="17"/>
        <v>4855.8980187951029</v>
      </c>
      <c r="P44" s="956"/>
      <c r="Q44" s="963">
        <f t="shared" si="14"/>
        <v>123.29</v>
      </c>
      <c r="R44" s="969">
        <f t="shared" si="18"/>
        <v>37635.938018795096</v>
      </c>
    </row>
    <row r="45" spans="1:19" s="402" customFormat="1" ht="12" customHeight="1">
      <c r="A45" s="954" t="s">
        <v>717</v>
      </c>
      <c r="B45" s="954" t="s">
        <v>718</v>
      </c>
      <c r="C45" s="966">
        <f>IFERROR(VLOOKUP(A45,'[46]G-48 Rate Jan-Apr '!$F$4:$H$710,3,FALSE),0)</f>
        <v>213.38</v>
      </c>
      <c r="D45" s="961">
        <f>'Rate Schedule G-48'!B136*References!C11</f>
        <v>214.33500000000001</v>
      </c>
      <c r="E45" s="962">
        <f>IFERROR(VLOOKUP(A45,'[46]G-48 Rev Jan-Apr'!$D$5:$E$117,2,FALSE),0)</f>
        <v>1707.04</v>
      </c>
      <c r="F45" s="962">
        <f>IFERROR(VLOOKUP(A45,'[46]G-48 Rev May-Dec'!$D$5:$E$127,2,FALSE),0)</f>
        <v>4286.8</v>
      </c>
      <c r="G45" s="962">
        <f t="shared" si="11"/>
        <v>5993.84</v>
      </c>
      <c r="H45" s="935"/>
      <c r="I45" s="962">
        <f t="shared" si="12"/>
        <v>2</v>
      </c>
      <c r="J45" s="962">
        <f t="shared" si="13"/>
        <v>2.5000583199197517</v>
      </c>
      <c r="K45" s="967">
        <f t="shared" si="15"/>
        <v>2.2500291599598761</v>
      </c>
      <c r="L45" s="935"/>
      <c r="M45" s="968">
        <f t="shared" si="16"/>
        <v>32.247653505423422</v>
      </c>
      <c r="N45" s="956"/>
      <c r="O45" s="957">
        <f t="shared" si="17"/>
        <v>870.69792872982021</v>
      </c>
      <c r="P45" s="956"/>
      <c r="Q45" s="963">
        <f t="shared" si="14"/>
        <v>246.58</v>
      </c>
      <c r="R45" s="969">
        <f t="shared" si="18"/>
        <v>6864.5379287298201</v>
      </c>
    </row>
    <row r="46" spans="1:19" s="402" customFormat="1" ht="12" customHeight="1">
      <c r="A46" s="954" t="s">
        <v>719</v>
      </c>
      <c r="B46" s="954" t="s">
        <v>720</v>
      </c>
      <c r="C46" s="966">
        <f>IFERROR(VLOOKUP(A46,'[46]G-48 Rate Jan-Apr '!$F$4:$H$710,3,FALSE),0)</f>
        <v>213.38</v>
      </c>
      <c r="D46" s="961">
        <f>'Rate Schedule G-48'!B136*References!B10</f>
        <v>214.33500000000001</v>
      </c>
      <c r="E46" s="962">
        <f>IFERROR(VLOOKUP(A46,'[46]G-48 Rev Jan-Apr'!$D$5:$E$117,2,FALSE),0)</f>
        <v>2560.56</v>
      </c>
      <c r="F46" s="962">
        <f>IFERROR(VLOOKUP(A46,'[46]G-48 Rev May-Dec'!$D$5:$E$127,2,FALSE),0)</f>
        <v>5494.25</v>
      </c>
      <c r="G46" s="962">
        <f t="shared" si="11"/>
        <v>8054.8099999999995</v>
      </c>
      <c r="H46" s="935"/>
      <c r="I46" s="962">
        <f t="shared" si="12"/>
        <v>3</v>
      </c>
      <c r="J46" s="962">
        <f t="shared" si="13"/>
        <v>3.204242190962745</v>
      </c>
      <c r="K46" s="967">
        <f t="shared" si="15"/>
        <v>3.1021210954813725</v>
      </c>
      <c r="L46" s="935"/>
      <c r="M46" s="968">
        <f t="shared" si="16"/>
        <v>32.247653505423422</v>
      </c>
      <c r="N46" s="956"/>
      <c r="O46" s="957">
        <f t="shared" si="17"/>
        <v>1200.4335146273738</v>
      </c>
      <c r="P46" s="956"/>
      <c r="Q46" s="963">
        <f t="shared" si="14"/>
        <v>246.58</v>
      </c>
      <c r="R46" s="969">
        <f t="shared" si="18"/>
        <v>9255.2435146273729</v>
      </c>
    </row>
    <row r="47" spans="1:19" s="402" customFormat="1" ht="12" customHeight="1">
      <c r="A47" s="954" t="s">
        <v>721</v>
      </c>
      <c r="B47" s="954" t="s">
        <v>722</v>
      </c>
      <c r="C47" s="966">
        <f>IFERROR(VLOOKUP(A47,'[46]G-48 Rate Jan-Apr '!$F$4:$H$710,3,FALSE),0)</f>
        <v>320.07</v>
      </c>
      <c r="D47" s="961">
        <f>'Rate Schedule G-48'!B136*References!B9</f>
        <v>321.5025</v>
      </c>
      <c r="E47" s="962">
        <f>IFERROR(VLOOKUP(A47,'[46]G-48 Rev Jan-Apr'!$D$5:$E$117,2,FALSE),0)</f>
        <v>0</v>
      </c>
      <c r="F47" s="962">
        <f>IFERROR(VLOOKUP(A47,'[46]G-48 Rev May-Dec'!$D$5:$E$127,2,FALSE),0)</f>
        <v>1419.96</v>
      </c>
      <c r="G47" s="962">
        <f t="shared" si="11"/>
        <v>1419.96</v>
      </c>
      <c r="H47" s="935"/>
      <c r="I47" s="962">
        <f t="shared" si="12"/>
        <v>0</v>
      </c>
      <c r="J47" s="962">
        <f t="shared" si="13"/>
        <v>0.55207968833834886</v>
      </c>
      <c r="K47" s="967">
        <f t="shared" si="15"/>
        <v>0.55207968833834886</v>
      </c>
      <c r="L47" s="935"/>
      <c r="M47" s="968">
        <f t="shared" si="16"/>
        <v>48.371480258135129</v>
      </c>
      <c r="N47" s="956"/>
      <c r="O47" s="957">
        <f t="shared" si="17"/>
        <v>320.45894094451006</v>
      </c>
      <c r="P47" s="956"/>
      <c r="Q47" s="963">
        <f t="shared" si="14"/>
        <v>369.87</v>
      </c>
      <c r="R47" s="969">
        <f t="shared" si="18"/>
        <v>1740.41894094451</v>
      </c>
    </row>
    <row r="48" spans="1:19" s="402" customFormat="1" ht="12" customHeight="1">
      <c r="A48" s="954" t="s">
        <v>723</v>
      </c>
      <c r="B48" s="954" t="s">
        <v>724</v>
      </c>
      <c r="C48" s="966">
        <f>IFERROR(VLOOKUP(A48,'[46]G-48 Rate Jan-Apr '!$F$4:$H$710,3,FALSE),0)</f>
        <v>53.47</v>
      </c>
      <c r="D48" s="961">
        <f>'Rate Schedule G-48'!B136*References!B12</f>
        <v>53.707499999999996</v>
      </c>
      <c r="E48" s="962">
        <f>IFERROR(VLOOKUP(A48,'[46]G-48 Rev Jan-Apr'!$D$5:$E$117,2,FALSE),0)</f>
        <v>3446.4100000000003</v>
      </c>
      <c r="F48" s="962">
        <f>IFERROR(VLOOKUP(A48,'[46]G-48 Rev May-Dec'!$D$5:$E$127,2,FALSE),0)</f>
        <v>9448.4600000000009</v>
      </c>
      <c r="G48" s="962">
        <f t="shared" si="11"/>
        <v>12894.87</v>
      </c>
      <c r="H48" s="935"/>
      <c r="I48" s="962">
        <f t="shared" si="12"/>
        <v>16.113755376846832</v>
      </c>
      <c r="J48" s="962">
        <f t="shared" si="13"/>
        <v>21.990550667970027</v>
      </c>
      <c r="K48" s="967">
        <f t="shared" si="15"/>
        <v>19.052153022408429</v>
      </c>
      <c r="L48" s="935"/>
      <c r="M48" s="968">
        <f t="shared" si="16"/>
        <v>8.0805321139455906</v>
      </c>
      <c r="N48" s="956"/>
      <c r="O48" s="957">
        <f t="shared" si="17"/>
        <v>1847.4184120485224</v>
      </c>
      <c r="P48" s="956"/>
      <c r="Q48" s="963">
        <f t="shared" si="14"/>
        <v>61.79</v>
      </c>
      <c r="R48" s="969">
        <f t="shared" si="18"/>
        <v>14742.288412048523</v>
      </c>
    </row>
    <row r="49" spans="1:18" s="402" customFormat="1" ht="12" customHeight="1">
      <c r="A49" s="954" t="s">
        <v>725</v>
      </c>
      <c r="B49" s="954" t="s">
        <v>726</v>
      </c>
      <c r="C49" s="966">
        <f>IFERROR(VLOOKUP(A49,'[46]G-48 Rate Jan-Apr '!$F$4:$H$710,3,FALSE),0)</f>
        <v>139.38</v>
      </c>
      <c r="D49" s="961">
        <f>'Rate Schedule G-48'!B137*References!B11</f>
        <v>139.9889</v>
      </c>
      <c r="E49" s="962">
        <f>IFERROR(VLOOKUP(A49,'[46]G-48 Rev Jan-Apr'!$D$5:$E$117,2,FALSE),0)</f>
        <v>21627.810000000005</v>
      </c>
      <c r="F49" s="962">
        <f>IFERROR(VLOOKUP(A49,'[46]G-48 Rev May-Dec'!$D$5:$E$127,2,FALSE),0)</f>
        <v>48175.14</v>
      </c>
      <c r="G49" s="962">
        <f t="shared" si="11"/>
        <v>69802.950000000012</v>
      </c>
      <c r="H49" s="935"/>
      <c r="I49" s="962">
        <f t="shared" si="12"/>
        <v>38.792886353852786</v>
      </c>
      <c r="J49" s="962">
        <f t="shared" si="13"/>
        <v>43.016928485044168</v>
      </c>
      <c r="K49" s="967">
        <f t="shared" si="15"/>
        <v>40.904907419448477</v>
      </c>
      <c r="L49" s="935"/>
      <c r="M49" s="968">
        <f t="shared" si="16"/>
        <v>21.061952279400792</v>
      </c>
      <c r="N49" s="956"/>
      <c r="O49" s="957">
        <f t="shared" si="17"/>
        <v>10338.446496740775</v>
      </c>
      <c r="P49" s="956"/>
      <c r="Q49" s="963">
        <f t="shared" si="14"/>
        <v>161.05000000000001</v>
      </c>
      <c r="R49" s="969">
        <f t="shared" si="18"/>
        <v>80141.396496740781</v>
      </c>
    </row>
    <row r="50" spans="1:18" s="402" customFormat="1" ht="12" customHeight="1">
      <c r="A50" s="954" t="s">
        <v>727</v>
      </c>
      <c r="B50" s="954" t="s">
        <v>728</v>
      </c>
      <c r="C50" s="966">
        <f>IFERROR(VLOOKUP(A50,'[46]G-48 Rate Jan-Apr '!$F$4:$H$710,3,FALSE),0)</f>
        <v>278.77</v>
      </c>
      <c r="D50" s="961">
        <f>'Rate Schedule G-48'!B137*References!C11</f>
        <v>279.9778</v>
      </c>
      <c r="E50" s="962">
        <f>IFERROR(VLOOKUP(A50,'[46]G-48 Rev Jan-Apr'!$D$5:$E$117,2,FALSE),0)</f>
        <v>3002.0899999999997</v>
      </c>
      <c r="F50" s="962">
        <f>IFERROR(VLOOKUP(A50,'[46]G-48 Rev May-Dec'!$D$5:$E$127,2,FALSE),0)</f>
        <v>11127.11</v>
      </c>
      <c r="G50" s="962">
        <f t="shared" si="11"/>
        <v>14129.2</v>
      </c>
      <c r="H50" s="935"/>
      <c r="I50" s="962">
        <f t="shared" si="12"/>
        <v>2.6922642321627146</v>
      </c>
      <c r="J50" s="962">
        <f t="shared" si="13"/>
        <v>4.9678537012577424</v>
      </c>
      <c r="K50" s="967">
        <f t="shared" si="15"/>
        <v>3.8300589667102285</v>
      </c>
      <c r="L50" s="935"/>
      <c r="M50" s="968">
        <f t="shared" si="16"/>
        <v>42.123904558801584</v>
      </c>
      <c r="N50" s="956"/>
      <c r="O50" s="957">
        <f t="shared" si="17"/>
        <v>1936.0444604194067</v>
      </c>
      <c r="P50" s="956"/>
      <c r="Q50" s="963">
        <f t="shared" si="14"/>
        <v>322.10000000000002</v>
      </c>
      <c r="R50" s="969">
        <f t="shared" si="18"/>
        <v>16065.244460419408</v>
      </c>
    </row>
    <row r="51" spans="1:18" s="402" customFormat="1" ht="12" customHeight="1">
      <c r="A51" s="954" t="s">
        <v>729</v>
      </c>
      <c r="B51" s="954" t="s">
        <v>730</v>
      </c>
      <c r="C51" s="966">
        <f>IFERROR(VLOOKUP(A51,'[46]G-48 Rate Jan-Apr '!$F$4:$H$710,3,FALSE),0)</f>
        <v>418.15</v>
      </c>
      <c r="D51" s="961">
        <f>'Rate Schedule G-48'!B137*References!D11</f>
        <v>419.9667</v>
      </c>
      <c r="E51" s="962">
        <f>IFERROR(VLOOKUP(A51,'[46]G-48 Rev Jan-Apr'!$D$5:$E$117,2,FALSE),0)</f>
        <v>1672.6</v>
      </c>
      <c r="F51" s="962">
        <f>IFERROR(VLOOKUP(A51,'[46]G-48 Rev May-Dec'!$D$5:$E$127,2,FALSE),0)</f>
        <v>7453.5700000000006</v>
      </c>
      <c r="G51" s="962">
        <f t="shared" si="11"/>
        <v>9126.17</v>
      </c>
      <c r="H51" s="935"/>
      <c r="I51" s="962">
        <f t="shared" si="12"/>
        <v>1</v>
      </c>
      <c r="J51" s="962">
        <f t="shared" si="13"/>
        <v>2.2185003001428449</v>
      </c>
      <c r="K51" s="967">
        <f t="shared" si="15"/>
        <v>1.6092501500714225</v>
      </c>
      <c r="L51" s="935"/>
      <c r="M51" s="968">
        <f t="shared" si="16"/>
        <v>63.185856838202369</v>
      </c>
      <c r="N51" s="956"/>
      <c r="O51" s="957">
        <f t="shared" si="17"/>
        <v>1220.1821951912229</v>
      </c>
      <c r="P51" s="956"/>
      <c r="Q51" s="963">
        <f t="shared" si="14"/>
        <v>483.15</v>
      </c>
      <c r="R51" s="969">
        <f t="shared" si="18"/>
        <v>10346.352195191223</v>
      </c>
    </row>
    <row r="52" spans="1:18" s="402" customFormat="1" ht="12" customHeight="1">
      <c r="A52" s="954" t="s">
        <v>731</v>
      </c>
      <c r="B52" s="954" t="s">
        <v>732</v>
      </c>
      <c r="C52" s="966">
        <f>IFERROR(VLOOKUP(A52,'[46]G-48 Rate Jan-Apr '!$F$4:$H$710,3,FALSE),0)</f>
        <v>557.53</v>
      </c>
      <c r="D52" s="961">
        <f>'Rate Schedule G-48'!B137*References!E11</f>
        <v>559.9556</v>
      </c>
      <c r="E52" s="962">
        <f>IFERROR(VLOOKUP(A52,'[46]G-48 Rev Jan-Apr'!$D$5:$E$117,2,FALSE),0)</f>
        <v>2230.12</v>
      </c>
      <c r="F52" s="962">
        <f>IFERROR(VLOOKUP(A52,'[46]G-48 Rev May-Dec'!$D$5:$E$127,2,FALSE),0)</f>
        <v>8959.36</v>
      </c>
      <c r="G52" s="962">
        <f t="shared" si="11"/>
        <v>11189.48</v>
      </c>
      <c r="H52" s="935"/>
      <c r="I52" s="962">
        <f t="shared" si="12"/>
        <v>1</v>
      </c>
      <c r="J52" s="962">
        <f t="shared" si="13"/>
        <v>2.0000157155317315</v>
      </c>
      <c r="K52" s="967">
        <f t="shared" si="15"/>
        <v>1.5000078577658658</v>
      </c>
      <c r="L52" s="935"/>
      <c r="M52" s="968">
        <f t="shared" si="16"/>
        <v>84.247809117603168</v>
      </c>
      <c r="N52" s="956"/>
      <c r="O52" s="957">
        <f t="shared" si="17"/>
        <v>1516.468508111562</v>
      </c>
      <c r="P52" s="956"/>
      <c r="Q52" s="963">
        <f t="shared" si="14"/>
        <v>644.20000000000005</v>
      </c>
      <c r="R52" s="969">
        <f t="shared" si="18"/>
        <v>12705.948508111562</v>
      </c>
    </row>
    <row r="53" spans="1:18" s="402" customFormat="1" ht="12" customHeight="1">
      <c r="A53" s="954" t="s">
        <v>733</v>
      </c>
      <c r="B53" s="954" t="s">
        <v>734</v>
      </c>
      <c r="C53" s="966">
        <f>IFERROR(VLOOKUP(A53,'[46]G-48 Rate Jan-Apr '!$F$4:$H$710,3,FALSE),0)</f>
        <v>975.68</v>
      </c>
      <c r="D53" s="961">
        <f>'Rate Schedule G-48'!B137*References!H11</f>
        <v>979.92230000000006</v>
      </c>
      <c r="E53" s="962">
        <f>IFERROR(VLOOKUP(A53,'[46]G-48 Rev Jan-Apr'!$D$5:$E$117,2,FALSE),0)</f>
        <v>3902.72</v>
      </c>
      <c r="F53" s="962">
        <f>IFERROR(VLOOKUP(A53,'[46]G-48 Rev May-Dec'!$D$5:$E$127,2,FALSE),0)</f>
        <v>7839.36</v>
      </c>
      <c r="G53" s="962">
        <f t="shared" si="11"/>
        <v>11742.08</v>
      </c>
      <c r="H53" s="935"/>
      <c r="I53" s="962">
        <f t="shared" si="12"/>
        <v>1</v>
      </c>
      <c r="J53" s="962">
        <f t="shared" si="13"/>
        <v>0.99999765287513087</v>
      </c>
      <c r="K53" s="967">
        <f t="shared" si="15"/>
        <v>0.99999882643756544</v>
      </c>
      <c r="L53" s="935"/>
      <c r="M53" s="968">
        <f t="shared" si="16"/>
        <v>147.43366595580554</v>
      </c>
      <c r="N53" s="956"/>
      <c r="O53" s="957">
        <f t="shared" si="17"/>
        <v>1769.2019151983229</v>
      </c>
      <c r="P53" s="956"/>
      <c r="Q53" s="963">
        <f t="shared" si="14"/>
        <v>1127.3599999999999</v>
      </c>
      <c r="R53" s="969">
        <f t="shared" si="18"/>
        <v>13511.281915198322</v>
      </c>
    </row>
    <row r="54" spans="1:18" s="402" customFormat="1" ht="12" customHeight="1">
      <c r="A54" s="954" t="s">
        <v>735</v>
      </c>
      <c r="B54" s="954" t="s">
        <v>736</v>
      </c>
      <c r="C54" s="966">
        <f>IFERROR(VLOOKUP(A54,'[46]G-48 Rate Jan-Apr '!$F$4:$H$710,3,FALSE),0)</f>
        <v>278.77</v>
      </c>
      <c r="D54" s="961">
        <f>'Rate Schedule G-48'!B137*References!B10</f>
        <v>279.9778</v>
      </c>
      <c r="E54" s="962">
        <f>IFERROR(VLOOKUP(A54,'[46]G-48 Rev Jan-Apr'!$D$5:$E$117,2,FALSE),0)</f>
        <v>7805.5599999999995</v>
      </c>
      <c r="F54" s="962">
        <f>IFERROR(VLOOKUP(A54,'[46]G-48 Rev May-Dec'!$D$5:$E$127,2,FALSE),0)</f>
        <v>18148.150000000001</v>
      </c>
      <c r="G54" s="962">
        <f t="shared" si="11"/>
        <v>25953.71</v>
      </c>
      <c r="H54" s="935"/>
      <c r="I54" s="962">
        <f t="shared" si="12"/>
        <v>7</v>
      </c>
      <c r="J54" s="962">
        <f t="shared" si="13"/>
        <v>8.10249509068219</v>
      </c>
      <c r="K54" s="967">
        <f t="shared" si="15"/>
        <v>7.551247545341095</v>
      </c>
      <c r="L54" s="935"/>
      <c r="M54" s="968">
        <f t="shared" si="16"/>
        <v>42.123904558801584</v>
      </c>
      <c r="N54" s="956"/>
      <c r="O54" s="957">
        <f t="shared" si="17"/>
        <v>3817.0563707979964</v>
      </c>
      <c r="P54" s="956"/>
      <c r="Q54" s="963">
        <f t="shared" si="14"/>
        <v>322.10000000000002</v>
      </c>
      <c r="R54" s="969">
        <f t="shared" si="18"/>
        <v>29770.766370797995</v>
      </c>
    </row>
    <row r="55" spans="1:18" s="402" customFormat="1" ht="12" customHeight="1">
      <c r="A55" s="954" t="s">
        <v>737</v>
      </c>
      <c r="B55" s="954" t="s">
        <v>738</v>
      </c>
      <c r="C55" s="966">
        <f>IFERROR(VLOOKUP(A55,'[46]G-48 Rate Jan-Apr '!$F$4:$H$710,3,FALSE),0)</f>
        <v>557.53</v>
      </c>
      <c r="D55" s="961">
        <f>'Rate Schedule G-48'!B137*References!C10</f>
        <v>559.9556</v>
      </c>
      <c r="E55" s="962">
        <f>IFERROR(VLOOKUP(A55,'[46]G-48 Rev Jan-Apr'!$D$5:$E$117,2,FALSE),0)</f>
        <v>2230.12</v>
      </c>
      <c r="F55" s="962">
        <f>IFERROR(VLOOKUP(A55,'[46]G-48 Rev May-Dec'!$D$5:$E$127,2,FALSE),0)</f>
        <v>4479.68</v>
      </c>
      <c r="G55" s="962">
        <f t="shared" si="11"/>
        <v>6709.8</v>
      </c>
      <c r="H55" s="935"/>
      <c r="I55" s="962">
        <f t="shared" si="12"/>
        <v>1</v>
      </c>
      <c r="J55" s="962">
        <f t="shared" si="13"/>
        <v>1.0000078577658658</v>
      </c>
      <c r="K55" s="967">
        <f t="shared" si="15"/>
        <v>1.0000039288829328</v>
      </c>
      <c r="L55" s="935"/>
      <c r="M55" s="968">
        <f t="shared" si="16"/>
        <v>84.247809117603168</v>
      </c>
      <c r="N55" s="956"/>
      <c r="O55" s="957">
        <f t="shared" si="17"/>
        <v>1010.9776814085903</v>
      </c>
      <c r="P55" s="956"/>
      <c r="Q55" s="963">
        <f t="shared" si="14"/>
        <v>644.20000000000005</v>
      </c>
      <c r="R55" s="969">
        <f t="shared" si="18"/>
        <v>7720.7776814085901</v>
      </c>
    </row>
    <row r="56" spans="1:18" s="402" customFormat="1" ht="12" customHeight="1">
      <c r="A56" s="954" t="s">
        <v>739</v>
      </c>
      <c r="B56" s="954" t="s">
        <v>740</v>
      </c>
      <c r="C56" s="966">
        <f>IFERROR(VLOOKUP(A56,'[46]G-48 Rate Jan-Apr '!$F$4:$H$710,3,FALSE),0)</f>
        <v>1951.36</v>
      </c>
      <c r="D56" s="961">
        <f>'Rate Schedule G-48'!B137*References!H10</f>
        <v>1959.8446000000001</v>
      </c>
      <c r="E56" s="962">
        <f>IFERROR(VLOOKUP(A56,'[46]G-48 Rev Jan-Apr'!$D$5:$E$117,2,FALSE),0)</f>
        <v>7805.44</v>
      </c>
      <c r="F56" s="962">
        <f>IFERROR(VLOOKUP(A56,'[46]G-48 Rev May-Dec'!$D$5:$E$127,2,FALSE),0)</f>
        <v>15678.72</v>
      </c>
      <c r="G56" s="962">
        <f t="shared" si="11"/>
        <v>23484.16</v>
      </c>
      <c r="H56" s="935"/>
      <c r="I56" s="962">
        <f t="shared" si="12"/>
        <v>1</v>
      </c>
      <c r="J56" s="962">
        <f t="shared" si="13"/>
        <v>0.99999765287513087</v>
      </c>
      <c r="K56" s="967">
        <f t="shared" si="15"/>
        <v>0.99999882643756544</v>
      </c>
      <c r="L56" s="935"/>
      <c r="M56" s="968">
        <f t="shared" si="16"/>
        <v>294.86733191161107</v>
      </c>
      <c r="N56" s="956"/>
      <c r="O56" s="957">
        <f t="shared" si="17"/>
        <v>3538.4038303966458</v>
      </c>
      <c r="P56" s="956"/>
      <c r="Q56" s="963">
        <f t="shared" si="14"/>
        <v>2254.71</v>
      </c>
      <c r="R56" s="969">
        <f t="shared" si="18"/>
        <v>27022.563830396644</v>
      </c>
    </row>
    <row r="57" spans="1:18" s="402" customFormat="1" ht="12" customHeight="1">
      <c r="A57" s="954" t="s">
        <v>741</v>
      </c>
      <c r="B57" s="954" t="s">
        <v>742</v>
      </c>
      <c r="C57" s="966">
        <f>IFERROR(VLOOKUP(A57,'[46]G-48 Rate Jan-Apr '!$F$4:$H$710,3,FALSE),0)</f>
        <v>418.15</v>
      </c>
      <c r="D57" s="961">
        <f>'Rate Schedule G-48'!B137*References!B9</f>
        <v>419.9667</v>
      </c>
      <c r="E57" s="962">
        <f>IFERROR(VLOOKUP(A57,'[46]G-48 Rev Jan-Apr'!$D$5:$E$117,2,FALSE),0)</f>
        <v>8363</v>
      </c>
      <c r="F57" s="962">
        <f>IFERROR(VLOOKUP(A57,'[46]G-48 Rev May-Dec'!$D$5:$E$127,2,FALSE),0)</f>
        <v>14082.990000000002</v>
      </c>
      <c r="G57" s="962">
        <f t="shared" si="11"/>
        <v>22445.99</v>
      </c>
      <c r="H57" s="935"/>
      <c r="I57" s="962">
        <f t="shared" si="12"/>
        <v>5</v>
      </c>
      <c r="J57" s="962">
        <f t="shared" si="13"/>
        <v>4.1916984132313351</v>
      </c>
      <c r="K57" s="967">
        <f t="shared" si="15"/>
        <v>4.595849206615668</v>
      </c>
      <c r="L57" s="935"/>
      <c r="M57" s="968">
        <f t="shared" si="16"/>
        <v>63.185856838202369</v>
      </c>
      <c r="N57" s="956"/>
      <c r="O57" s="957">
        <f t="shared" si="17"/>
        <v>3484.7120402302025</v>
      </c>
      <c r="P57" s="956"/>
      <c r="Q57" s="963">
        <f t="shared" si="14"/>
        <v>483.15</v>
      </c>
      <c r="R57" s="969">
        <f t="shared" si="18"/>
        <v>25930.702040230204</v>
      </c>
    </row>
    <row r="58" spans="1:18" s="402" customFormat="1" ht="12" customHeight="1">
      <c r="A58" s="954" t="s">
        <v>743</v>
      </c>
      <c r="B58" s="954" t="s">
        <v>744</v>
      </c>
      <c r="C58" s="966">
        <f>IFERROR(VLOOKUP(A58,'[46]G-48 Rate Jan-Apr '!$F$4:$H$710,3,FALSE),0)</f>
        <v>836.3</v>
      </c>
      <c r="D58" s="961">
        <f>'Rate Schedule G-48'!B137*References!C9</f>
        <v>839.93340000000001</v>
      </c>
      <c r="E58" s="962">
        <f>IFERROR(VLOOKUP(A58,'[46]G-48 Rev Jan-Apr'!$D$5:$E$117,2,FALSE),0)</f>
        <v>6690.4</v>
      </c>
      <c r="F58" s="962">
        <f>IFERROR(VLOOKUP(A58,'[46]G-48 Rev May-Dec'!$D$5:$E$127,2,FALSE),0)</f>
        <v>13438.88</v>
      </c>
      <c r="G58" s="962">
        <f t="shared" si="11"/>
        <v>20129.28</v>
      </c>
      <c r="H58" s="935"/>
      <c r="I58" s="962">
        <f t="shared" si="12"/>
        <v>2</v>
      </c>
      <c r="J58" s="962">
        <f t="shared" si="13"/>
        <v>1.9999919041200169</v>
      </c>
      <c r="K58" s="967">
        <f t="shared" si="15"/>
        <v>1.9999959520600084</v>
      </c>
      <c r="L58" s="935"/>
      <c r="M58" s="968">
        <f t="shared" si="16"/>
        <v>126.37171367640474</v>
      </c>
      <c r="N58" s="956"/>
      <c r="O58" s="957">
        <f t="shared" si="17"/>
        <v>3032.9149896923504</v>
      </c>
      <c r="P58" s="956"/>
      <c r="Q58" s="963">
        <f t="shared" si="14"/>
        <v>966.31</v>
      </c>
      <c r="R58" s="969">
        <f t="shared" si="18"/>
        <v>23162.194989692351</v>
      </c>
    </row>
    <row r="59" spans="1:18" s="402" customFormat="1" ht="12" customHeight="1">
      <c r="A59" s="954" t="s">
        <v>745</v>
      </c>
      <c r="B59" s="954" t="s">
        <v>746</v>
      </c>
      <c r="C59" s="966">
        <f>IFERROR(VLOOKUP(A59,'[46]G-48 Rate Jan-Apr '!$F$4:$H$710,3,FALSE),0)</f>
        <v>557.53</v>
      </c>
      <c r="D59" s="961">
        <f>'Rate Schedule G-48'!B137*References!B8</f>
        <v>559.9556</v>
      </c>
      <c r="E59" s="962">
        <f>IFERROR(VLOOKUP(A59,'[46]G-48 Rev Jan-Apr'!$D$5:$E$117,2,FALSE),0)</f>
        <v>2230.12</v>
      </c>
      <c r="F59" s="962">
        <f>IFERROR(VLOOKUP(A59,'[46]G-48 Rev May-Dec'!$D$5:$E$127,2,FALSE),0)</f>
        <v>4479.68</v>
      </c>
      <c r="G59" s="962">
        <f t="shared" si="11"/>
        <v>6709.8</v>
      </c>
      <c r="H59" s="935"/>
      <c r="I59" s="962">
        <f t="shared" si="12"/>
        <v>1</v>
      </c>
      <c r="J59" s="962">
        <f t="shared" si="13"/>
        <v>1.0000078577658658</v>
      </c>
      <c r="K59" s="967">
        <f t="shared" si="15"/>
        <v>1.0000039288829328</v>
      </c>
      <c r="L59" s="935"/>
      <c r="M59" s="968">
        <f t="shared" si="16"/>
        <v>84.247809117603168</v>
      </c>
      <c r="N59" s="956"/>
      <c r="O59" s="957">
        <f t="shared" si="17"/>
        <v>1010.9776814085903</v>
      </c>
      <c r="P59" s="956"/>
      <c r="Q59" s="963">
        <f t="shared" si="14"/>
        <v>644.20000000000005</v>
      </c>
      <c r="R59" s="969">
        <f t="shared" si="18"/>
        <v>7720.7776814085901</v>
      </c>
    </row>
    <row r="60" spans="1:18" s="402" customFormat="1" ht="12" customHeight="1">
      <c r="A60" s="954" t="s">
        <v>747</v>
      </c>
      <c r="B60" s="954" t="s">
        <v>748</v>
      </c>
      <c r="C60" s="966">
        <f>IFERROR(VLOOKUP(A60,'[46]G-48 Rate Jan-Apr '!$F$4:$H$710,3,FALSE),0)</f>
        <v>69.849999999999994</v>
      </c>
      <c r="D60" s="961">
        <f>'Rate Schedule G-48'!B137*References!B12</f>
        <v>70.156099999999995</v>
      </c>
      <c r="E60" s="962">
        <f>IFERROR(VLOOKUP(A60,'[46]G-48 Rev Jan-Apr'!$D$5:$E$117,2,FALSE),0)</f>
        <v>3565.0999999999995</v>
      </c>
      <c r="F60" s="962">
        <f>IFERROR(VLOOKUP(A60,'[46]G-48 Rev May-Dec'!$D$5:$E$127,2,FALSE),0)</f>
        <v>7887.07</v>
      </c>
      <c r="G60" s="962">
        <f t="shared" si="11"/>
        <v>11452.169999999998</v>
      </c>
      <c r="H60" s="935"/>
      <c r="I60" s="962">
        <f t="shared" si="12"/>
        <v>12.759842519685039</v>
      </c>
      <c r="J60" s="962">
        <f t="shared" si="13"/>
        <v>14.052716014715756</v>
      </c>
      <c r="K60" s="967">
        <f t="shared" si="15"/>
        <v>13.406279267200397</v>
      </c>
      <c r="L60" s="935"/>
      <c r="M60" s="968">
        <f t="shared" si="16"/>
        <v>10.555297100762058</v>
      </c>
      <c r="N60" s="956"/>
      <c r="O60" s="957">
        <f t="shared" si="17"/>
        <v>1698.0871281730419</v>
      </c>
      <c r="P60" s="956"/>
      <c r="Q60" s="963">
        <f t="shared" si="14"/>
        <v>80.709999999999994</v>
      </c>
      <c r="R60" s="969">
        <f t="shared" si="18"/>
        <v>13150.25712817304</v>
      </c>
    </row>
    <row r="61" spans="1:18" s="402" customFormat="1" ht="12" customHeight="1">
      <c r="A61" s="954" t="s">
        <v>749</v>
      </c>
      <c r="B61" s="954" t="s">
        <v>750</v>
      </c>
      <c r="C61" s="966">
        <f>IFERROR(VLOOKUP(A61,'[46]G-48 Rate Jan-Apr '!$F$4:$H$710,3,FALSE),0)</f>
        <v>234.51</v>
      </c>
      <c r="D61" s="961">
        <f>'Rate Schedule G-48'!B139*References!B11</f>
        <v>235.68190000000001</v>
      </c>
      <c r="E61" s="962">
        <f>IFERROR(VLOOKUP(A61,'[46]G-48 Rev Jan-Apr'!$D$5:$E$117,2,FALSE),0)</f>
        <v>1876.08</v>
      </c>
      <c r="F61" s="962">
        <f>IFERROR(VLOOKUP(A61,'[46]G-48 Rev May-Dec'!$D$5:$E$127,2,FALSE),0)</f>
        <v>3762.69</v>
      </c>
      <c r="G61" s="962">
        <f t="shared" si="11"/>
        <v>5638.77</v>
      </c>
      <c r="H61" s="935"/>
      <c r="I61" s="962">
        <f t="shared" si="12"/>
        <v>2</v>
      </c>
      <c r="J61" s="962">
        <f t="shared" si="13"/>
        <v>1.9956400979455782</v>
      </c>
      <c r="K61" s="967">
        <f t="shared" si="15"/>
        <v>1.9978200489727891</v>
      </c>
      <c r="L61" s="935"/>
      <c r="M61" s="968">
        <f t="shared" si="16"/>
        <v>35.459389501014073</v>
      </c>
      <c r="N61" s="956"/>
      <c r="O61" s="957">
        <f t="shared" si="17"/>
        <v>850.09775123353359</v>
      </c>
      <c r="P61" s="956"/>
      <c r="Q61" s="963">
        <f t="shared" si="14"/>
        <v>271.14</v>
      </c>
      <c r="R61" s="969">
        <f t="shared" si="18"/>
        <v>6488.8677512335344</v>
      </c>
    </row>
    <row r="62" spans="1:18" s="402" customFormat="1" ht="12" customHeight="1">
      <c r="A62" s="954" t="s">
        <v>751</v>
      </c>
      <c r="B62" s="954" t="s">
        <v>752</v>
      </c>
      <c r="C62" s="966">
        <f>IFERROR(VLOOKUP(A62,'[46]G-48 Rate Jan-Apr '!$F$4:$H$710,3,FALSE),0)</f>
        <v>117.53</v>
      </c>
      <c r="D62" s="961">
        <f>'Rate Schedule G-48'!B139*References!B12</f>
        <v>118.11309999999999</v>
      </c>
      <c r="E62" s="962">
        <f>IFERROR(VLOOKUP(A62,'[46]G-48 Rev Jan-Apr'!$D$5:$E$117,2,FALSE),0)</f>
        <v>397.04</v>
      </c>
      <c r="F62" s="962">
        <f>IFERROR(VLOOKUP(A62,'[46]G-48 Rev May-Dec'!$D$5:$E$127,2,FALSE),0)</f>
        <v>794.08</v>
      </c>
      <c r="G62" s="962">
        <f t="shared" si="11"/>
        <v>1191.1200000000001</v>
      </c>
      <c r="H62" s="935"/>
      <c r="I62" s="962">
        <f t="shared" si="12"/>
        <v>0.84455032757593806</v>
      </c>
      <c r="J62" s="962">
        <f t="shared" si="13"/>
        <v>0.84038095689639858</v>
      </c>
      <c r="K62" s="967"/>
      <c r="L62" s="935"/>
      <c r="M62" s="968">
        <f t="shared" si="16"/>
        <v>17.770640927759938</v>
      </c>
      <c r="N62" s="956"/>
      <c r="O62" s="957">
        <f t="shared" si="17"/>
        <v>0</v>
      </c>
      <c r="P62" s="956"/>
      <c r="Q62" s="963">
        <f t="shared" si="14"/>
        <v>135.88</v>
      </c>
      <c r="R62" s="969">
        <f t="shared" si="18"/>
        <v>1191.1200000000001</v>
      </c>
    </row>
    <row r="63" spans="1:18" s="402" customFormat="1" ht="12" customHeight="1">
      <c r="A63" s="954" t="s">
        <v>753</v>
      </c>
      <c r="B63" s="936" t="s">
        <v>754</v>
      </c>
      <c r="C63" s="966">
        <f>IFERROR(VLOOKUP(A63,'[46]G-48 Rate Jan-Apr '!$F$4:$H$710,3,FALSE),0)</f>
        <v>34.130000000000003</v>
      </c>
      <c r="D63" s="961">
        <f>'Rate Schedule G-48'!B143</f>
        <v>34.24</v>
      </c>
      <c r="E63" s="962">
        <f>IFERROR(VLOOKUP(A63,'[46]G-48 Rev Jan-Apr'!$D$5:$E$117,2,FALSE),0)</f>
        <v>0</v>
      </c>
      <c r="F63" s="962">
        <f>IFERROR(VLOOKUP(A63,'[46]G-48 Rev May-Dec'!$D$5:$E$127,2,FALSE),0)</f>
        <v>34.24</v>
      </c>
      <c r="G63" s="962">
        <f>SUM(E63:F63)</f>
        <v>34.24</v>
      </c>
      <c r="H63" s="935"/>
      <c r="I63" s="962">
        <f>IFERROR(E63/($C63),0)/4</f>
        <v>0</v>
      </c>
      <c r="J63" s="962">
        <f>IFERROR(F63/($D63),0)/8</f>
        <v>0.125</v>
      </c>
      <c r="K63" s="967">
        <f>IFERROR(AVERAGEIF(I63:J63,"&lt;&gt;0"),0)</f>
        <v>0.125</v>
      </c>
      <c r="L63" s="935"/>
      <c r="M63" s="968">
        <f t="shared" si="16"/>
        <v>5.1515602026066576</v>
      </c>
      <c r="N63" s="956"/>
      <c r="O63" s="957">
        <f t="shared" si="17"/>
        <v>7.7273403039099868</v>
      </c>
      <c r="P63" s="956"/>
      <c r="Q63" s="963">
        <f t="shared" si="14"/>
        <v>39.39</v>
      </c>
      <c r="R63" s="969">
        <f t="shared" si="18"/>
        <v>41.967340303909992</v>
      </c>
    </row>
    <row r="64" spans="1:18" s="402" customFormat="1" ht="12" customHeight="1">
      <c r="A64" s="954" t="s">
        <v>755</v>
      </c>
      <c r="B64" s="936" t="s">
        <v>756</v>
      </c>
      <c r="C64" s="966">
        <f>IFERROR(VLOOKUP(A64,'[46]G-48 Rate Jan-Apr '!$F$4:$H$710,3,FALSE),0)</f>
        <v>23.2</v>
      </c>
      <c r="D64" s="961">
        <f>'Rate Schedule G-48'!B142</f>
        <v>23.28</v>
      </c>
      <c r="E64" s="962">
        <f>IFERROR(VLOOKUP(A64,'[46]G-48 Rev Jan-Apr'!$D$5:$E$117,2,FALSE),0)</f>
        <v>92.8</v>
      </c>
      <c r="F64" s="962">
        <f>IFERROR(VLOOKUP(A64,'[46]G-48 Rev May-Dec'!$D$5:$E$127,2,FALSE),0)</f>
        <v>186.24</v>
      </c>
      <c r="G64" s="962">
        <f>SUM(E64:F64)</f>
        <v>279.04000000000002</v>
      </c>
      <c r="H64" s="935"/>
      <c r="I64" s="962">
        <f>IFERROR(E64/($C64),0)/4</f>
        <v>1</v>
      </c>
      <c r="J64" s="962">
        <f>IFERROR(F64/($D64),0)/8</f>
        <v>1</v>
      </c>
      <c r="K64" s="967">
        <f>IFERROR(AVERAGEIF(I64:J64,"&lt;&gt;0"),0)</f>
        <v>1</v>
      </c>
      <c r="L64" s="935"/>
      <c r="M64" s="968">
        <f t="shared" ref="M64:M101" si="19">$M$6*D64</f>
        <v>3.5025794835479842</v>
      </c>
      <c r="N64" s="956"/>
      <c r="O64" s="957">
        <f t="shared" ref="O64:O101" si="20">K64*SUM(M64:M64)*12</f>
        <v>42.030953802575809</v>
      </c>
      <c r="P64" s="956"/>
      <c r="Q64" s="963">
        <f t="shared" si="14"/>
        <v>26.78</v>
      </c>
      <c r="R64" s="969">
        <f t="shared" ref="R64:R100" si="21">G64+O64</f>
        <v>321.07095380257584</v>
      </c>
    </row>
    <row r="65" spans="1:18" s="402" customFormat="1" ht="12" customHeight="1">
      <c r="A65" s="954" t="s">
        <v>757</v>
      </c>
      <c r="B65" s="954" t="s">
        <v>758</v>
      </c>
      <c r="C65" s="966">
        <f>IFERROR(VLOOKUP(A65,'[46]G-48 Rate Jan-Apr '!$F$4:$H$710,3,FALSE),0)</f>
        <v>19.100000000000001</v>
      </c>
      <c r="D65" s="961">
        <f>'Rate Schedule G-48'!B174</f>
        <v>19.16</v>
      </c>
      <c r="E65" s="962">
        <f>IFERROR(VLOOKUP(A65,'[46]G-48 Rev Jan-Apr'!$D$5:$E$117,2,FALSE),0)</f>
        <v>2984.38</v>
      </c>
      <c r="F65" s="962">
        <f>IFERROR(VLOOKUP(A65,'[46]G-48 Rev May-Dec'!$D$5:$E$127,2,FALSE),0)</f>
        <v>6339.6100000000006</v>
      </c>
      <c r="G65" s="962">
        <f t="shared" si="11"/>
        <v>9323.9900000000016</v>
      </c>
      <c r="H65" s="935"/>
      <c r="I65" s="962">
        <f t="shared" si="12"/>
        <v>39.062565445026173</v>
      </c>
      <c r="J65" s="962">
        <f t="shared" si="13"/>
        <v>41.359668580375789</v>
      </c>
      <c r="K65" s="967">
        <f t="shared" ref="K65:K70" si="22">IFERROR(AVERAGEIF(I65:J65,"&lt;&gt;0"),0)</f>
        <v>40.211117012700981</v>
      </c>
      <c r="L65" s="935"/>
      <c r="M65" s="968">
        <f t="shared" si="19"/>
        <v>2.8827071694492861</v>
      </c>
      <c r="N65" s="956"/>
      <c r="O65" s="957">
        <f t="shared" si="20"/>
        <v>1391.0025036489274</v>
      </c>
      <c r="P65" s="956"/>
      <c r="Q65" s="963">
        <f t="shared" si="14"/>
        <v>22.04</v>
      </c>
      <c r="R65" s="969">
        <f t="shared" si="21"/>
        <v>10714.992503648929</v>
      </c>
    </row>
    <row r="66" spans="1:18" s="402" customFormat="1" ht="12" customHeight="1">
      <c r="A66" s="954" t="s">
        <v>759</v>
      </c>
      <c r="B66" s="954" t="s">
        <v>665</v>
      </c>
      <c r="C66" s="966">
        <f>IFERROR(VLOOKUP(A66,'[46]G-48 Rate Jan-Apr '!$F$4:$H$710,3,FALSE),0)</f>
        <v>38.19</v>
      </c>
      <c r="D66" s="961">
        <f>'Rate Schedule G-48'!$B$172*References!C11</f>
        <v>38.277200000000001</v>
      </c>
      <c r="E66" s="962">
        <f>IFERROR(VLOOKUP(A66,'[46]G-48 Rev Jan-Apr'!$D$5:$E$117,2,FALSE),0)</f>
        <v>1069.32</v>
      </c>
      <c r="F66" s="962">
        <f>IFERROR(VLOOKUP(A66,'[46]G-48 Rev May-Dec'!$D$5:$E$127,2,FALSE),0)</f>
        <v>2308.2600000000002</v>
      </c>
      <c r="G66" s="962">
        <f t="shared" si="11"/>
        <v>3377.58</v>
      </c>
      <c r="H66" s="935"/>
      <c r="I66" s="962">
        <f t="shared" si="12"/>
        <v>7</v>
      </c>
      <c r="J66" s="962">
        <f t="shared" si="13"/>
        <v>7.5379729969799261</v>
      </c>
      <c r="K66" s="967">
        <f t="shared" si="22"/>
        <v>7.268986498489963</v>
      </c>
      <c r="L66" s="935"/>
      <c r="M66" s="968">
        <f t="shared" si="19"/>
        <v>5.758974888645314</v>
      </c>
      <c r="N66" s="956"/>
      <c r="O66" s="957">
        <f t="shared" si="20"/>
        <v>502.34292852846625</v>
      </c>
      <c r="P66" s="956"/>
      <c r="Q66" s="963">
        <f t="shared" si="14"/>
        <v>44.04</v>
      </c>
      <c r="R66" s="969">
        <f t="shared" si="21"/>
        <v>3879.9229285284664</v>
      </c>
    </row>
    <row r="67" spans="1:18" s="402" customFormat="1" ht="12" customHeight="1">
      <c r="A67" s="954" t="s">
        <v>760</v>
      </c>
      <c r="B67" s="954" t="s">
        <v>667</v>
      </c>
      <c r="C67" s="966">
        <f>IFERROR(VLOOKUP(A67,'[46]G-48 Rate Jan-Apr '!$F$4:$H$710,3,FALSE),0)</f>
        <v>57.29</v>
      </c>
      <c r="D67" s="961">
        <f>'Rate Schedule G-48'!$B$172*References!D11</f>
        <v>57.415799999999997</v>
      </c>
      <c r="E67" s="962">
        <f>IFERROR(VLOOKUP(A67,'[46]G-48 Rev Jan-Apr'!$D$5:$E$117,2,FALSE),0)</f>
        <v>0</v>
      </c>
      <c r="F67" s="962">
        <f>IFERROR(VLOOKUP(A67,'[46]G-48 Rev May-Dec'!$D$5:$E$127,2,FALSE),0)</f>
        <v>195.66</v>
      </c>
      <c r="G67" s="962">
        <f t="shared" si="11"/>
        <v>195.66</v>
      </c>
      <c r="H67" s="935"/>
      <c r="I67" s="962">
        <f t="shared" si="12"/>
        <v>0</v>
      </c>
      <c r="J67" s="962">
        <f t="shared" si="13"/>
        <v>0.42597159666851286</v>
      </c>
      <c r="K67" s="967">
        <f t="shared" si="22"/>
        <v>0.42597159666851286</v>
      </c>
      <c r="L67" s="935"/>
      <c r="M67" s="968">
        <f t="shared" si="19"/>
        <v>8.6384623329679702</v>
      </c>
      <c r="N67" s="956"/>
      <c r="O67" s="957">
        <f t="shared" si="20"/>
        <v>44.156875112822078</v>
      </c>
      <c r="P67" s="956"/>
      <c r="Q67" s="963">
        <f t="shared" si="14"/>
        <v>66.05</v>
      </c>
      <c r="R67" s="969">
        <f t="shared" si="21"/>
        <v>239.81687511282206</v>
      </c>
    </row>
    <row r="68" spans="1:18" s="402" customFormat="1" ht="12" customHeight="1">
      <c r="A68" s="954" t="s">
        <v>761</v>
      </c>
      <c r="B68" s="954" t="s">
        <v>762</v>
      </c>
      <c r="C68" s="966">
        <f>IFERROR(VLOOKUP(A68,'[46]G-48 Rate Jan-Apr '!$F$4:$H$710,3,FALSE),0)</f>
        <v>76.38</v>
      </c>
      <c r="D68" s="961">
        <f>'Rate Schedule G-48'!$B$172*References!E11</f>
        <v>76.554400000000001</v>
      </c>
      <c r="E68" s="962">
        <f>IFERROR(VLOOKUP(A68,'[46]G-48 Rev Jan-Apr'!$D$5:$E$117,2,FALSE),0)</f>
        <v>286.43</v>
      </c>
      <c r="F68" s="962">
        <f>IFERROR(VLOOKUP(A68,'[46]G-48 Rev May-Dec'!$D$5:$E$127,2,FALSE),0)</f>
        <v>765.5</v>
      </c>
      <c r="G68" s="962">
        <f t="shared" si="11"/>
        <v>1051.93</v>
      </c>
      <c r="H68" s="935"/>
      <c r="I68" s="962">
        <f t="shared" si="12"/>
        <v>0.93751636554071749</v>
      </c>
      <c r="J68" s="962">
        <f t="shared" si="13"/>
        <v>1.2499281556644686</v>
      </c>
      <c r="K68" s="967">
        <f t="shared" si="22"/>
        <v>1.0937222606025929</v>
      </c>
      <c r="L68" s="935"/>
      <c r="M68" s="968">
        <f t="shared" si="19"/>
        <v>11.517949777290628</v>
      </c>
      <c r="N68" s="956"/>
      <c r="O68" s="957">
        <f t="shared" si="20"/>
        <v>151.16925681510526</v>
      </c>
      <c r="P68" s="956"/>
      <c r="Q68" s="963">
        <f t="shared" si="14"/>
        <v>88.07</v>
      </c>
      <c r="R68" s="969">
        <f t="shared" si="21"/>
        <v>1203.0992568151053</v>
      </c>
    </row>
    <row r="69" spans="1:18" s="402" customFormat="1" ht="12" customHeight="1">
      <c r="A69" s="954" t="s">
        <v>763</v>
      </c>
      <c r="B69" s="954" t="s">
        <v>673</v>
      </c>
      <c r="C69" s="966">
        <f>IFERROR(VLOOKUP(A69,'[46]G-48 Rate Jan-Apr '!$F$4:$H$710,3,FALSE),0)</f>
        <v>19.100000000000001</v>
      </c>
      <c r="D69" s="961">
        <f>'Rate Schedule G-48'!B174</f>
        <v>19.16</v>
      </c>
      <c r="E69" s="962">
        <f>IFERROR(VLOOKUP(A69,'[46]G-48 Rev Jan-Apr'!$D$5:$E$117,2,FALSE),0)</f>
        <v>0</v>
      </c>
      <c r="F69" s="962">
        <f>IFERROR(VLOOKUP(A69,'[46]G-48 Rev May-Dec'!$D$5:$E$127,2,FALSE),0)</f>
        <v>320.90000000000003</v>
      </c>
      <c r="G69" s="962">
        <f t="shared" si="11"/>
        <v>320.90000000000003</v>
      </c>
      <c r="H69" s="935"/>
      <c r="I69" s="962">
        <f t="shared" si="12"/>
        <v>0</v>
      </c>
      <c r="J69" s="962">
        <f t="shared" si="13"/>
        <v>2.0935542797494784</v>
      </c>
      <c r="K69" s="967">
        <f t="shared" si="22"/>
        <v>2.0935542797494784</v>
      </c>
      <c r="L69" s="935"/>
      <c r="M69" s="968">
        <f t="shared" si="19"/>
        <v>2.8827071694492861</v>
      </c>
      <c r="N69" s="956"/>
      <c r="O69" s="957">
        <f t="shared" si="20"/>
        <v>72.421247182380682</v>
      </c>
      <c r="P69" s="956"/>
      <c r="Q69" s="963">
        <f t="shared" si="14"/>
        <v>22.04</v>
      </c>
      <c r="R69" s="969">
        <f t="shared" si="21"/>
        <v>393.32124718238072</v>
      </c>
    </row>
    <row r="70" spans="1:18" s="402" customFormat="1" ht="12" customHeight="1">
      <c r="A70" s="954" t="s">
        <v>764</v>
      </c>
      <c r="B70" s="954" t="s">
        <v>765</v>
      </c>
      <c r="C70" s="966">
        <f>IFERROR(VLOOKUP(A70,'[46]G-48 Rate Jan-Apr '!$F$4:$H$710,3,FALSE),0)</f>
        <v>31.48</v>
      </c>
      <c r="D70" s="961">
        <f>'Rate Schedule G-48'!B184</f>
        <v>31.59</v>
      </c>
      <c r="E70" s="962">
        <f>IFERROR(VLOOKUP(A70,'[46]G-48 Rev Jan-Apr'!$D$5:$E$117,2,FALSE),0)</f>
        <v>251.84</v>
      </c>
      <c r="F70" s="962">
        <f>IFERROR(VLOOKUP(A70,'[46]G-48 Rev May-Dec'!$D$5:$E$127,2,FALSE),0)</f>
        <v>505.44</v>
      </c>
      <c r="G70" s="962">
        <f t="shared" si="11"/>
        <v>757.28</v>
      </c>
      <c r="H70" s="935"/>
      <c r="I70" s="962">
        <f t="shared" si="12"/>
        <v>2</v>
      </c>
      <c r="J70" s="962">
        <f t="shared" si="13"/>
        <v>2</v>
      </c>
      <c r="K70" s="967">
        <f t="shared" si="22"/>
        <v>2</v>
      </c>
      <c r="L70" s="935"/>
      <c r="M70" s="968">
        <f t="shared" si="19"/>
        <v>4.7528559229072513</v>
      </c>
      <c r="N70" s="956"/>
      <c r="O70" s="957">
        <f t="shared" si="20"/>
        <v>114.06854214977403</v>
      </c>
      <c r="P70" s="956"/>
      <c r="Q70" s="963">
        <f t="shared" si="14"/>
        <v>36.340000000000003</v>
      </c>
      <c r="R70" s="969">
        <f t="shared" si="21"/>
        <v>871.34854214977395</v>
      </c>
    </row>
    <row r="71" spans="1:18" s="402" customFormat="1" ht="12" customHeight="1">
      <c r="A71" s="954" t="s">
        <v>766</v>
      </c>
      <c r="B71" s="954" t="s">
        <v>767</v>
      </c>
      <c r="C71" s="966">
        <f>IFERROR(VLOOKUP(A71,'[46]G-48 Rate Jan-Apr '!$F$4:$H$710,3,FALSE),0)</f>
        <v>4.41</v>
      </c>
      <c r="D71" s="961">
        <f>'Rate Schedule G-48'!B177</f>
        <v>4.42</v>
      </c>
      <c r="E71" s="962">
        <f>IFERROR(VLOOKUP(A71,'[46]G-48 Rev Jan-Apr'!$D$5:$E$117,2,FALSE),0)</f>
        <v>420.10999999999996</v>
      </c>
      <c r="F71" s="962">
        <f>IFERROR(VLOOKUP(A71,'[46]G-48 Rev May-Dec'!$D$5:$E$127,2,FALSE),0)</f>
        <v>999.3</v>
      </c>
      <c r="G71" s="962">
        <f t="shared" si="11"/>
        <v>1419.4099999999999</v>
      </c>
      <c r="H71" s="935"/>
      <c r="I71" s="962">
        <f t="shared" ref="I71:I101" si="23">IFERROR(E71/($C71),0)/4</f>
        <v>23.815759637188204</v>
      </c>
      <c r="J71" s="962">
        <f t="shared" ref="J71:J101" si="24">IFERROR(F71/($D71),0)/8</f>
        <v>28.260746606334841</v>
      </c>
      <c r="K71" s="967">
        <f t="shared" ref="K71:K101" si="25">IFERROR(AVERAGEIF(I71:J71,"&lt;&gt;0"),0)</f>
        <v>26.038253121761521</v>
      </c>
      <c r="L71" s="935"/>
      <c r="M71" s="968">
        <f t="shared" si="19"/>
        <v>0.66500864764957435</v>
      </c>
      <c r="N71" s="956"/>
      <c r="O71" s="957">
        <f t="shared" si="20"/>
        <v>207.78796194791926</v>
      </c>
      <c r="P71" s="956"/>
      <c r="Q71" s="963">
        <f t="shared" si="14"/>
        <v>5.09</v>
      </c>
      <c r="R71" s="969">
        <f t="shared" si="21"/>
        <v>1627.1979619479191</v>
      </c>
    </row>
    <row r="72" spans="1:18" s="402" customFormat="1" ht="11.25" customHeight="1">
      <c r="A72" s="954" t="s">
        <v>768</v>
      </c>
      <c r="B72" s="954" t="s">
        <v>681</v>
      </c>
      <c r="C72" s="966">
        <f>IFERROR(VLOOKUP(A72,'[46]G-48 Rate Jan-Apr '!$F$4:$H$710,3,FALSE),0)</f>
        <v>5.34</v>
      </c>
      <c r="D72" s="961">
        <f>'Rate Schedule G-48'!B175</f>
        <v>5.35</v>
      </c>
      <c r="E72" s="962">
        <v>11</v>
      </c>
      <c r="F72" s="962">
        <f>IFERROR(VLOOKUP(A72,'[46]G-48 Rev May-Dec'!$D$5:$E$127,2,FALSE),0)+32</f>
        <v>46.81</v>
      </c>
      <c r="G72" s="962">
        <f t="shared" si="11"/>
        <v>57.81</v>
      </c>
      <c r="H72" s="935"/>
      <c r="I72" s="962">
        <f t="shared" si="23"/>
        <v>0.51498127340823974</v>
      </c>
      <c r="J72" s="962">
        <f t="shared" si="24"/>
        <v>1.0936915887850469</v>
      </c>
      <c r="K72" s="967">
        <f t="shared" si="25"/>
        <v>0.80433643109664332</v>
      </c>
      <c r="L72" s="935"/>
      <c r="M72" s="968">
        <f t="shared" si="19"/>
        <v>0.80493128165729011</v>
      </c>
      <c r="N72" s="956"/>
      <c r="O72" s="957">
        <f t="shared" si="20"/>
        <v>7.7692266523952611</v>
      </c>
      <c r="P72" s="956"/>
      <c r="Q72" s="963">
        <f t="shared" si="14"/>
        <v>6.15</v>
      </c>
      <c r="R72" s="969">
        <f t="shared" si="21"/>
        <v>65.579226652395263</v>
      </c>
    </row>
    <row r="73" spans="1:18" s="402" customFormat="1" ht="12" customHeight="1">
      <c r="A73" s="954" t="s">
        <v>769</v>
      </c>
      <c r="B73" s="954" t="s">
        <v>770</v>
      </c>
      <c r="C73" s="966">
        <f>IFERROR(VLOOKUP(A73,'[46]G-48 Rate Jan-Apr '!$F$4:$H$710,3,FALSE),0)</f>
        <v>23.19</v>
      </c>
      <c r="D73" s="961">
        <f>'Rate Schedule G-48'!B142</f>
        <v>23.28</v>
      </c>
      <c r="E73" s="962">
        <f>IFERROR(VLOOKUP(A73,'[46]G-48 Rev Jan-Apr'!$D$5:$E$117,2,FALSE),0)</f>
        <v>162.32999999999998</v>
      </c>
      <c r="F73" s="962">
        <f>IFERROR(VLOOKUP(A73,'[46]G-48 Rev May-Dec'!$D$5:$E$127,2,FALSE),0)</f>
        <v>535.05000000000007</v>
      </c>
      <c r="G73" s="962">
        <f t="shared" si="11"/>
        <v>697.38000000000011</v>
      </c>
      <c r="H73" s="935"/>
      <c r="I73" s="962">
        <f t="shared" si="23"/>
        <v>1.7499999999999998</v>
      </c>
      <c r="J73" s="962">
        <f t="shared" si="24"/>
        <v>2.8729059278350517</v>
      </c>
      <c r="K73" s="967">
        <f t="shared" si="25"/>
        <v>2.3114529639175259</v>
      </c>
      <c r="L73" s="935"/>
      <c r="M73" s="968">
        <f t="shared" si="19"/>
        <v>3.5025794835479842</v>
      </c>
      <c r="N73" s="956"/>
      <c r="O73" s="957">
        <f t="shared" si="20"/>
        <v>97.152572743244463</v>
      </c>
      <c r="P73" s="956"/>
      <c r="Q73" s="963">
        <f t="shared" si="14"/>
        <v>26.78</v>
      </c>
      <c r="R73" s="969">
        <f t="shared" si="21"/>
        <v>794.5325727432446</v>
      </c>
    </row>
    <row r="74" spans="1:18" s="402" customFormat="1" ht="12" customHeight="1">
      <c r="A74" s="954" t="s">
        <v>771</v>
      </c>
      <c r="B74" s="954" t="s">
        <v>772</v>
      </c>
      <c r="C74" s="966">
        <f>IFERROR(VLOOKUP(A74,'[46]G-48 Rate Jan-Apr '!$F$4:$H$710,3,FALSE),0)</f>
        <v>34.119999999999997</v>
      </c>
      <c r="D74" s="961">
        <f>'Rate Schedule G-48'!B143</f>
        <v>34.24</v>
      </c>
      <c r="E74" s="962">
        <f>IFERROR(VLOOKUP(A74,'[46]G-48 Rev Jan-Apr'!$D$5:$E$117,2,FALSE),0)</f>
        <v>887.12</v>
      </c>
      <c r="F74" s="962">
        <f>IFERROR(VLOOKUP(A74,'[46]G-48 Rev May-Dec'!$D$5:$E$127,2,FALSE),0)</f>
        <v>3295.0199999999995</v>
      </c>
      <c r="G74" s="962">
        <f t="shared" si="11"/>
        <v>4182.1399999999994</v>
      </c>
      <c r="H74" s="935"/>
      <c r="I74" s="962">
        <f t="shared" si="23"/>
        <v>6.5000000000000009</v>
      </c>
      <c r="J74" s="962">
        <f t="shared" si="24"/>
        <v>12.029132593457941</v>
      </c>
      <c r="K74" s="967">
        <f t="shared" si="25"/>
        <v>9.2645662967289706</v>
      </c>
      <c r="L74" s="935"/>
      <c r="M74" s="968">
        <f t="shared" si="19"/>
        <v>5.1515602026066576</v>
      </c>
      <c r="N74" s="956"/>
      <c r="O74" s="957">
        <f t="shared" si="20"/>
        <v>572.72365234367885</v>
      </c>
      <c r="P74" s="956"/>
      <c r="Q74" s="963">
        <f t="shared" si="14"/>
        <v>39.39</v>
      </c>
      <c r="R74" s="969">
        <f t="shared" si="21"/>
        <v>4754.863652343678</v>
      </c>
    </row>
    <row r="75" spans="1:18" s="402" customFormat="1" ht="12" customHeight="1">
      <c r="A75" s="954" t="s">
        <v>773</v>
      </c>
      <c r="B75" s="954" t="s">
        <v>774</v>
      </c>
      <c r="C75" s="966">
        <f>IFERROR(VLOOKUP(A75,'[46]G-48 Rate Jan-Apr '!$F$4:$H$710,3,FALSE),0)</f>
        <v>44.92</v>
      </c>
      <c r="D75" s="961">
        <f>'Rate Schedule G-48'!B144</f>
        <v>45.07</v>
      </c>
      <c r="E75" s="962">
        <f>IFERROR(VLOOKUP(A75,'[46]G-48 Rev Jan-Apr'!$D$5:$E$117,2,FALSE),0)</f>
        <v>1796.8000000000002</v>
      </c>
      <c r="F75" s="962">
        <f>IFERROR(VLOOKUP(A75,'[46]G-48 Rev May-Dec'!$D$5:$E$127,2,FALSE),0)</f>
        <v>3647.0600000000004</v>
      </c>
      <c r="G75" s="962">
        <f t="shared" si="11"/>
        <v>5443.8600000000006</v>
      </c>
      <c r="H75" s="935"/>
      <c r="I75" s="962">
        <f t="shared" si="23"/>
        <v>10</v>
      </c>
      <c r="J75" s="962">
        <f t="shared" si="24"/>
        <v>10.114987796760596</v>
      </c>
      <c r="K75" s="967">
        <f t="shared" si="25"/>
        <v>10.057493898380297</v>
      </c>
      <c r="L75" s="935"/>
      <c r="M75" s="968">
        <f t="shared" si="19"/>
        <v>6.7809818437932838</v>
      </c>
      <c r="N75" s="956"/>
      <c r="O75" s="957">
        <f t="shared" si="20"/>
        <v>818.39620222774238</v>
      </c>
      <c r="P75" s="956"/>
      <c r="Q75" s="963">
        <f t="shared" si="14"/>
        <v>51.85</v>
      </c>
      <c r="R75" s="969">
        <f t="shared" si="21"/>
        <v>6262.2562022277434</v>
      </c>
    </row>
    <row r="76" spans="1:18" s="402" customFormat="1" ht="12" customHeight="1">
      <c r="A76" s="954" t="s">
        <v>775</v>
      </c>
      <c r="B76" s="954" t="s">
        <v>776</v>
      </c>
      <c r="C76" s="966">
        <f>IFERROR(VLOOKUP(A76,'[46]G-48 Rate Jan-Apr '!$F$4:$H$710,3,FALSE),0)</f>
        <v>17.68</v>
      </c>
      <c r="D76" s="961">
        <f>'Rate Schedule G-48'!B83</f>
        <v>17.739999999999998</v>
      </c>
      <c r="E76" s="962">
        <f>IFERROR(VLOOKUP(A76,'[46]G-48 Rev Jan-Apr'!$D$5:$E$117,2,FALSE),0)</f>
        <v>128.22</v>
      </c>
      <c r="F76" s="962">
        <f>IFERROR(VLOOKUP(A76,'[46]G-48 Rev May-Dec'!$D$5:$E$127,2,FALSE),0)</f>
        <v>224.77</v>
      </c>
      <c r="G76" s="962">
        <f t="shared" si="11"/>
        <v>352.99</v>
      </c>
      <c r="H76" s="935"/>
      <c r="I76" s="962">
        <f t="shared" si="23"/>
        <v>1.8130656108597285</v>
      </c>
      <c r="J76" s="962">
        <f t="shared" si="24"/>
        <v>1.5837795941375425</v>
      </c>
      <c r="K76" s="967">
        <f t="shared" si="25"/>
        <v>1.6984226024986355</v>
      </c>
      <c r="L76" s="935"/>
      <c r="M76" s="968">
        <f t="shared" si="19"/>
        <v>2.6690618573084723</v>
      </c>
      <c r="N76" s="956"/>
      <c r="O76" s="957">
        <f t="shared" si="20"/>
        <v>54.398339831036367</v>
      </c>
      <c r="P76" s="956"/>
      <c r="Q76" s="963">
        <f t="shared" si="14"/>
        <v>20.41</v>
      </c>
      <c r="R76" s="969">
        <f t="shared" si="21"/>
        <v>407.38833983103638</v>
      </c>
    </row>
    <row r="77" spans="1:18" s="402" customFormat="1" ht="12" customHeight="1">
      <c r="A77" s="954" t="s">
        <v>777</v>
      </c>
      <c r="B77" s="954" t="s">
        <v>778</v>
      </c>
      <c r="C77" s="966">
        <v>16.059999999999999</v>
      </c>
      <c r="D77" s="961">
        <f>'Rate Schedule G-48'!B128</f>
        <v>16.059999999999999</v>
      </c>
      <c r="E77" s="962">
        <f>IFERROR(VLOOKUP(A77,'[46]G-48 Rev Jan-Apr'!$D$5:$E$117,2,FALSE),0)</f>
        <v>3832.12</v>
      </c>
      <c r="F77" s="962">
        <f>IFERROR(VLOOKUP(A77,'[46]G-48 Rev May-Dec'!$D$5:$E$127,2,FALSE),0)</f>
        <v>7436.99</v>
      </c>
      <c r="G77" s="962">
        <f t="shared" si="11"/>
        <v>11269.11</v>
      </c>
      <c r="H77" s="935"/>
      <c r="I77" s="962">
        <f t="shared" si="23"/>
        <v>59.653175591531756</v>
      </c>
      <c r="J77" s="962">
        <f t="shared" si="24"/>
        <v>57.884417808219183</v>
      </c>
      <c r="K77" s="967">
        <f t="shared" si="25"/>
        <v>58.768796699875466</v>
      </c>
      <c r="L77" s="935"/>
      <c r="M77" s="968">
        <f t="shared" si="19"/>
        <v>2.4162983894235661</v>
      </c>
      <c r="N77" s="956"/>
      <c r="O77" s="957">
        <f t="shared" si="20"/>
        <v>1704.0353857712407</v>
      </c>
      <c r="P77" s="956"/>
      <c r="Q77" s="963">
        <f t="shared" si="14"/>
        <v>18.48</v>
      </c>
      <c r="R77" s="969">
        <f t="shared" si="21"/>
        <v>12973.14538577124</v>
      </c>
    </row>
    <row r="78" spans="1:18" s="402" customFormat="1" ht="12" customHeight="1">
      <c r="A78" s="954" t="s">
        <v>779</v>
      </c>
      <c r="B78" s="954" t="s">
        <v>780</v>
      </c>
      <c r="C78" s="966">
        <v>25</v>
      </c>
      <c r="D78" s="961">
        <f>'Rate Schedule G-48'!B162</f>
        <v>25</v>
      </c>
      <c r="E78" s="962">
        <f>IFERROR(VLOOKUP(A78,'[46]G-48 Rev Jan-Apr'!$D$5:$E$117,2,FALSE),0)</f>
        <v>100</v>
      </c>
      <c r="F78" s="962">
        <f>IFERROR(VLOOKUP(A78,'[46]G-48 Rev May-Dec'!$D$5:$E$127,2,FALSE),0)</f>
        <v>200</v>
      </c>
      <c r="G78" s="962">
        <f t="shared" si="11"/>
        <v>300</v>
      </c>
      <c r="H78" s="935"/>
      <c r="I78" s="962">
        <f t="shared" si="23"/>
        <v>1</v>
      </c>
      <c r="J78" s="962">
        <f t="shared" si="24"/>
        <v>1</v>
      </c>
      <c r="K78" s="967">
        <f t="shared" si="25"/>
        <v>1</v>
      </c>
      <c r="L78" s="935"/>
      <c r="M78" s="968">
        <f t="shared" si="19"/>
        <v>3.7613611292396736</v>
      </c>
      <c r="N78" s="956"/>
      <c r="O78" s="957">
        <f t="shared" si="20"/>
        <v>45.136333550876081</v>
      </c>
      <c r="P78" s="956"/>
      <c r="Q78" s="963">
        <f t="shared" si="14"/>
        <v>28.76</v>
      </c>
      <c r="R78" s="969">
        <f t="shared" si="21"/>
        <v>345.13633355087609</v>
      </c>
    </row>
    <row r="79" spans="1:18" s="402" customFormat="1" ht="12" customHeight="1">
      <c r="A79" s="954" t="s">
        <v>781</v>
      </c>
      <c r="B79" s="954" t="s">
        <v>782</v>
      </c>
      <c r="C79" s="966">
        <f>D79</f>
        <v>19.59</v>
      </c>
      <c r="D79" s="961">
        <f>'Rate Schedule G-48'!B129</f>
        <v>19.59</v>
      </c>
      <c r="E79" s="962">
        <f>IFERROR(VLOOKUP(A79,'[46]G-48 Rev Jan-Apr'!$D$5:$E$117,2,FALSE),0)</f>
        <v>4770.91</v>
      </c>
      <c r="F79" s="962">
        <f>IFERROR(VLOOKUP(A79,'[46]G-48 Rev May-Dec'!$D$5:$E$127,2,FALSE),0)</f>
        <v>10771.06</v>
      </c>
      <c r="G79" s="962">
        <f t="shared" si="11"/>
        <v>15541.97</v>
      </c>
      <c r="H79" s="935"/>
      <c r="I79" s="962">
        <f t="shared" si="23"/>
        <v>60.884507401735576</v>
      </c>
      <c r="J79" s="962">
        <f t="shared" si="24"/>
        <v>68.728050025523217</v>
      </c>
      <c r="K79" s="967">
        <f t="shared" si="25"/>
        <v>64.806278713629396</v>
      </c>
      <c r="L79" s="935"/>
      <c r="M79" s="968">
        <f t="shared" si="19"/>
        <v>2.9474025808722084</v>
      </c>
      <c r="N79" s="956"/>
      <c r="O79" s="957">
        <f t="shared" si="20"/>
        <v>2292.1223176472995</v>
      </c>
      <c r="P79" s="956"/>
      <c r="Q79" s="963">
        <f t="shared" si="14"/>
        <v>22.54</v>
      </c>
      <c r="R79" s="969">
        <f t="shared" si="21"/>
        <v>17834.092317647301</v>
      </c>
    </row>
    <row r="80" spans="1:18" s="402" customFormat="1" ht="12" customHeight="1">
      <c r="A80" s="954" t="s">
        <v>783</v>
      </c>
      <c r="B80" s="954" t="s">
        <v>784</v>
      </c>
      <c r="C80" s="966">
        <f t="shared" ref="C80:C101" si="26">D80</f>
        <v>28.76</v>
      </c>
      <c r="D80" s="961">
        <f>'Rate Schedule G-48'!B163</f>
        <v>28.76</v>
      </c>
      <c r="E80" s="962">
        <f>IFERROR(VLOOKUP(A80,'[46]G-48 Rev Jan-Apr'!$D$5:$E$117,2,FALSE),0)</f>
        <v>15.68</v>
      </c>
      <c r="F80" s="962">
        <f>IFERROR(VLOOKUP(A80,'[46]G-48 Rev May-Dec'!$D$5:$E$127,2,FALSE),0)</f>
        <v>300.16000000000003</v>
      </c>
      <c r="G80" s="962">
        <f t="shared" si="11"/>
        <v>315.84000000000003</v>
      </c>
      <c r="H80" s="935"/>
      <c r="I80" s="962">
        <f t="shared" si="23"/>
        <v>0.13630041724617523</v>
      </c>
      <c r="J80" s="962">
        <f t="shared" si="24"/>
        <v>1.3045897079276774</v>
      </c>
      <c r="K80" s="967">
        <f t="shared" si="25"/>
        <v>0.72044506258692631</v>
      </c>
      <c r="L80" s="935"/>
      <c r="M80" s="968">
        <f t="shared" si="19"/>
        <v>4.3270698430773207</v>
      </c>
      <c r="N80" s="956"/>
      <c r="O80" s="957">
        <f t="shared" si="20"/>
        <v>37.408993246966098</v>
      </c>
      <c r="P80" s="956"/>
      <c r="Q80" s="963">
        <f t="shared" si="14"/>
        <v>33.090000000000003</v>
      </c>
      <c r="R80" s="969">
        <f t="shared" si="21"/>
        <v>353.24899324696611</v>
      </c>
    </row>
    <row r="81" spans="1:18" s="402" customFormat="1" ht="12" customHeight="1">
      <c r="A81" s="954" t="s">
        <v>785</v>
      </c>
      <c r="B81" s="954" t="s">
        <v>786</v>
      </c>
      <c r="C81" s="966">
        <f t="shared" si="26"/>
        <v>23.17</v>
      </c>
      <c r="D81" s="961">
        <f>'Rate Schedule G-48'!B130</f>
        <v>23.17</v>
      </c>
      <c r="E81" s="962">
        <f>IFERROR(VLOOKUP(A81,'[46]G-48 Rev Jan-Apr'!$D$5:$E$117,2,FALSE),0)</f>
        <v>9816.880000000001</v>
      </c>
      <c r="F81" s="962">
        <f>IFERROR(VLOOKUP(A81,'[46]G-48 Rev May-Dec'!$D$5:$E$127,2,FALSE),0)</f>
        <v>21216.009999999995</v>
      </c>
      <c r="G81" s="962">
        <f t="shared" si="11"/>
        <v>31032.889999999996</v>
      </c>
      <c r="H81" s="935"/>
      <c r="I81" s="962">
        <f t="shared" si="23"/>
        <v>105.92231333621062</v>
      </c>
      <c r="J81" s="962">
        <f t="shared" si="24"/>
        <v>114.45840526542939</v>
      </c>
      <c r="K81" s="967">
        <f t="shared" si="25"/>
        <v>110.19035930082001</v>
      </c>
      <c r="L81" s="935"/>
      <c r="M81" s="968">
        <f t="shared" si="19"/>
        <v>3.4860294945793298</v>
      </c>
      <c r="N81" s="956"/>
      <c r="O81" s="957">
        <f t="shared" si="20"/>
        <v>4609.5221104914281</v>
      </c>
      <c r="P81" s="956"/>
      <c r="Q81" s="963">
        <f t="shared" si="14"/>
        <v>26.66</v>
      </c>
      <c r="R81" s="969">
        <f t="shared" si="21"/>
        <v>35642.412110491423</v>
      </c>
    </row>
    <row r="82" spans="1:18" s="402" customFormat="1" ht="12" customHeight="1">
      <c r="A82" s="954" t="s">
        <v>787</v>
      </c>
      <c r="B82" s="954" t="s">
        <v>788</v>
      </c>
      <c r="C82" s="966">
        <f t="shared" si="26"/>
        <v>33.64</v>
      </c>
      <c r="D82" s="961">
        <f>'Rate Schedule G-48'!B164</f>
        <v>33.64</v>
      </c>
      <c r="E82" s="962">
        <f>IFERROR(VLOOKUP(A82,'[46]G-48 Rev Jan-Apr'!$D$5:$E$117,2,FALSE),0)</f>
        <v>134.56</v>
      </c>
      <c r="F82" s="962">
        <f>IFERROR(VLOOKUP(A82,'[46]G-48 Rev May-Dec'!$D$5:$E$127,2,FALSE),0)</f>
        <v>353.12</v>
      </c>
      <c r="G82" s="962">
        <f t="shared" si="11"/>
        <v>487.68</v>
      </c>
      <c r="H82" s="935"/>
      <c r="I82" s="962">
        <f t="shared" si="23"/>
        <v>1</v>
      </c>
      <c r="J82" s="962">
        <f t="shared" si="24"/>
        <v>1.312128418549346</v>
      </c>
      <c r="K82" s="967">
        <f t="shared" si="25"/>
        <v>1.1560642092746729</v>
      </c>
      <c r="L82" s="935"/>
      <c r="M82" s="968">
        <f t="shared" si="19"/>
        <v>5.0612875355049054</v>
      </c>
      <c r="N82" s="956"/>
      <c r="O82" s="957">
        <f t="shared" si="20"/>
        <v>70.214080471742847</v>
      </c>
      <c r="P82" s="956"/>
      <c r="Q82" s="963">
        <f t="shared" si="14"/>
        <v>38.700000000000003</v>
      </c>
      <c r="R82" s="969">
        <f t="shared" si="21"/>
        <v>557.89408047174288</v>
      </c>
    </row>
    <row r="83" spans="1:18" s="402" customFormat="1" ht="12" customHeight="1">
      <c r="A83" s="954" t="s">
        <v>789</v>
      </c>
      <c r="B83" s="954" t="s">
        <v>790</v>
      </c>
      <c r="C83" s="966">
        <f t="shared" si="26"/>
        <v>36.76</v>
      </c>
      <c r="D83" s="961">
        <f>'Rate Schedule G-48'!B132</f>
        <v>36.76</v>
      </c>
      <c r="E83" s="962">
        <f>IFERROR(VLOOKUP(A83,'[46]G-48 Rev Jan-Apr'!$D$5:$E$117,2,FALSE),0)</f>
        <v>441.12</v>
      </c>
      <c r="F83" s="962">
        <f>IFERROR(VLOOKUP(A83,'[46]G-48 Rev May-Dec'!$D$5:$E$127,2,FALSE),0)</f>
        <v>882.24</v>
      </c>
      <c r="G83" s="962">
        <f t="shared" si="11"/>
        <v>1323.3600000000001</v>
      </c>
      <c r="H83" s="935"/>
      <c r="I83" s="962">
        <f t="shared" si="23"/>
        <v>3</v>
      </c>
      <c r="J83" s="962">
        <f t="shared" si="24"/>
        <v>3</v>
      </c>
      <c r="K83" s="967">
        <f t="shared" si="25"/>
        <v>3</v>
      </c>
      <c r="L83" s="935"/>
      <c r="M83" s="968">
        <f t="shared" si="19"/>
        <v>5.5307054044340163</v>
      </c>
      <c r="N83" s="956"/>
      <c r="O83" s="957">
        <f t="shared" si="20"/>
        <v>199.10539455962459</v>
      </c>
      <c r="P83" s="956"/>
      <c r="Q83" s="963">
        <f t="shared" si="14"/>
        <v>42.29</v>
      </c>
      <c r="R83" s="969">
        <f t="shared" si="21"/>
        <v>1522.4653945596247</v>
      </c>
    </row>
    <row r="84" spans="1:18" s="402" customFormat="1" ht="12" customHeight="1">
      <c r="A84" s="954" t="s">
        <v>791</v>
      </c>
      <c r="B84" s="954" t="s">
        <v>792</v>
      </c>
      <c r="C84" s="966">
        <f t="shared" si="26"/>
        <v>14.94</v>
      </c>
      <c r="D84" s="961">
        <f>'Rate Schedule G-48'!B149</f>
        <v>14.94</v>
      </c>
      <c r="E84" s="962">
        <f>IFERROR(VLOOKUP(A84,'[46]G-48 Rev Jan-Apr'!$D$5:$E$117,2,FALSE),0)</f>
        <v>29.88</v>
      </c>
      <c r="F84" s="962">
        <f>IFERROR(VLOOKUP(A84,'[46]G-48 Rev May-Dec'!$D$5:$E$127,2,FALSE),0)</f>
        <v>0</v>
      </c>
      <c r="G84" s="962">
        <f t="shared" si="11"/>
        <v>29.88</v>
      </c>
      <c r="H84" s="935"/>
      <c r="I84" s="962">
        <f t="shared" si="23"/>
        <v>0.5</v>
      </c>
      <c r="J84" s="962">
        <f t="shared" si="24"/>
        <v>0</v>
      </c>
      <c r="K84" s="967">
        <f t="shared" si="25"/>
        <v>0.5</v>
      </c>
      <c r="L84" s="935"/>
      <c r="M84" s="968">
        <f t="shared" si="19"/>
        <v>2.2477894108336289</v>
      </c>
      <c r="N84" s="956"/>
      <c r="O84" s="957">
        <f t="shared" si="20"/>
        <v>13.486736465001773</v>
      </c>
      <c r="P84" s="956"/>
      <c r="Q84" s="963">
        <f t="shared" si="14"/>
        <v>17.190000000000001</v>
      </c>
      <c r="R84" s="969">
        <f t="shared" si="21"/>
        <v>43.366736465001772</v>
      </c>
    </row>
    <row r="85" spans="1:18" s="402" customFormat="1" ht="12" customHeight="1">
      <c r="A85" s="954" t="s">
        <v>793</v>
      </c>
      <c r="B85" s="954" t="s">
        <v>794</v>
      </c>
      <c r="C85" s="966">
        <f t="shared" si="26"/>
        <v>15.82</v>
      </c>
      <c r="D85" s="961">
        <f>'Rate Schedule G-48'!B150</f>
        <v>15.82</v>
      </c>
      <c r="E85" s="962">
        <f>IFERROR(VLOOKUP(A85,'[46]G-48 Rev Jan-Apr'!$D$5:$E$117,2,FALSE),0)</f>
        <v>158.19999999999999</v>
      </c>
      <c r="F85" s="962">
        <f>IFERROR(VLOOKUP(A85,'[46]G-48 Rev May-Dec'!$D$5:$E$127,2,FALSE),0)</f>
        <v>537.88</v>
      </c>
      <c r="G85" s="962">
        <f t="shared" si="11"/>
        <v>696.07999999999993</v>
      </c>
      <c r="H85" s="935"/>
      <c r="I85" s="962">
        <f t="shared" si="23"/>
        <v>2.4999999999999996</v>
      </c>
      <c r="J85" s="962">
        <f t="shared" si="24"/>
        <v>4.25</v>
      </c>
      <c r="K85" s="967">
        <f t="shared" si="25"/>
        <v>3.375</v>
      </c>
      <c r="L85" s="935"/>
      <c r="M85" s="968">
        <f t="shared" si="19"/>
        <v>2.3801893225828654</v>
      </c>
      <c r="N85" s="956"/>
      <c r="O85" s="957">
        <f t="shared" si="20"/>
        <v>96.397667564606053</v>
      </c>
      <c r="P85" s="956"/>
      <c r="Q85" s="963">
        <f t="shared" si="14"/>
        <v>18.2</v>
      </c>
      <c r="R85" s="969">
        <f t="shared" si="21"/>
        <v>792.47766756460601</v>
      </c>
    </row>
    <row r="86" spans="1:18" s="402" customFormat="1" ht="12" customHeight="1">
      <c r="A86" s="954" t="s">
        <v>795</v>
      </c>
      <c r="B86" s="954" t="s">
        <v>796</v>
      </c>
      <c r="C86" s="966">
        <f t="shared" si="26"/>
        <v>16.760000000000002</v>
      </c>
      <c r="D86" s="961">
        <f>'Rate Schedule G-48'!B151</f>
        <v>16.760000000000002</v>
      </c>
      <c r="E86" s="962">
        <f>IFERROR(VLOOKUP(A86,'[46]G-48 Rev Jan-Apr'!$D$5:$E$117,2,FALSE),0)</f>
        <v>100.56000000000002</v>
      </c>
      <c r="F86" s="962">
        <f>IFERROR(VLOOKUP(A86,'[46]G-48 Rev May-Dec'!$D$5:$E$127,2,FALSE),0)</f>
        <v>318.43999999999994</v>
      </c>
      <c r="G86" s="962">
        <f t="shared" si="11"/>
        <v>418.99999999999994</v>
      </c>
      <c r="H86" s="935"/>
      <c r="I86" s="962">
        <f t="shared" si="23"/>
        <v>1.5</v>
      </c>
      <c r="J86" s="962">
        <f t="shared" si="24"/>
        <v>2.3749999999999996</v>
      </c>
      <c r="K86" s="967">
        <f t="shared" si="25"/>
        <v>1.9374999999999998</v>
      </c>
      <c r="L86" s="935"/>
      <c r="M86" s="968">
        <f t="shared" si="19"/>
        <v>2.5216165010422773</v>
      </c>
      <c r="N86" s="956"/>
      <c r="O86" s="957">
        <f t="shared" si="20"/>
        <v>58.627583649232939</v>
      </c>
      <c r="P86" s="956"/>
      <c r="Q86" s="963">
        <f t="shared" si="14"/>
        <v>19.28</v>
      </c>
      <c r="R86" s="969">
        <f t="shared" si="21"/>
        <v>477.62758364923286</v>
      </c>
    </row>
    <row r="87" spans="1:18" s="402" customFormat="1" ht="12" customHeight="1">
      <c r="A87" s="954" t="s">
        <v>797</v>
      </c>
      <c r="B87" s="954" t="s">
        <v>798</v>
      </c>
      <c r="C87" s="966">
        <v>4.71</v>
      </c>
      <c r="D87" s="961">
        <v>4.71</v>
      </c>
      <c r="E87" s="962">
        <f>IFERROR(VLOOKUP(A87,'[46]G-48 Rev Jan-Apr'!$D$5:$E$117,2,FALSE),0)</f>
        <v>113.04</v>
      </c>
      <c r="F87" s="962">
        <f>IFERROR(VLOOKUP(A87,'[46]G-48 Rev May-Dec'!$D$5:$E$127,2,FALSE),0)</f>
        <v>226.08</v>
      </c>
      <c r="G87" s="962">
        <f t="shared" si="11"/>
        <v>339.12</v>
      </c>
      <c r="H87" s="935"/>
      <c r="I87" s="962">
        <f t="shared" si="23"/>
        <v>6</v>
      </c>
      <c r="J87" s="962">
        <f t="shared" si="24"/>
        <v>6</v>
      </c>
      <c r="K87" s="967">
        <f t="shared" si="25"/>
        <v>6</v>
      </c>
      <c r="L87" s="935"/>
      <c r="M87" s="968">
        <f t="shared" si="19"/>
        <v>0.70864043674875454</v>
      </c>
      <c r="N87" s="956"/>
      <c r="O87" s="957">
        <f t="shared" si="20"/>
        <v>51.022111445910326</v>
      </c>
      <c r="P87" s="956"/>
      <c r="Q87" s="963">
        <f t="shared" si="14"/>
        <v>5.42</v>
      </c>
      <c r="R87" s="969">
        <f t="shared" si="21"/>
        <v>390.14211144591036</v>
      </c>
    </row>
    <row r="88" spans="1:18" s="402" customFormat="1" ht="12" customHeight="1">
      <c r="A88" s="954" t="s">
        <v>799</v>
      </c>
      <c r="B88" s="954" t="s">
        <v>800</v>
      </c>
      <c r="C88" s="966">
        <v>9.42</v>
      </c>
      <c r="D88" s="961">
        <v>9.42</v>
      </c>
      <c r="E88" s="962">
        <f>IFERROR(VLOOKUP(A88,'[46]G-48 Rev Jan-Apr'!$D$5:$E$117,2,FALSE),0)</f>
        <v>37.68</v>
      </c>
      <c r="F88" s="962">
        <f>IFERROR(VLOOKUP(A88,'[46]G-48 Rev May-Dec'!$D$5:$E$127,2,FALSE),0)</f>
        <v>75.36</v>
      </c>
      <c r="G88" s="962">
        <f t="shared" si="11"/>
        <v>113.03999999999999</v>
      </c>
      <c r="H88" s="935"/>
      <c r="I88" s="962">
        <f t="shared" si="23"/>
        <v>1</v>
      </c>
      <c r="J88" s="962">
        <f t="shared" si="24"/>
        <v>1</v>
      </c>
      <c r="K88" s="967">
        <f t="shared" si="25"/>
        <v>1</v>
      </c>
      <c r="L88" s="935"/>
      <c r="M88" s="968">
        <f t="shared" si="19"/>
        <v>1.4172808734975091</v>
      </c>
      <c r="N88" s="956"/>
      <c r="O88" s="957">
        <f t="shared" si="20"/>
        <v>17.00737048197011</v>
      </c>
      <c r="P88" s="956"/>
      <c r="Q88" s="963">
        <f t="shared" si="14"/>
        <v>10.84</v>
      </c>
      <c r="R88" s="969">
        <f t="shared" si="21"/>
        <v>130.04737048197009</v>
      </c>
    </row>
    <row r="89" spans="1:18" s="402" customFormat="1" ht="12" customHeight="1">
      <c r="A89" s="954" t="s">
        <v>801</v>
      </c>
      <c r="B89" s="954" t="s">
        <v>802</v>
      </c>
      <c r="C89" s="966">
        <v>2.36</v>
      </c>
      <c r="D89" s="961">
        <v>2.36</v>
      </c>
      <c r="E89" s="962">
        <f>IFERROR(VLOOKUP(A89,'[46]G-48 Rev Jan-Apr'!$D$5:$E$117,2,FALSE),0)</f>
        <v>18.84</v>
      </c>
      <c r="F89" s="962">
        <f>IFERROR(VLOOKUP(A89,'[46]G-48 Rev May-Dec'!$D$5:$E$127,2,FALSE),0)</f>
        <v>32.97</v>
      </c>
      <c r="G89" s="962">
        <f t="shared" si="11"/>
        <v>51.81</v>
      </c>
      <c r="H89" s="935"/>
      <c r="I89" s="962">
        <f t="shared" si="23"/>
        <v>1.9957627118644068</v>
      </c>
      <c r="J89" s="962">
        <f t="shared" si="24"/>
        <v>1.746292372881356</v>
      </c>
      <c r="K89" s="967">
        <f t="shared" si="25"/>
        <v>1.8710275423728815</v>
      </c>
      <c r="L89" s="935"/>
      <c r="M89" s="968">
        <f t="shared" si="19"/>
        <v>0.35507249060022517</v>
      </c>
      <c r="N89" s="956"/>
      <c r="O89" s="957">
        <f t="shared" si="20"/>
        <v>7.9722049134234876</v>
      </c>
      <c r="P89" s="956"/>
      <c r="Q89" s="963">
        <f t="shared" si="14"/>
        <v>2.72</v>
      </c>
      <c r="R89" s="969">
        <f t="shared" si="21"/>
        <v>59.782204913423492</v>
      </c>
    </row>
    <row r="90" spans="1:18" s="402" customFormat="1" ht="12" customHeight="1">
      <c r="A90" s="954" t="s">
        <v>803</v>
      </c>
      <c r="B90" s="954" t="s">
        <v>804</v>
      </c>
      <c r="C90" s="966">
        <v>2.94</v>
      </c>
      <c r="D90" s="961">
        <v>2.94</v>
      </c>
      <c r="E90" s="962">
        <f>IFERROR(VLOOKUP(A90,'[46]G-48 Rev Jan-Apr'!$D$5:$E$117,2,FALSE),0)</f>
        <v>70.56</v>
      </c>
      <c r="F90" s="962">
        <f>IFERROR(VLOOKUP(A90,'[46]G-48 Rev May-Dec'!$D$5:$E$127,2,FALSE),0)</f>
        <v>164.64</v>
      </c>
      <c r="G90" s="962">
        <f t="shared" si="11"/>
        <v>235.2</v>
      </c>
      <c r="H90" s="935"/>
      <c r="I90" s="962">
        <f t="shared" si="23"/>
        <v>6</v>
      </c>
      <c r="J90" s="962">
        <f t="shared" si="24"/>
        <v>6.9999999999999991</v>
      </c>
      <c r="K90" s="967">
        <f t="shared" si="25"/>
        <v>6.5</v>
      </c>
      <c r="L90" s="935"/>
      <c r="M90" s="968">
        <f t="shared" si="19"/>
        <v>0.44233606879858561</v>
      </c>
      <c r="N90" s="956"/>
      <c r="O90" s="957">
        <f t="shared" si="20"/>
        <v>34.502213366289681</v>
      </c>
      <c r="P90" s="956"/>
      <c r="Q90" s="963">
        <f t="shared" si="14"/>
        <v>3.38</v>
      </c>
      <c r="R90" s="969">
        <f t="shared" si="21"/>
        <v>269.7022133662897</v>
      </c>
    </row>
    <row r="91" spans="1:18" s="402" customFormat="1" ht="12" customHeight="1">
      <c r="A91" s="954" t="s">
        <v>805</v>
      </c>
      <c r="B91" s="954" t="s">
        <v>806</v>
      </c>
      <c r="C91" s="966">
        <v>5.88</v>
      </c>
      <c r="D91" s="961">
        <v>5.88</v>
      </c>
      <c r="E91" s="962">
        <f>IFERROR(VLOOKUP(A91,'[46]G-48 Rev Jan-Apr'!$D$5:$E$117,2,FALSE),0)</f>
        <v>23.52</v>
      </c>
      <c r="F91" s="962">
        <f>IFERROR(VLOOKUP(A91,'[46]G-48 Rev May-Dec'!$D$5:$E$127,2,FALSE),0)</f>
        <v>47.04</v>
      </c>
      <c r="G91" s="962">
        <f t="shared" si="11"/>
        <v>70.56</v>
      </c>
      <c r="H91" s="935"/>
      <c r="I91" s="962">
        <f t="shared" si="23"/>
        <v>1</v>
      </c>
      <c r="J91" s="962">
        <f t="shared" si="24"/>
        <v>1</v>
      </c>
      <c r="K91" s="967">
        <f t="shared" si="25"/>
        <v>1</v>
      </c>
      <c r="L91" s="935"/>
      <c r="M91" s="968">
        <f t="shared" si="19"/>
        <v>0.88467213759717123</v>
      </c>
      <c r="N91" s="956"/>
      <c r="O91" s="957">
        <f t="shared" si="20"/>
        <v>10.616065651166055</v>
      </c>
      <c r="P91" s="956"/>
      <c r="Q91" s="963">
        <f t="shared" si="14"/>
        <v>6.76</v>
      </c>
      <c r="R91" s="969">
        <f t="shared" si="21"/>
        <v>81.176065651166056</v>
      </c>
    </row>
    <row r="92" spans="1:18" s="402" customFormat="1" ht="12" customHeight="1">
      <c r="A92" s="954" t="s">
        <v>807</v>
      </c>
      <c r="B92" s="954" t="s">
        <v>808</v>
      </c>
      <c r="C92" s="966">
        <f t="shared" si="26"/>
        <v>1.9096</v>
      </c>
      <c r="D92" s="961">
        <f>'Rate Schedule G-48'!B169*References!B12</f>
        <v>1.9096</v>
      </c>
      <c r="E92" s="962">
        <f>IFERROR(VLOOKUP(A92,'[46]G-48 Rev Jan-Apr'!$D$5:$E$117,2,FALSE),0)</f>
        <v>7.64</v>
      </c>
      <c r="F92" s="962">
        <f>IFERROR(VLOOKUP(A92,'[46]G-48 Rev May-Dec'!$D$5:$E$127,2,FALSE),0)</f>
        <v>11.46</v>
      </c>
      <c r="G92" s="962">
        <f t="shared" si="11"/>
        <v>19.100000000000001</v>
      </c>
      <c r="H92" s="935"/>
      <c r="I92" s="962">
        <f t="shared" si="23"/>
        <v>1.0002094679514033</v>
      </c>
      <c r="J92" s="962">
        <f t="shared" si="24"/>
        <v>0.75015710096355259</v>
      </c>
      <c r="K92" s="967">
        <f t="shared" si="25"/>
        <v>0.87518328445747795</v>
      </c>
      <c r="L92" s="935"/>
      <c r="M92" s="968">
        <f t="shared" si="19"/>
        <v>0.28730780849584325</v>
      </c>
      <c r="N92" s="956"/>
      <c r="O92" s="957">
        <f t="shared" si="20"/>
        <v>3.0173638978760664</v>
      </c>
      <c r="P92" s="956"/>
      <c r="Q92" s="963">
        <f t="shared" si="14"/>
        <v>2.2000000000000002</v>
      </c>
      <c r="R92" s="969">
        <f t="shared" si="21"/>
        <v>22.117363897876068</v>
      </c>
    </row>
    <row r="93" spans="1:18" s="402" customFormat="1" ht="12" customHeight="1">
      <c r="A93" s="971" t="s">
        <v>809</v>
      </c>
      <c r="B93" s="971" t="s">
        <v>810</v>
      </c>
      <c r="C93" s="966">
        <f t="shared" si="26"/>
        <v>0</v>
      </c>
      <c r="D93" s="961">
        <v>0</v>
      </c>
      <c r="E93" s="962">
        <f>IFERROR(VLOOKUP(A93,'[46]G-48 Rev Jan-Apr'!$D$5:$E$117,2,FALSE),0)</f>
        <v>3066.4</v>
      </c>
      <c r="F93" s="962">
        <f>IFERROR(VLOOKUP(A93,'[46]G-48 Rev May-Dec'!$D$5:$E$127,2,FALSE),0)</f>
        <v>6132.8</v>
      </c>
      <c r="G93" s="962">
        <f t="shared" si="11"/>
        <v>9199.2000000000007</v>
      </c>
      <c r="H93" s="935"/>
      <c r="I93" s="962">
        <f t="shared" si="23"/>
        <v>0</v>
      </c>
      <c r="J93" s="962">
        <f t="shared" si="24"/>
        <v>0</v>
      </c>
      <c r="K93" s="967">
        <f t="shared" si="25"/>
        <v>0</v>
      </c>
      <c r="L93" s="935"/>
      <c r="M93" s="968">
        <f t="shared" si="19"/>
        <v>0</v>
      </c>
      <c r="N93" s="956"/>
      <c r="O93" s="957">
        <f t="shared" si="20"/>
        <v>0</v>
      </c>
      <c r="P93" s="956"/>
      <c r="Q93" s="963">
        <f t="shared" si="14"/>
        <v>0</v>
      </c>
      <c r="R93" s="969">
        <f t="shared" si="21"/>
        <v>9199.2000000000007</v>
      </c>
    </row>
    <row r="94" spans="1:18" s="402" customFormat="1" ht="12" customHeight="1">
      <c r="A94" s="954" t="s">
        <v>811</v>
      </c>
      <c r="B94" s="954" t="s">
        <v>812</v>
      </c>
      <c r="C94" s="966">
        <f t="shared" si="26"/>
        <v>4.0701999999999998</v>
      </c>
      <c r="D94" s="961">
        <f>'Rate Schedule G-48'!B34*References!B11</f>
        <v>4.0701999999999998</v>
      </c>
      <c r="E94" s="962">
        <f>IFERROR(VLOOKUP(A94,'[46]G-48 Rev Jan-Apr'!$D$5:$E$117,2,FALSE),0)</f>
        <v>32.56</v>
      </c>
      <c r="F94" s="962">
        <f>IFERROR(VLOOKUP(A94,'[46]G-48 Rev May-Dec'!$D$5:$E$127,2,FALSE),0)</f>
        <v>89.539999999999992</v>
      </c>
      <c r="G94" s="962">
        <f t="shared" si="11"/>
        <v>122.1</v>
      </c>
      <c r="H94" s="935"/>
      <c r="I94" s="962">
        <f t="shared" si="23"/>
        <v>1.9999017247309716</v>
      </c>
      <c r="J94" s="962">
        <f t="shared" si="24"/>
        <v>2.7498648715050855</v>
      </c>
      <c r="K94" s="967">
        <f t="shared" si="25"/>
        <v>2.3748832981180286</v>
      </c>
      <c r="L94" s="935"/>
      <c r="M94" s="968">
        <f t="shared" si="19"/>
        <v>0.61237968272925281</v>
      </c>
      <c r="N94" s="956"/>
      <c r="O94" s="957">
        <f t="shared" si="20"/>
        <v>17.45196336744624</v>
      </c>
      <c r="P94" s="956"/>
      <c r="Q94" s="963">
        <f t="shared" si="14"/>
        <v>4.68</v>
      </c>
      <c r="R94" s="969">
        <f t="shared" si="21"/>
        <v>139.55196336744623</v>
      </c>
    </row>
    <row r="95" spans="1:18" s="402" customFormat="1" ht="12" customHeight="1">
      <c r="A95" s="936" t="s">
        <v>813</v>
      </c>
      <c r="B95" s="936" t="s">
        <v>814</v>
      </c>
      <c r="C95" s="966">
        <f t="shared" si="26"/>
        <v>0.94</v>
      </c>
      <c r="D95" s="961">
        <f>'Rate Schedule G-48'!B35</f>
        <v>0.94</v>
      </c>
      <c r="E95" s="962">
        <f>IFERROR(VLOOKUP(A95,'[46]G-48 Rev Jan-Apr'!$D$5:$E$117,2,FALSE),0)</f>
        <v>36.799999999999997</v>
      </c>
      <c r="F95" s="962">
        <f>IFERROR(VLOOKUP(A95,'[46]G-48 Rev May-Dec'!$D$5:$E$127,2,FALSE),0)</f>
        <v>58.019999999999996</v>
      </c>
      <c r="G95" s="962">
        <f t="shared" si="11"/>
        <v>94.82</v>
      </c>
      <c r="H95" s="935"/>
      <c r="I95" s="962">
        <f t="shared" si="23"/>
        <v>9.787234042553191</v>
      </c>
      <c r="J95" s="962">
        <f t="shared" si="24"/>
        <v>7.7154255319148932</v>
      </c>
      <c r="K95" s="967">
        <f t="shared" si="25"/>
        <v>8.7513297872340416</v>
      </c>
      <c r="L95" s="935"/>
      <c r="M95" s="968">
        <f t="shared" si="19"/>
        <v>0.14142717845941172</v>
      </c>
      <c r="N95" s="956"/>
      <c r="O95" s="957">
        <f t="shared" si="20"/>
        <v>14.852110554915772</v>
      </c>
      <c r="P95" s="956"/>
      <c r="Q95" s="963">
        <f t="shared" si="14"/>
        <v>1.08</v>
      </c>
      <c r="R95" s="969">
        <f t="shared" si="21"/>
        <v>109.67211055491576</v>
      </c>
    </row>
    <row r="96" spans="1:18" s="402" customFormat="1" ht="12" customHeight="1">
      <c r="A96" s="954" t="s">
        <v>815</v>
      </c>
      <c r="B96" s="954" t="s">
        <v>699</v>
      </c>
      <c r="C96" s="966">
        <f>D96</f>
        <v>8.66</v>
      </c>
      <c r="D96" s="961">
        <f>'Rate Schedule G-48'!B41*References!B11</f>
        <v>8.66</v>
      </c>
      <c r="E96" s="962">
        <f>IFERROR(VLOOKUP(A96,'[46]G-48 Rev Jan-Apr'!$D$5:$E$117,2,FALSE),0)</f>
        <v>34.64</v>
      </c>
      <c r="F96" s="962">
        <f>IFERROR(VLOOKUP(A96,'[46]G-48 Rev May-Dec'!$D$5:$E$127,2,FALSE),0)</f>
        <v>251.14</v>
      </c>
      <c r="G96" s="962">
        <f t="shared" si="11"/>
        <v>285.77999999999997</v>
      </c>
      <c r="H96" s="935"/>
      <c r="I96" s="962">
        <f t="shared" si="23"/>
        <v>1</v>
      </c>
      <c r="J96" s="962">
        <f t="shared" si="24"/>
        <v>3.6249999999999996</v>
      </c>
      <c r="K96" s="967">
        <f t="shared" si="25"/>
        <v>2.3125</v>
      </c>
      <c r="L96" s="935"/>
      <c r="M96" s="968">
        <f t="shared" si="19"/>
        <v>1.3029354951686229</v>
      </c>
      <c r="N96" s="956"/>
      <c r="O96" s="957">
        <f t="shared" si="20"/>
        <v>36.156459990929285</v>
      </c>
      <c r="P96" s="956"/>
      <c r="Q96" s="963">
        <f t="shared" si="14"/>
        <v>9.9600000000000009</v>
      </c>
      <c r="R96" s="969">
        <f t="shared" si="21"/>
        <v>321.93645999092928</v>
      </c>
    </row>
    <row r="97" spans="1:18" s="402" customFormat="1" ht="12" customHeight="1">
      <c r="A97" s="936" t="s">
        <v>816</v>
      </c>
      <c r="B97" s="936" t="s">
        <v>817</v>
      </c>
      <c r="C97" s="966">
        <f t="shared" si="26"/>
        <v>16.280799999999999</v>
      </c>
      <c r="D97" s="961">
        <f>'Rate Schedule G-48'!B106*References!B11</f>
        <v>16.280799999999999</v>
      </c>
      <c r="E97" s="962">
        <f>IFERROR(VLOOKUP(A97,'[46]G-48 Rev Jan-Apr'!$D$5:$E$117,2,FALSE),0)</f>
        <v>881.65000000000009</v>
      </c>
      <c r="F97" s="962">
        <f>IFERROR(VLOOKUP(A97,'[46]G-48 Rev May-Dec'!$D$5:$E$127,2,FALSE),0)</f>
        <v>1828.4200000000003</v>
      </c>
      <c r="G97" s="962">
        <f t="shared" si="11"/>
        <v>2710.0700000000006</v>
      </c>
      <c r="H97" s="935"/>
      <c r="I97" s="962">
        <f t="shared" si="23"/>
        <v>13.538186084221907</v>
      </c>
      <c r="J97" s="962">
        <f t="shared" si="24"/>
        <v>14.038161515404651</v>
      </c>
      <c r="K97" s="967">
        <f t="shared" si="25"/>
        <v>13.788173799813279</v>
      </c>
      <c r="L97" s="935"/>
      <c r="M97" s="968">
        <f t="shared" si="19"/>
        <v>2.4495187309170112</v>
      </c>
      <c r="N97" s="956"/>
      <c r="O97" s="957">
        <f t="shared" si="20"/>
        <v>405.29267985338174</v>
      </c>
      <c r="P97" s="956"/>
      <c r="Q97" s="963">
        <f t="shared" si="14"/>
        <v>18.73</v>
      </c>
      <c r="R97" s="969">
        <f t="shared" si="21"/>
        <v>3115.3626798533824</v>
      </c>
    </row>
    <row r="98" spans="1:18" s="402" customFormat="1" ht="12" customHeight="1">
      <c r="A98" s="954" t="s">
        <v>818</v>
      </c>
      <c r="B98" s="954" t="s">
        <v>819</v>
      </c>
      <c r="C98" s="966">
        <f t="shared" si="26"/>
        <v>3.76</v>
      </c>
      <c r="D98" s="961">
        <f>'Rate Schedule G-48'!B106</f>
        <v>3.76</v>
      </c>
      <c r="E98" s="962">
        <f>IFERROR(VLOOKUP(A98,'[46]G-48 Rev Jan-Apr'!$D$5:$E$117,2,FALSE),0)</f>
        <v>110.88</v>
      </c>
      <c r="F98" s="962">
        <f>IFERROR(VLOOKUP(A98,'[46]G-48 Rev May-Dec'!$D$5:$E$127,2,FALSE),0)</f>
        <v>221.76</v>
      </c>
      <c r="G98" s="962">
        <f t="shared" si="11"/>
        <v>332.64</v>
      </c>
      <c r="H98" s="935"/>
      <c r="I98" s="962">
        <f t="shared" si="23"/>
        <v>7.3723404255319149</v>
      </c>
      <c r="J98" s="962">
        <f t="shared" si="24"/>
        <v>7.3723404255319149</v>
      </c>
      <c r="K98" s="967">
        <f t="shared" si="25"/>
        <v>7.3723404255319149</v>
      </c>
      <c r="L98" s="935"/>
      <c r="M98" s="968">
        <f t="shared" si="19"/>
        <v>0.56570871383764687</v>
      </c>
      <c r="N98" s="956"/>
      <c r="O98" s="957">
        <f t="shared" si="20"/>
        <v>50.047166641211398</v>
      </c>
      <c r="P98" s="956"/>
      <c r="Q98" s="963">
        <f t="shared" si="14"/>
        <v>4.33</v>
      </c>
      <c r="R98" s="969">
        <f t="shared" si="21"/>
        <v>382.68716664121138</v>
      </c>
    </row>
    <row r="99" spans="1:18" s="402" customFormat="1" ht="12" customHeight="1">
      <c r="A99" s="954" t="s">
        <v>820</v>
      </c>
      <c r="B99" s="954" t="s">
        <v>821</v>
      </c>
      <c r="C99" s="966">
        <f t="shared" si="26"/>
        <v>8.1591999999999985</v>
      </c>
      <c r="D99" s="961">
        <f>'Rate Schedule G-48'!B106*References!B12</f>
        <v>8.1591999999999985</v>
      </c>
      <c r="E99" s="962">
        <f>IFERROR(VLOOKUP(A99,'[46]G-48 Rev Jan-Apr'!$D$5:$E$117,2,FALSE),0)</f>
        <v>89.76</v>
      </c>
      <c r="F99" s="962">
        <f>IFERROR(VLOOKUP(A99,'[46]G-48 Rev May-Dec'!$D$5:$E$127,2,FALSE),0)</f>
        <v>134.63999999999999</v>
      </c>
      <c r="G99" s="962">
        <f t="shared" si="11"/>
        <v>224.39999999999998</v>
      </c>
      <c r="H99" s="935"/>
      <c r="I99" s="962">
        <f t="shared" si="23"/>
        <v>2.750269634277871</v>
      </c>
      <c r="J99" s="962">
        <f t="shared" si="24"/>
        <v>2.0627022257084029</v>
      </c>
      <c r="K99" s="967">
        <f t="shared" si="25"/>
        <v>2.4064859299931367</v>
      </c>
      <c r="L99" s="935"/>
      <c r="M99" s="968">
        <f t="shared" si="19"/>
        <v>1.2275879090276935</v>
      </c>
      <c r="N99" s="956"/>
      <c r="O99" s="957">
        <f t="shared" si="20"/>
        <v>35.450076370858071</v>
      </c>
      <c r="P99" s="956"/>
      <c r="Q99" s="963">
        <f t="shared" si="14"/>
        <v>9.39</v>
      </c>
      <c r="R99" s="969">
        <f t="shared" si="21"/>
        <v>259.85007637085806</v>
      </c>
    </row>
    <row r="100" spans="1:18" s="402" customFormat="1" ht="12" customHeight="1">
      <c r="A100" s="954" t="s">
        <v>822</v>
      </c>
      <c r="B100" s="954" t="s">
        <v>823</v>
      </c>
      <c r="C100" s="966">
        <f t="shared" si="26"/>
        <v>13.94</v>
      </c>
      <c r="D100" s="961">
        <f>'Rate Schedule G-48'!B10</f>
        <v>13.94</v>
      </c>
      <c r="E100" s="962">
        <f>IFERROR(VLOOKUP(A100,'[46]G-48 Rev Jan-Apr'!$D$5:$E$117,2,FALSE),0)</f>
        <v>432.14</v>
      </c>
      <c r="F100" s="962">
        <f>IFERROR(VLOOKUP(A100,'[46]G-48 Rev May-Dec'!$D$5:$E$127,2,FALSE),0)</f>
        <v>892.16000000000008</v>
      </c>
      <c r="G100" s="962">
        <f t="shared" si="11"/>
        <v>1324.3000000000002</v>
      </c>
      <c r="H100" s="935"/>
      <c r="I100" s="962">
        <f t="shared" si="23"/>
        <v>7.75</v>
      </c>
      <c r="J100" s="962">
        <f t="shared" si="24"/>
        <v>8.0000000000000018</v>
      </c>
      <c r="K100" s="967">
        <f t="shared" si="25"/>
        <v>7.8750000000000009</v>
      </c>
      <c r="L100" s="935"/>
      <c r="M100" s="968">
        <f t="shared" si="19"/>
        <v>2.0973349656640421</v>
      </c>
      <c r="N100" s="956"/>
      <c r="O100" s="957">
        <f t="shared" si="20"/>
        <v>198.19815425525201</v>
      </c>
      <c r="P100" s="956"/>
      <c r="Q100" s="963">
        <f t="shared" si="14"/>
        <v>16.04</v>
      </c>
      <c r="R100" s="969">
        <f t="shared" si="21"/>
        <v>1522.4981542552523</v>
      </c>
    </row>
    <row r="101" spans="1:18" s="402" customFormat="1" ht="12" customHeight="1">
      <c r="A101" s="954" t="s">
        <v>824</v>
      </c>
      <c r="B101" s="954" t="s">
        <v>825</v>
      </c>
      <c r="C101" s="966">
        <f t="shared" si="26"/>
        <v>0</v>
      </c>
      <c r="D101" s="961"/>
      <c r="E101" s="962">
        <f>IFERROR(VLOOKUP(A101,'[46]G-48 Rev Jan-Apr'!$D$5:$E$117,2,FALSE),0)</f>
        <v>-4.84</v>
      </c>
      <c r="F101" s="962">
        <f>IFERROR(VLOOKUP(A101,'[46]G-48 Rev May-Dec'!$D$5:$E$127,2,FALSE),0)</f>
        <v>-1337.38</v>
      </c>
      <c r="G101" s="962">
        <f>SUM(E101:F101)</f>
        <v>-1342.22</v>
      </c>
      <c r="H101" s="935"/>
      <c r="I101" s="962">
        <f t="shared" si="23"/>
        <v>0</v>
      </c>
      <c r="J101" s="962">
        <f t="shared" si="24"/>
        <v>0</v>
      </c>
      <c r="K101" s="967">
        <f t="shared" si="25"/>
        <v>0</v>
      </c>
      <c r="L101" s="935"/>
      <c r="M101" s="968">
        <f t="shared" si="19"/>
        <v>0</v>
      </c>
      <c r="N101" s="956"/>
      <c r="O101" s="957">
        <f t="shared" si="20"/>
        <v>0</v>
      </c>
      <c r="P101" s="956"/>
      <c r="Q101" s="963">
        <f t="shared" si="14"/>
        <v>0</v>
      </c>
      <c r="R101" s="969"/>
    </row>
    <row r="102" spans="1:18" s="402" customFormat="1" ht="7.5" customHeight="1" thickBot="1">
      <c r="A102" s="971"/>
      <c r="B102" s="971"/>
      <c r="C102" s="971"/>
      <c r="D102" s="961"/>
      <c r="E102" s="962"/>
      <c r="F102" s="962"/>
      <c r="G102" s="963"/>
      <c r="H102" s="935"/>
      <c r="I102" s="962"/>
      <c r="J102" s="962"/>
      <c r="K102" s="967"/>
      <c r="L102" s="935"/>
      <c r="M102" s="935"/>
      <c r="N102" s="935"/>
      <c r="O102" s="935"/>
      <c r="P102" s="935"/>
      <c r="Q102" s="935"/>
      <c r="R102" s="935"/>
    </row>
    <row r="103" spans="1:18" s="668" customFormat="1" ht="13.5" customHeight="1" thickBot="1">
      <c r="A103" s="984"/>
      <c r="B103" s="974" t="s">
        <v>826</v>
      </c>
      <c r="C103" s="974"/>
      <c r="D103" s="985"/>
      <c r="E103" s="976">
        <f>SUM(E40:E102)</f>
        <v>137705.08000000002</v>
      </c>
      <c r="F103" s="976">
        <f>SUM(F40:F102)</f>
        <v>308276.44999999984</v>
      </c>
      <c r="G103" s="976">
        <f>SUM(G40:G102)</f>
        <v>445981.52999999997</v>
      </c>
      <c r="H103" s="986"/>
      <c r="I103" s="977"/>
      <c r="J103" s="977"/>
      <c r="K103" s="978">
        <f>+SUM(K40:K70)</f>
        <v>239.75435247297827</v>
      </c>
      <c r="L103" s="977"/>
      <c r="M103" s="977"/>
      <c r="N103" s="977"/>
      <c r="O103" s="979">
        <f>SUM(O40:O101)</f>
        <v>64792.405655957002</v>
      </c>
      <c r="P103" s="977"/>
      <c r="Q103" s="977"/>
      <c r="R103" s="980">
        <f>SUM(R40:R101)</f>
        <v>512116.15565595689</v>
      </c>
    </row>
    <row r="104" spans="1:18" s="402" customFormat="1" ht="7.5" customHeight="1">
      <c r="A104" s="987"/>
      <c r="B104" s="987"/>
      <c r="C104" s="987"/>
      <c r="D104" s="982"/>
      <c r="E104" s="988"/>
      <c r="F104" s="988"/>
      <c r="G104" s="963"/>
      <c r="H104" s="935"/>
      <c r="I104" s="962"/>
      <c r="J104" s="962"/>
      <c r="K104" s="967"/>
      <c r="L104" s="935"/>
      <c r="M104" s="935"/>
      <c r="N104" s="935"/>
      <c r="O104" s="935"/>
      <c r="P104" s="935"/>
      <c r="Q104" s="935"/>
      <c r="R104" s="935"/>
    </row>
    <row r="105" spans="1:18" ht="12" customHeight="1">
      <c r="A105" s="958" t="s">
        <v>827</v>
      </c>
      <c r="B105" s="958" t="s">
        <v>827</v>
      </c>
      <c r="C105" s="958"/>
      <c r="I105" s="967"/>
      <c r="J105" s="967"/>
      <c r="K105" s="967"/>
    </row>
    <row r="106" spans="1:18" ht="7.5" customHeight="1">
      <c r="A106" s="981"/>
      <c r="B106" s="981"/>
      <c r="C106" s="981"/>
      <c r="I106" s="967"/>
      <c r="J106" s="967"/>
      <c r="K106" s="967"/>
    </row>
    <row r="107" spans="1:18" ht="12" customHeight="1">
      <c r="A107" s="989" t="s">
        <v>828</v>
      </c>
      <c r="B107" s="989" t="s">
        <v>828</v>
      </c>
      <c r="C107" s="966"/>
      <c r="I107" s="967"/>
      <c r="J107" s="967"/>
      <c r="K107" s="967"/>
    </row>
    <row r="108" spans="1:18" ht="12" customHeight="1">
      <c r="A108" s="954" t="s">
        <v>829</v>
      </c>
      <c r="B108" s="954" t="s">
        <v>830</v>
      </c>
      <c r="C108" s="966">
        <f>IFERROR(VLOOKUP(A108,'[46]G-48 Rate Jan-Apr '!$F$4:$H$710,3,FALSE),0)</f>
        <v>97.05</v>
      </c>
      <c r="D108" s="961">
        <f>'Rate Schedule G-48'!B213</f>
        <v>97.05</v>
      </c>
      <c r="E108" s="962">
        <f>IFERROR(VLOOKUP(A108,'[46]G-48 Rev Jan-Apr'!$D$5:$E$117,2,FALSE),0)</f>
        <v>97.05</v>
      </c>
      <c r="F108" s="962">
        <f>IFERROR(VLOOKUP(A108,'[46]G-48 Rev May-Dec'!$D$5:$E$127,2,FALSE),0)</f>
        <v>792.30000000000007</v>
      </c>
      <c r="G108" s="962">
        <f t="shared" ref="G108:G114" si="27">SUM(E108:F108)</f>
        <v>889.35</v>
      </c>
      <c r="I108" s="962">
        <f t="shared" ref="I108" si="28">IFERROR(E108/($C108),0)/4</f>
        <v>0.25</v>
      </c>
      <c r="J108" s="962">
        <f t="shared" ref="J108" si="29">IFERROR(F108/($D108),0)/8</f>
        <v>1.0204791344667699</v>
      </c>
      <c r="K108" s="967">
        <f t="shared" ref="K108" si="30">IFERROR(AVERAGEIF(I108:J108,"&lt;&gt;0"),0)</f>
        <v>0.63523956723338493</v>
      </c>
      <c r="M108" s="968">
        <f>$M$6*D108</f>
        <v>14.601603903708412</v>
      </c>
      <c r="N108" s="956"/>
      <c r="O108" s="957">
        <f>K108*SUM(M108:M108)*12</f>
        <v>111.30619853646044</v>
      </c>
      <c r="P108" s="956"/>
      <c r="Q108" s="963">
        <f t="shared" ref="Q108:Q128" si="31">ROUND((+D108+SUM(M108:M108)),2)</f>
        <v>111.65</v>
      </c>
      <c r="R108" s="969">
        <f>G108+O108</f>
        <v>1000.6561985364605</v>
      </c>
    </row>
    <row r="109" spans="1:18" ht="12" customHeight="1">
      <c r="A109" s="954" t="s">
        <v>831</v>
      </c>
      <c r="B109" s="954" t="s">
        <v>830</v>
      </c>
      <c r="C109" s="966">
        <f>IFERROR(VLOOKUP(A109,'[46]G-48 Rate Jan-Apr '!$F$4:$H$710,3,FALSE),0)</f>
        <v>155.28</v>
      </c>
      <c r="D109" s="961">
        <f>'Rate Schedule G-48'!B208</f>
        <v>155.28</v>
      </c>
      <c r="E109" s="962">
        <f>IFERROR(VLOOKUP(A109,'[46]G-48 Rev Jan-Apr'!$D$5:$E$117,2,FALSE),0)</f>
        <v>1552.8</v>
      </c>
      <c r="F109" s="962">
        <f>IFERROR(VLOOKUP(A109,'[46]G-48 Rev May-Dec'!$D$5:$E$127,2,FALSE),0)</f>
        <v>2527.54</v>
      </c>
      <c r="G109" s="962">
        <f t="shared" si="27"/>
        <v>4080.34</v>
      </c>
      <c r="I109" s="962">
        <f t="shared" ref="I109:I128" si="32">IFERROR(E109/($C109),0)/4</f>
        <v>2.5</v>
      </c>
      <c r="J109" s="962">
        <f t="shared" ref="J109:J128" si="33">IFERROR(F109/($D109),0)/8</f>
        <v>2.0346631890777949</v>
      </c>
      <c r="K109" s="967">
        <f t="shared" ref="K109:K128" si="34">IFERROR(AVERAGEIF(I109:J109,"&lt;&gt;0"),0)</f>
        <v>2.2673315945388977</v>
      </c>
      <c r="M109" s="968">
        <f t="shared" ref="M109:M128" si="35">$M$6*D109</f>
        <v>23.362566245933461</v>
      </c>
      <c r="N109" s="956"/>
      <c r="O109" s="957">
        <f>K109*SUM(M109:M109)*12</f>
        <v>635.64821494695536</v>
      </c>
      <c r="P109" s="956"/>
      <c r="Q109" s="963">
        <f t="shared" si="31"/>
        <v>178.64</v>
      </c>
      <c r="R109" s="969">
        <f t="shared" ref="R109:R128" si="36">G109+O109</f>
        <v>4715.9882149469558</v>
      </c>
    </row>
    <row r="110" spans="1:18" ht="12" customHeight="1">
      <c r="A110" s="954" t="s">
        <v>832</v>
      </c>
      <c r="B110" s="954" t="s">
        <v>833</v>
      </c>
      <c r="C110" s="966">
        <f>IFERROR(VLOOKUP(A110,'[46]G-48 Rate Jan-Apr '!$F$4:$H$710,3,FALSE),0)</f>
        <v>121.75</v>
      </c>
      <c r="D110" s="961">
        <f>'Rate Schedule G-48'!B214</f>
        <v>121.75</v>
      </c>
      <c r="E110" s="962">
        <f>IFERROR(VLOOKUP(A110,'[46]G-48 Rev Jan-Apr'!$D$5:$E$117,2,FALSE),0)</f>
        <v>2191.5</v>
      </c>
      <c r="F110" s="962">
        <f>IFERROR(VLOOKUP(A110,'[46]G-48 Rev May-Dec'!$D$5:$E$127,2,FALSE),0)</f>
        <v>1339.25</v>
      </c>
      <c r="G110" s="962">
        <f t="shared" si="27"/>
        <v>3530.75</v>
      </c>
      <c r="I110" s="962">
        <f t="shared" si="32"/>
        <v>4.5</v>
      </c>
      <c r="J110" s="962">
        <f t="shared" si="33"/>
        <v>1.375</v>
      </c>
      <c r="K110" s="967">
        <f t="shared" si="34"/>
        <v>2.9375</v>
      </c>
      <c r="M110" s="968">
        <f t="shared" si="35"/>
        <v>18.317828699397211</v>
      </c>
      <c r="N110" s="956"/>
      <c r="O110" s="957">
        <f t="shared" ref="O110:O128" si="37">K110*SUM(M110:M110)*12</f>
        <v>645.70346165375167</v>
      </c>
      <c r="P110" s="956"/>
      <c r="Q110" s="963">
        <f t="shared" si="31"/>
        <v>140.07</v>
      </c>
      <c r="R110" s="969">
        <f t="shared" si="36"/>
        <v>4176.4534616537512</v>
      </c>
    </row>
    <row r="111" spans="1:18" ht="12" customHeight="1">
      <c r="A111" s="954" t="s">
        <v>834</v>
      </c>
      <c r="B111" s="954" t="s">
        <v>833</v>
      </c>
      <c r="C111" s="966">
        <f>IFERROR(VLOOKUP(A111,'[46]G-48 Rate Jan-Apr '!$F$4:$H$710,3,FALSE),0)</f>
        <v>280.56</v>
      </c>
      <c r="D111" s="961">
        <f>'Rate Schedule G-48'!B209</f>
        <v>280.56</v>
      </c>
      <c r="E111" s="962">
        <f>IFERROR(VLOOKUP(A111,'[46]G-48 Rev Jan-Apr'!$D$5:$E$117,2,FALSE),0)</f>
        <v>4208.3999999999996</v>
      </c>
      <c r="F111" s="962">
        <f>IFERROR(VLOOKUP(A111,'[46]G-48 Rev May-Dec'!$D$5:$E$127,2,FALSE),0)</f>
        <v>9302.02</v>
      </c>
      <c r="G111" s="962">
        <f t="shared" si="27"/>
        <v>13510.42</v>
      </c>
      <c r="I111" s="962">
        <f t="shared" si="32"/>
        <v>3.7499999999999996</v>
      </c>
      <c r="J111" s="962">
        <f t="shared" si="33"/>
        <v>4.1443987025948106</v>
      </c>
      <c r="K111" s="967">
        <f t="shared" si="34"/>
        <v>3.9471993512974048</v>
      </c>
      <c r="M111" s="968">
        <f t="shared" si="35"/>
        <v>42.211499136779317</v>
      </c>
      <c r="N111" s="956"/>
      <c r="O111" s="957">
        <f t="shared" si="37"/>
        <v>1999.4064241198353</v>
      </c>
      <c r="P111" s="956"/>
      <c r="Q111" s="963">
        <f t="shared" si="31"/>
        <v>322.77</v>
      </c>
      <c r="R111" s="969">
        <f t="shared" si="36"/>
        <v>15509.826424119836</v>
      </c>
    </row>
    <row r="112" spans="1:18" ht="12" customHeight="1">
      <c r="A112" s="954" t="s">
        <v>835</v>
      </c>
      <c r="B112" s="954" t="s">
        <v>836</v>
      </c>
      <c r="C112" s="966">
        <f>IFERROR(VLOOKUP(A112,'[46]G-48 Rate Jan-Apr '!$F$4:$H$710,3,FALSE),0)</f>
        <v>97.05</v>
      </c>
      <c r="D112" s="961">
        <f>'Rate Schedule G-48'!B213</f>
        <v>97.05</v>
      </c>
      <c r="E112" s="962">
        <f>IFERROR(VLOOKUP(A112,'[46]G-48 Rev Jan-Apr'!$D$5:$E$117,2,FALSE),0)</f>
        <v>-97.05</v>
      </c>
      <c r="F112" s="962">
        <f>IFERROR(VLOOKUP(A112,'[46]G-48 Rev May-Dec'!$D$5:$E$127,2,FALSE),0)</f>
        <v>97.05</v>
      </c>
      <c r="G112" s="962">
        <f t="shared" si="27"/>
        <v>0</v>
      </c>
      <c r="I112" s="962">
        <f t="shared" si="32"/>
        <v>-0.25</v>
      </c>
      <c r="J112" s="962">
        <f t="shared" si="33"/>
        <v>0.125</v>
      </c>
      <c r="K112" s="967">
        <f t="shared" si="34"/>
        <v>-6.25E-2</v>
      </c>
      <c r="M112" s="968">
        <f t="shared" si="35"/>
        <v>14.601603903708412</v>
      </c>
      <c r="N112" s="956"/>
      <c r="O112" s="957">
        <f t="shared" si="37"/>
        <v>-10.95120292778131</v>
      </c>
      <c r="P112" s="956"/>
      <c r="Q112" s="963">
        <f t="shared" si="31"/>
        <v>111.65</v>
      </c>
      <c r="R112" s="969">
        <f t="shared" si="36"/>
        <v>-10.95120292778131</v>
      </c>
    </row>
    <row r="113" spans="1:18" ht="12" customHeight="1">
      <c r="A113" s="954" t="s">
        <v>837</v>
      </c>
      <c r="B113" s="954" t="s">
        <v>838</v>
      </c>
      <c r="C113" s="966">
        <f>IFERROR(VLOOKUP(A113,'[46]G-48 Rate Jan-Apr '!$F$4:$H$710,3,FALSE),0)</f>
        <v>121.75</v>
      </c>
      <c r="D113" s="961">
        <f>'Rate Schedule G-48'!B214</f>
        <v>121.75</v>
      </c>
      <c r="E113" s="962">
        <f>IFERROR(VLOOKUP(A113,'[46]G-48 Rev Jan-Apr'!$D$5:$E$117,2,FALSE),0)</f>
        <v>4261.25</v>
      </c>
      <c r="F113" s="962">
        <f>IFERROR(VLOOKUP(A113,'[46]G-48 Rev May-Dec'!$D$5:$E$127,2,FALSE),0)</f>
        <v>4261.25</v>
      </c>
      <c r="G113" s="962">
        <f t="shared" si="27"/>
        <v>8522.5</v>
      </c>
      <c r="I113" s="962">
        <f t="shared" si="32"/>
        <v>8.75</v>
      </c>
      <c r="J113" s="962">
        <f t="shared" si="33"/>
        <v>4.375</v>
      </c>
      <c r="K113" s="967">
        <f t="shared" si="34"/>
        <v>6.5625</v>
      </c>
      <c r="M113" s="968">
        <f t="shared" si="35"/>
        <v>18.317828699397211</v>
      </c>
      <c r="N113" s="956"/>
      <c r="O113" s="957">
        <f t="shared" si="37"/>
        <v>1442.5290100775305</v>
      </c>
      <c r="P113" s="956"/>
      <c r="Q113" s="963">
        <f t="shared" si="31"/>
        <v>140.07</v>
      </c>
      <c r="R113" s="969">
        <f t="shared" si="36"/>
        <v>9965.029010077531</v>
      </c>
    </row>
    <row r="114" spans="1:18" ht="12" customHeight="1">
      <c r="A114" s="990" t="s">
        <v>839</v>
      </c>
      <c r="B114" s="954" t="s">
        <v>840</v>
      </c>
      <c r="C114" s="966">
        <f>IFERROR(VLOOKUP(A114,'[46]G-48 Rate Jan-Apr '!$F$4:$H$710,3,FALSE),0)</f>
        <v>112.22</v>
      </c>
      <c r="D114" s="961">
        <f>'Rate Schedule G-48'!B220</f>
        <v>112.22</v>
      </c>
      <c r="E114" s="962">
        <f>IFERROR(VLOOKUP(A114,'[46]G-48 Rev Jan-Apr'!$D$5:$E$117,2,FALSE),0)</f>
        <v>224.44</v>
      </c>
      <c r="F114" s="962">
        <f>IFERROR(VLOOKUP(A114,'[46]G-48 Rev May-Dec'!$D$5:$E$127,2,FALSE),0)</f>
        <v>336.66</v>
      </c>
      <c r="G114" s="962">
        <f t="shared" si="27"/>
        <v>561.1</v>
      </c>
      <c r="I114" s="962">
        <f t="shared" si="32"/>
        <v>0.5</v>
      </c>
      <c r="J114" s="962">
        <f t="shared" si="33"/>
        <v>0.37500000000000006</v>
      </c>
      <c r="K114" s="967">
        <f t="shared" si="34"/>
        <v>0.4375</v>
      </c>
      <c r="M114" s="968">
        <f t="shared" si="35"/>
        <v>16.883997836931048</v>
      </c>
      <c r="N114" s="956"/>
      <c r="O114" s="957">
        <f>K114*SUM(M114:M114)*12</f>
        <v>88.640988643888008</v>
      </c>
      <c r="P114" s="956"/>
      <c r="Q114" s="963">
        <f t="shared" si="31"/>
        <v>129.1</v>
      </c>
      <c r="R114" s="969">
        <f t="shared" si="36"/>
        <v>649.74098864388804</v>
      </c>
    </row>
    <row r="115" spans="1:18" ht="12" customHeight="1">
      <c r="A115" s="954" t="s">
        <v>841</v>
      </c>
      <c r="B115" s="954" t="s">
        <v>842</v>
      </c>
      <c r="C115" s="966">
        <f>IFERROR(VLOOKUP(A115,'[46]G-48 Rate Jan-Apr '!$F$4:$H$710,3,FALSE),0)</f>
        <v>112.22</v>
      </c>
      <c r="D115" s="961">
        <f>'Rate Schedule G-48'!B221</f>
        <v>112.22</v>
      </c>
      <c r="E115" s="962">
        <f>IFERROR(VLOOKUP(A115,'[46]G-48 Rev Jan-Apr'!$D$5:$E$117,2,FALSE),0)</f>
        <v>2581.0600000000004</v>
      </c>
      <c r="F115" s="962">
        <f>IFERROR(VLOOKUP(A115,'[46]G-48 Rev May-Dec'!$D$5:$E$127,2,FALSE),0)</f>
        <v>11846.599999999999</v>
      </c>
      <c r="G115" s="962">
        <f>SUM(E115:F115)</f>
        <v>14427.66</v>
      </c>
      <c r="I115" s="962">
        <f t="shared" si="32"/>
        <v>5.7500000000000009</v>
      </c>
      <c r="J115" s="962">
        <f t="shared" si="33"/>
        <v>13.195731598645516</v>
      </c>
      <c r="K115" s="967">
        <f t="shared" si="34"/>
        <v>9.4728657993227579</v>
      </c>
      <c r="M115" s="968">
        <f t="shared" si="35"/>
        <v>16.883997836931048</v>
      </c>
      <c r="N115" s="956"/>
      <c r="O115" s="957">
        <f t="shared" si="37"/>
        <v>1919.2781479836426</v>
      </c>
      <c r="P115" s="956"/>
      <c r="Q115" s="963">
        <f t="shared" si="31"/>
        <v>129.1</v>
      </c>
      <c r="R115" s="969">
        <f t="shared" si="36"/>
        <v>16346.938147983643</v>
      </c>
    </row>
    <row r="116" spans="1:18" ht="12" customHeight="1">
      <c r="A116" s="954" t="s">
        <v>843</v>
      </c>
      <c r="B116" s="954" t="s">
        <v>844</v>
      </c>
      <c r="C116" s="966">
        <f>IFERROR(VLOOKUP(A116,'[46]G-48 Rate Jan-Apr '!$F$4:$H$710,3,FALSE),0)</f>
        <v>162.1</v>
      </c>
      <c r="D116" s="961">
        <f>'Rate Schedule G-48'!B222</f>
        <v>162.1</v>
      </c>
      <c r="E116" s="962">
        <f>IFERROR(VLOOKUP(A116,'[46]G-48 Rev Jan-Apr'!$D$5:$E$117,2,FALSE),0)</f>
        <v>14684.64</v>
      </c>
      <c r="F116" s="962">
        <f>IFERROR(VLOOKUP(A116,'[46]G-48 Rev May-Dec'!$D$5:$E$127,2,FALSE),0)</f>
        <v>26958.400000000001</v>
      </c>
      <c r="G116" s="962">
        <f>SUM(E116:F116)</f>
        <v>41643.040000000001</v>
      </c>
      <c r="I116" s="962">
        <f t="shared" si="32"/>
        <v>22.647501542257867</v>
      </c>
      <c r="J116" s="962">
        <f t="shared" si="33"/>
        <v>20.788402220851328</v>
      </c>
      <c r="K116" s="967">
        <f t="shared" si="34"/>
        <v>21.717951881554598</v>
      </c>
      <c r="M116" s="968">
        <f t="shared" si="35"/>
        <v>24.388665561990042</v>
      </c>
      <c r="N116" s="956"/>
      <c r="O116" s="957">
        <f t="shared" si="37"/>
        <v>6356.0623815675299</v>
      </c>
      <c r="P116" s="956"/>
      <c r="Q116" s="963">
        <f t="shared" si="31"/>
        <v>186.49</v>
      </c>
      <c r="R116" s="969">
        <f t="shared" si="36"/>
        <v>47999.102381567529</v>
      </c>
    </row>
    <row r="117" spans="1:18" ht="12" customHeight="1">
      <c r="A117" s="954" t="s">
        <v>845</v>
      </c>
      <c r="B117" s="954" t="s">
        <v>846</v>
      </c>
      <c r="C117" s="966">
        <f>IFERROR(VLOOKUP(A117,'[46]G-48 Rate Jan-Apr '!$F$4:$H$710,3,FALSE),0)</f>
        <v>294.08999999999997</v>
      </c>
      <c r="D117" s="961">
        <f>'Rate Schedule G-48'!B238</f>
        <v>294.08999999999997</v>
      </c>
      <c r="E117" s="962">
        <f>IFERROR(VLOOKUP(A117,'[46]G-48 Rev Jan-Apr'!$D$5:$E$117,2,FALSE),0)</f>
        <v>2632.27</v>
      </c>
      <c r="F117" s="962">
        <f>IFERROR(VLOOKUP(A117,'[46]G-48 Rev May-Dec'!$D$5:$E$127,2,FALSE),0)</f>
        <v>8690.43</v>
      </c>
      <c r="G117" s="962">
        <f>SUM(E117:F117)</f>
        <v>11322.7</v>
      </c>
      <c r="I117" s="962">
        <f t="shared" si="32"/>
        <v>2.2376398381447857</v>
      </c>
      <c r="J117" s="962">
        <f t="shared" si="33"/>
        <v>3.69377996531674</v>
      </c>
      <c r="K117" s="967">
        <f t="shared" si="34"/>
        <v>2.9657099017307629</v>
      </c>
      <c r="M117" s="968">
        <f t="shared" si="35"/>
        <v>44.247147779923822</v>
      </c>
      <c r="N117" s="956"/>
      <c r="O117" s="957">
        <f t="shared" si="37"/>
        <v>1574.690451531173</v>
      </c>
      <c r="P117" s="956"/>
      <c r="Q117" s="963">
        <f t="shared" si="31"/>
        <v>338.34</v>
      </c>
      <c r="R117" s="969">
        <f t="shared" si="36"/>
        <v>12897.390451531173</v>
      </c>
    </row>
    <row r="118" spans="1:18" ht="12" customHeight="1">
      <c r="A118" s="954" t="s">
        <v>847</v>
      </c>
      <c r="B118" s="954" t="s">
        <v>848</v>
      </c>
      <c r="C118" s="966">
        <f>IFERROR(VLOOKUP(A118,'[46]G-48 Rate Jan-Apr '!$F$4:$H$710,3,FALSE),0)</f>
        <v>582.29999999999995</v>
      </c>
      <c r="D118" s="961">
        <f>'Rate Schedule G-48'!B239</f>
        <v>582.29999999999995</v>
      </c>
      <c r="E118" s="962">
        <f>IFERROR(VLOOKUP(A118,'[46]G-48 Rev Jan-Apr'!$D$5:$E$117,2,FALSE),0)</f>
        <v>0</v>
      </c>
      <c r="F118" s="962">
        <f>IFERROR(VLOOKUP(A118,'[46]G-48 Rev May-Dec'!$D$5:$E$127,2,FALSE),0)</f>
        <v>582.29999999999995</v>
      </c>
      <c r="G118" s="962">
        <f t="shared" ref="G118:G128" si="38">SUM(E118:F118)</f>
        <v>582.29999999999995</v>
      </c>
      <c r="I118" s="962">
        <f t="shared" si="32"/>
        <v>0</v>
      </c>
      <c r="J118" s="962">
        <f t="shared" si="33"/>
        <v>0.125</v>
      </c>
      <c r="K118" s="967">
        <f t="shared" si="34"/>
        <v>0.125</v>
      </c>
      <c r="M118" s="968">
        <f t="shared" si="35"/>
        <v>87.609623422250479</v>
      </c>
      <c r="N118" s="956"/>
      <c r="O118" s="957">
        <f t="shared" si="37"/>
        <v>131.41443513337572</v>
      </c>
      <c r="P118" s="956"/>
      <c r="Q118" s="963">
        <f t="shared" si="31"/>
        <v>669.91</v>
      </c>
      <c r="R118" s="969">
        <f t="shared" si="36"/>
        <v>713.71443513337567</v>
      </c>
    </row>
    <row r="119" spans="1:18" ht="12" customHeight="1">
      <c r="A119" s="954" t="s">
        <v>849</v>
      </c>
      <c r="B119" s="954" t="s">
        <v>850</v>
      </c>
      <c r="C119" s="966">
        <f>IFERROR(VLOOKUP(A119,'[46]G-48 Rate Jan-Apr '!$F$4:$H$710,3,FALSE),0)</f>
        <v>50.11</v>
      </c>
      <c r="D119" s="961">
        <f>'Rate Schedule G-48'!B217</f>
        <v>50.11</v>
      </c>
      <c r="E119" s="962">
        <f>IFERROR(VLOOKUP(A119,'[46]G-48 Rev Jan-Apr'!$D$5:$E$117,2,FALSE),0)</f>
        <v>1102.42</v>
      </c>
      <c r="F119" s="962">
        <f>IFERROR(VLOOKUP(A119,'[46]G-48 Rev May-Dec'!$D$5:$E$127,2,FALSE),0)</f>
        <v>4008.7999999999997</v>
      </c>
      <c r="G119" s="962">
        <f t="shared" si="38"/>
        <v>5111.2199999999993</v>
      </c>
      <c r="I119" s="962">
        <f t="shared" si="32"/>
        <v>5.5</v>
      </c>
      <c r="J119" s="962">
        <f t="shared" si="33"/>
        <v>10</v>
      </c>
      <c r="K119" s="967">
        <f t="shared" si="34"/>
        <v>7.75</v>
      </c>
      <c r="M119" s="968">
        <f t="shared" si="35"/>
        <v>7.5392722474480021</v>
      </c>
      <c r="N119" s="956"/>
      <c r="O119" s="957">
        <f t="shared" si="37"/>
        <v>701.15231901266418</v>
      </c>
      <c r="P119" s="956"/>
      <c r="Q119" s="963">
        <f t="shared" si="31"/>
        <v>57.65</v>
      </c>
      <c r="R119" s="969">
        <f t="shared" si="36"/>
        <v>5812.3723190126639</v>
      </c>
    </row>
    <row r="120" spans="1:18" ht="12" customHeight="1">
      <c r="A120" s="954" t="s">
        <v>851</v>
      </c>
      <c r="B120" s="954" t="s">
        <v>852</v>
      </c>
      <c r="C120" s="966">
        <f>IFERROR(VLOOKUP(A120,'[46]G-48 Rate Jan-Apr '!$F$4:$H$710,3,FALSE),0)</f>
        <v>50.11</v>
      </c>
      <c r="D120" s="961">
        <f>'Rate Schedule G-48'!B217</f>
        <v>50.11</v>
      </c>
      <c r="E120" s="962">
        <f>IFERROR(VLOOKUP(A120,'[46]G-48 Rev Jan-Apr'!$D$5:$E$117,2,FALSE),0)</f>
        <v>350.77</v>
      </c>
      <c r="F120" s="962">
        <f>IFERROR(VLOOKUP(A120,'[46]G-48 Rev May-Dec'!$D$5:$E$127,2,FALSE),0)</f>
        <v>1803.96</v>
      </c>
      <c r="G120" s="962">
        <f>SUM(E120:F120)</f>
        <v>2154.73</v>
      </c>
      <c r="I120" s="962">
        <f t="shared" si="32"/>
        <v>1.75</v>
      </c>
      <c r="J120" s="962">
        <f t="shared" si="33"/>
        <v>4.5</v>
      </c>
      <c r="K120" s="967">
        <f t="shared" si="34"/>
        <v>3.125</v>
      </c>
      <c r="M120" s="968">
        <f t="shared" si="35"/>
        <v>7.5392722474480021</v>
      </c>
      <c r="N120" s="956"/>
      <c r="O120" s="957">
        <f t="shared" si="37"/>
        <v>282.72270927930009</v>
      </c>
      <c r="P120" s="956"/>
      <c r="Q120" s="963">
        <f t="shared" si="31"/>
        <v>57.65</v>
      </c>
      <c r="R120" s="969">
        <f t="shared" si="36"/>
        <v>2437.4527092793001</v>
      </c>
    </row>
    <row r="121" spans="1:18" ht="12" customHeight="1">
      <c r="A121" s="954" t="s">
        <v>853</v>
      </c>
      <c r="B121" s="954" t="s">
        <v>854</v>
      </c>
      <c r="C121" s="966">
        <f>IFERROR(VLOOKUP(A121,'[46]G-48 Rate Jan-Apr '!$F$4:$H$710,3,FALSE),0)</f>
        <v>4.3499999999999996</v>
      </c>
      <c r="D121" s="961">
        <f>'Rate Schedule G-48'!B234</f>
        <v>4.3499999999999996</v>
      </c>
      <c r="E121" s="962">
        <f>IFERROR(VLOOKUP(A121,'[46]G-48 Rev Jan-Apr'!$D$5:$E$117,2,FALSE),0)</f>
        <v>2240.25</v>
      </c>
      <c r="F121" s="962">
        <f>IFERROR(VLOOKUP(A121,'[46]G-48 Rev May-Dec'!$D$5:$E$127,2,FALSE),0)</f>
        <v>7407.18</v>
      </c>
      <c r="G121" s="962">
        <f t="shared" si="38"/>
        <v>9647.43</v>
      </c>
      <c r="I121" s="962">
        <f t="shared" si="32"/>
        <v>128.75</v>
      </c>
      <c r="J121" s="962">
        <f t="shared" si="33"/>
        <v>212.85000000000002</v>
      </c>
      <c r="K121" s="967">
        <f t="shared" si="34"/>
        <v>170.8</v>
      </c>
      <c r="M121" s="968">
        <f t="shared" si="35"/>
        <v>0.65447683648770316</v>
      </c>
      <c r="N121" s="956"/>
      <c r="O121" s="957">
        <f t="shared" si="37"/>
        <v>1341.4157240651964</v>
      </c>
      <c r="P121" s="956"/>
      <c r="Q121" s="963">
        <f t="shared" si="31"/>
        <v>5</v>
      </c>
      <c r="R121" s="969">
        <f t="shared" si="36"/>
        <v>10988.845724065197</v>
      </c>
    </row>
    <row r="122" spans="1:18" ht="12" customHeight="1">
      <c r="A122" s="954" t="s">
        <v>855</v>
      </c>
      <c r="B122" s="954" t="s">
        <v>856</v>
      </c>
      <c r="C122" s="966">
        <f>IFERROR(VLOOKUP(A122,'[46]G-48 Rate Jan-Apr '!$F$4:$H$710,3,FALSE),0)</f>
        <v>124.69</v>
      </c>
      <c r="D122" s="961">
        <f>'Rate Schedule G-48'!B230</f>
        <v>124.69</v>
      </c>
      <c r="E122" s="962">
        <f>IFERROR(VLOOKUP(A122,'[46]G-48 Rev Jan-Apr'!$D$5:$E$117,2,FALSE),0)</f>
        <v>506.88</v>
      </c>
      <c r="F122" s="962">
        <f>IFERROR(VLOOKUP(A122,'[46]G-48 Rev May-Dec'!$D$5:$E$127,2,FALSE),0)</f>
        <v>748.14</v>
      </c>
      <c r="G122" s="962">
        <f t="shared" si="38"/>
        <v>1255.02</v>
      </c>
      <c r="I122" s="962">
        <f t="shared" si="32"/>
        <v>1.0162803753308205</v>
      </c>
      <c r="J122" s="962">
        <f t="shared" si="33"/>
        <v>0.75</v>
      </c>
      <c r="K122" s="967">
        <f t="shared" si="34"/>
        <v>0.88314018766541025</v>
      </c>
      <c r="M122" s="968">
        <f t="shared" si="35"/>
        <v>18.760164768195796</v>
      </c>
      <c r="N122" s="956"/>
      <c r="O122" s="957">
        <f t="shared" si="37"/>
        <v>198.81426520822146</v>
      </c>
      <c r="P122" s="956"/>
      <c r="Q122" s="963">
        <f t="shared" si="31"/>
        <v>143.44999999999999</v>
      </c>
      <c r="R122" s="969">
        <f t="shared" si="36"/>
        <v>1453.8342652082215</v>
      </c>
    </row>
    <row r="123" spans="1:18" ht="12" customHeight="1">
      <c r="A123" s="954" t="s">
        <v>857</v>
      </c>
      <c r="B123" s="954" t="s">
        <v>858</v>
      </c>
      <c r="C123" s="966">
        <f>IFERROR(VLOOKUP(A123,'[46]G-48 Rate Jan-Apr '!$F$4:$H$710,3,FALSE),0)</f>
        <v>8.1199999999999992</v>
      </c>
      <c r="D123" s="961">
        <f>'Rate Schedule G-48'!B226</f>
        <v>8.1199999999999992</v>
      </c>
      <c r="E123" s="962">
        <f>IFERROR(VLOOKUP(A123,'[46]G-48 Rev Jan-Apr'!$D$5:$E$117,2,FALSE),0)</f>
        <v>1403.6000000000001</v>
      </c>
      <c r="F123" s="962">
        <f>IFERROR(VLOOKUP(A123,'[46]G-48 Rev May-Dec'!$D$5:$E$127,2,FALSE),0)</f>
        <v>10949.04</v>
      </c>
      <c r="G123" s="962">
        <f t="shared" si="38"/>
        <v>12352.640000000001</v>
      </c>
      <c r="I123" s="962">
        <f t="shared" si="32"/>
        <v>43.214285714285722</v>
      </c>
      <c r="J123" s="962">
        <f t="shared" si="33"/>
        <v>168.55049261083747</v>
      </c>
      <c r="K123" s="967">
        <f t="shared" si="34"/>
        <v>105.88238916256159</v>
      </c>
      <c r="M123" s="968">
        <f t="shared" si="35"/>
        <v>1.2216900947770459</v>
      </c>
      <c r="N123" s="956"/>
      <c r="O123" s="957">
        <f t="shared" si="37"/>
        <v>1552.2655926147593</v>
      </c>
      <c r="P123" s="956"/>
      <c r="Q123" s="963">
        <f t="shared" si="31"/>
        <v>9.34</v>
      </c>
      <c r="R123" s="969">
        <f t="shared" si="36"/>
        <v>13904.905592614761</v>
      </c>
    </row>
    <row r="124" spans="1:18" ht="12" customHeight="1">
      <c r="A124" s="954" t="s">
        <v>859</v>
      </c>
      <c r="B124" s="954" t="s">
        <v>858</v>
      </c>
      <c r="C124" s="966">
        <f>IFERROR(VLOOKUP(A124,'[46]G-48 Rate Jan-Apr '!$F$4:$H$710,3,FALSE),0)</f>
        <v>124.69</v>
      </c>
      <c r="D124" s="961">
        <f>'Rate Schedule G-48'!B231</f>
        <v>124.69</v>
      </c>
      <c r="E124" s="962">
        <f>IFERROR(VLOOKUP(A124,'[46]G-48 Rev Jan-Apr'!$D$5:$E$117,2,FALSE),0)</f>
        <v>0</v>
      </c>
      <c r="F124" s="962">
        <f>IFERROR(VLOOKUP(A124,'[46]G-48 Rev May-Dec'!$D$5:$E$127,2,FALSE),0)</f>
        <v>2149.3200000000002</v>
      </c>
      <c r="G124" s="962">
        <f t="shared" si="38"/>
        <v>2149.3200000000002</v>
      </c>
      <c r="I124" s="962">
        <f t="shared" si="32"/>
        <v>0</v>
      </c>
      <c r="J124" s="962">
        <f t="shared" si="33"/>
        <v>2.1546635656427942</v>
      </c>
      <c r="K124" s="967">
        <f t="shared" si="34"/>
        <v>2.1546635656427942</v>
      </c>
      <c r="M124" s="968">
        <f t="shared" si="35"/>
        <v>18.760164768195796</v>
      </c>
      <c r="N124" s="956"/>
      <c r="O124" s="957">
        <f t="shared" si="37"/>
        <v>485.06212213784488</v>
      </c>
      <c r="P124" s="956"/>
      <c r="Q124" s="963">
        <f t="shared" si="31"/>
        <v>143.44999999999999</v>
      </c>
      <c r="R124" s="969">
        <f t="shared" si="36"/>
        <v>2634.3821221378448</v>
      </c>
    </row>
    <row r="125" spans="1:18" ht="12" customHeight="1">
      <c r="A125" s="954" t="s">
        <v>860</v>
      </c>
      <c r="B125" s="954" t="s">
        <v>861</v>
      </c>
      <c r="C125" s="966">
        <f>IFERROR(VLOOKUP(A125,'[46]G-48 Rate Jan-Apr '!$F$4:$H$710,3,FALSE),0)</f>
        <v>8.1199999999999992</v>
      </c>
      <c r="D125" s="961">
        <f>'Rate Schedule G-48'!B226</f>
        <v>8.1199999999999992</v>
      </c>
      <c r="E125" s="962">
        <f>IFERROR(VLOOKUP(A125,'[46]G-48 Rev Jan-Apr'!$D$5:$E$117,2,FALSE),0)</f>
        <v>3239.88</v>
      </c>
      <c r="F125" s="962">
        <f>IFERROR(VLOOKUP(A125,'[46]G-48 Rev May-Dec'!$D$5:$E$127,2,FALSE),0)</f>
        <v>194.88</v>
      </c>
      <c r="G125" s="962">
        <f t="shared" si="38"/>
        <v>3434.76</v>
      </c>
      <c r="I125" s="962">
        <f t="shared" si="32"/>
        <v>99.750000000000014</v>
      </c>
      <c r="J125" s="962">
        <f t="shared" si="33"/>
        <v>3</v>
      </c>
      <c r="K125" s="967">
        <f t="shared" si="34"/>
        <v>51.375000000000007</v>
      </c>
      <c r="M125" s="968">
        <f t="shared" si="35"/>
        <v>1.2216900947770459</v>
      </c>
      <c r="N125" s="956"/>
      <c r="O125" s="957">
        <f t="shared" si="37"/>
        <v>753.17194343004894</v>
      </c>
      <c r="P125" s="956"/>
      <c r="Q125" s="963">
        <f t="shared" si="31"/>
        <v>9.34</v>
      </c>
      <c r="R125" s="969">
        <f t="shared" si="36"/>
        <v>4187.9319434300487</v>
      </c>
    </row>
    <row r="126" spans="1:18" ht="12" customHeight="1">
      <c r="A126" s="954" t="s">
        <v>862</v>
      </c>
      <c r="B126" s="954" t="s">
        <v>863</v>
      </c>
      <c r="C126" s="966">
        <f>'Rate Schedule G-48'!B208-'Rate Schedule G-48'!B213</f>
        <v>58.230000000000004</v>
      </c>
      <c r="D126" s="961">
        <f>C126</f>
        <v>58.230000000000004</v>
      </c>
      <c r="E126" s="962">
        <f>IFERROR(VLOOKUP(A126,'[46]G-48 Rev Jan-Apr'!$D$5:$E$117,2,FALSE),0)</f>
        <v>1122.21</v>
      </c>
      <c r="F126" s="962">
        <f>IFERROR(VLOOKUP(A126,'[46]G-48 Rev May-Dec'!$D$5:$E$127,2,FALSE),0)</f>
        <v>12766.55</v>
      </c>
      <c r="G126" s="962">
        <f t="shared" si="38"/>
        <v>13888.759999999998</v>
      </c>
      <c r="I126" s="962">
        <f t="shared" si="32"/>
        <v>4.8180061823802163</v>
      </c>
      <c r="J126" s="962">
        <f t="shared" si="33"/>
        <v>27.405439635926495</v>
      </c>
      <c r="K126" s="967">
        <f t="shared" si="34"/>
        <v>16.111722909153357</v>
      </c>
      <c r="M126" s="968">
        <f t="shared" si="35"/>
        <v>8.7609623422250493</v>
      </c>
      <c r="N126" s="956"/>
      <c r="O126" s="957">
        <f t="shared" si="37"/>
        <v>1693.850372105486</v>
      </c>
      <c r="P126" s="956"/>
      <c r="Q126" s="963">
        <f t="shared" si="31"/>
        <v>66.989999999999995</v>
      </c>
      <c r="R126" s="969">
        <f t="shared" si="36"/>
        <v>15582.610372105484</v>
      </c>
    </row>
    <row r="127" spans="1:18" ht="12" customHeight="1">
      <c r="A127" s="954" t="s">
        <v>864</v>
      </c>
      <c r="B127" s="954" t="s">
        <v>865</v>
      </c>
      <c r="C127" s="966">
        <f>'Rate Schedule G-48'!B209-'Rate Schedule G-48'!B214</f>
        <v>158.81</v>
      </c>
      <c r="D127" s="961">
        <f>C127</f>
        <v>158.81</v>
      </c>
      <c r="E127" s="962">
        <f>IFERROR(VLOOKUP(A127,'[46]G-48 Rev Jan-Apr'!$D$5:$E$117,2,FALSE),0)</f>
        <v>374.07</v>
      </c>
      <c r="F127" s="962">
        <f>IFERROR(VLOOKUP(A127,'[46]G-48 Rev May-Dec'!$D$5:$E$127,2,FALSE),0)</f>
        <v>1246.9000000000001</v>
      </c>
      <c r="G127" s="962">
        <f t="shared" si="38"/>
        <v>1620.97</v>
      </c>
      <c r="I127" s="962">
        <f t="shared" si="32"/>
        <v>0.58886405138215481</v>
      </c>
      <c r="J127" s="962">
        <f t="shared" si="33"/>
        <v>0.98144008563692464</v>
      </c>
      <c r="K127" s="967">
        <f t="shared" si="34"/>
        <v>0.78515206850953967</v>
      </c>
      <c r="M127" s="968">
        <f t="shared" si="35"/>
        <v>23.893670437382102</v>
      </c>
      <c r="N127" s="956"/>
      <c r="O127" s="957">
        <f t="shared" si="37"/>
        <v>225.12197721834957</v>
      </c>
      <c r="P127" s="956"/>
      <c r="Q127" s="963">
        <f t="shared" si="31"/>
        <v>182.7</v>
      </c>
      <c r="R127" s="969">
        <f t="shared" si="36"/>
        <v>1846.0919772183497</v>
      </c>
    </row>
    <row r="128" spans="1:18" ht="12" customHeight="1">
      <c r="A128" s="954" t="s">
        <v>866</v>
      </c>
      <c r="B128" s="954" t="s">
        <v>867</v>
      </c>
      <c r="C128" s="966"/>
      <c r="E128" s="962">
        <f>IFERROR(VLOOKUP(A128,'[46]G-48 Rev Jan-Apr'!$D$5:$E$117,2,FALSE),0)</f>
        <v>0</v>
      </c>
      <c r="F128" s="962">
        <f>IFERROR(VLOOKUP(A128,'[46]G-48 Rev May-Dec'!$D$5:$E$127,2,FALSE),0)</f>
        <v>-7.57</v>
      </c>
      <c r="G128" s="962">
        <f t="shared" si="38"/>
        <v>-7.57</v>
      </c>
      <c r="I128" s="962">
        <f t="shared" si="32"/>
        <v>0</v>
      </c>
      <c r="J128" s="962">
        <f t="shared" si="33"/>
        <v>0</v>
      </c>
      <c r="K128" s="967">
        <f t="shared" si="34"/>
        <v>0</v>
      </c>
      <c r="M128" s="968">
        <f t="shared" si="35"/>
        <v>0</v>
      </c>
      <c r="N128" s="956"/>
      <c r="O128" s="957">
        <f t="shared" si="37"/>
        <v>0</v>
      </c>
      <c r="P128" s="956"/>
      <c r="Q128" s="963">
        <f t="shared" si="31"/>
        <v>0</v>
      </c>
      <c r="R128" s="969">
        <f t="shared" si="36"/>
        <v>-7.57</v>
      </c>
    </row>
    <row r="129" spans="1:18" ht="7.5" customHeight="1" thickBot="1">
      <c r="A129" s="991"/>
      <c r="B129" s="991"/>
      <c r="C129" s="964"/>
      <c r="E129" s="962"/>
      <c r="F129" s="962"/>
      <c r="G129" s="967"/>
      <c r="I129" s="962"/>
      <c r="J129" s="962"/>
      <c r="K129" s="992"/>
    </row>
    <row r="130" spans="1:18" s="665" customFormat="1" ht="13.5" customHeight="1" thickBot="1">
      <c r="A130" s="993"/>
      <c r="B130" s="993"/>
      <c r="C130" s="993"/>
      <c r="D130" s="993"/>
      <c r="E130" s="976">
        <f>SUM(E108:E129)</f>
        <v>42676.439999999988</v>
      </c>
      <c r="F130" s="976">
        <f>SUM(F108:F129)</f>
        <v>108001.00000000001</v>
      </c>
      <c r="G130" s="976">
        <f>SUM(G108:G129)</f>
        <v>150677.44000000003</v>
      </c>
      <c r="H130" s="993"/>
      <c r="I130" s="994"/>
      <c r="J130" s="994"/>
      <c r="K130" s="978">
        <f>SUM(K126:K127)</f>
        <v>16.896874977662897</v>
      </c>
      <c r="L130" s="964"/>
      <c r="M130" s="964"/>
      <c r="N130" s="964"/>
      <c r="O130" s="979">
        <f>SUM(O108:P128)</f>
        <v>22127.305536338237</v>
      </c>
      <c r="P130" s="977"/>
      <c r="Q130" s="977"/>
      <c r="R130" s="980">
        <f>SUM(R108:S128)</f>
        <v>172804.74553633822</v>
      </c>
    </row>
    <row r="131" spans="1:18" s="665" customFormat="1" ht="7.5" customHeight="1">
      <c r="A131" s="995"/>
      <c r="B131" s="995"/>
      <c r="C131" s="995"/>
      <c r="D131" s="982"/>
      <c r="E131" s="996"/>
      <c r="F131" s="996"/>
      <c r="G131" s="936"/>
      <c r="H131" s="936"/>
      <c r="I131" s="997"/>
      <c r="J131" s="997"/>
      <c r="K131" s="997"/>
      <c r="L131" s="964"/>
      <c r="M131" s="964"/>
      <c r="N131" s="964"/>
      <c r="O131" s="998"/>
      <c r="P131" s="964"/>
      <c r="Q131" s="964"/>
      <c r="R131" s="964"/>
    </row>
    <row r="132" spans="1:18" s="665" customFormat="1" ht="12" customHeight="1">
      <c r="A132" s="989" t="s">
        <v>868</v>
      </c>
      <c r="B132" s="989" t="s">
        <v>868</v>
      </c>
      <c r="C132" s="989"/>
      <c r="D132" s="936"/>
      <c r="E132" s="936"/>
      <c r="F132" s="936"/>
      <c r="G132" s="936"/>
      <c r="H132" s="936"/>
      <c r="I132" s="997"/>
      <c r="J132" s="997"/>
      <c r="K132" s="997"/>
      <c r="L132" s="964"/>
      <c r="M132" s="954"/>
      <c r="N132" s="954"/>
      <c r="O132" s="999" t="s">
        <v>1298</v>
      </c>
      <c r="P132" s="964"/>
      <c r="Q132" s="964"/>
      <c r="R132" s="964"/>
    </row>
    <row r="133" spans="1:18" s="665" customFormat="1" ht="12" customHeight="1">
      <c r="A133" s="954" t="s">
        <v>869</v>
      </c>
      <c r="B133" s="954" t="s">
        <v>870</v>
      </c>
      <c r="C133" s="966">
        <f>IFERROR(VLOOKUP(A133,'[46]G-48 Rate Jan-Apr '!$F$4:$H$710,3,FALSE),0)</f>
        <v>70</v>
      </c>
      <c r="D133" s="961">
        <f>IFERROR(VLOOKUP(A133,'[46]G-48 Rate May-Dec'!F147:H1059,3,FALSE),0)</f>
        <v>71.16</v>
      </c>
      <c r="E133" s="962">
        <f>IFERROR(VLOOKUP(A133,'[46]G-48 Rev Jan-Apr'!$D$5:$E$117,2,FALSE),0)</f>
        <v>55339.9</v>
      </c>
      <c r="F133" s="962">
        <f>IFERROR(VLOOKUP(A133,'[46]G-48 Rev May-Dec'!$D$5:$E$127,2,FALSE),0)</f>
        <v>102504.25</v>
      </c>
      <c r="G133" s="962">
        <f t="shared" ref="G133" si="39">SUM(E133:F133)</f>
        <v>157844.15</v>
      </c>
      <c r="H133" s="936"/>
      <c r="I133" s="962"/>
      <c r="J133" s="962"/>
      <c r="K133" s="967"/>
      <c r="L133" s="936"/>
      <c r="M133" s="1000" t="s">
        <v>316</v>
      </c>
      <c r="N133" s="964"/>
      <c r="O133" s="1001">
        <f>O130+O103+O35</f>
        <v>154270.40435104613</v>
      </c>
      <c r="P133" s="956"/>
      <c r="Q133" s="963"/>
      <c r="R133" s="969"/>
    </row>
    <row r="134" spans="1:18" s="665" customFormat="1" ht="7.5" customHeight="1">
      <c r="A134" s="964"/>
      <c r="B134" s="964"/>
      <c r="C134" s="936"/>
      <c r="D134" s="936"/>
      <c r="E134" s="936"/>
      <c r="F134" s="936"/>
      <c r="G134" s="996"/>
      <c r="H134" s="936"/>
      <c r="I134" s="997"/>
      <c r="J134" s="997"/>
      <c r="K134" s="997"/>
      <c r="L134" s="964"/>
      <c r="M134" s="954"/>
      <c r="N134" s="954"/>
      <c r="O134" s="1002">
        <f>SUM(O133:O133)</f>
        <v>154270.40435104613</v>
      </c>
      <c r="P134" s="964"/>
      <c r="Q134" s="964"/>
      <c r="R134" s="964"/>
    </row>
    <row r="135" spans="1:18" s="665" customFormat="1" ht="13.5" customHeight="1" thickBot="1">
      <c r="A135" s="986"/>
      <c r="B135" s="974" t="s">
        <v>871</v>
      </c>
      <c r="C135" s="974"/>
      <c r="D135" s="993"/>
      <c r="E135" s="976">
        <f>SUM(E133:E133)</f>
        <v>55339.9</v>
      </c>
      <c r="F135" s="976">
        <f>SUM(F133:F133)</f>
        <v>102504.25</v>
      </c>
      <c r="G135" s="976">
        <f>SUM(G133:G133)</f>
        <v>157844.15</v>
      </c>
      <c r="H135" s="993"/>
      <c r="I135" s="997"/>
      <c r="J135" s="997"/>
      <c r="K135" s="997"/>
      <c r="L135" s="964"/>
      <c r="M135" s="1003" t="s">
        <v>1299</v>
      </c>
      <c r="N135" s="1004"/>
      <c r="O135" s="1005">
        <f>'LG G-48'!E6</f>
        <v>154108.79683344738</v>
      </c>
      <c r="P135" s="964"/>
      <c r="Q135" s="964"/>
      <c r="R135" s="964"/>
    </row>
    <row r="136" spans="1:18" s="665" customFormat="1" ht="12" customHeight="1">
      <c r="A136" s="995"/>
      <c r="B136" s="1006"/>
      <c r="C136" s="1006"/>
      <c r="D136" s="982"/>
      <c r="E136" s="1007"/>
      <c r="F136" s="1007"/>
      <c r="G136" s="1008"/>
      <c r="H136" s="936"/>
      <c r="I136" s="997"/>
      <c r="J136" s="997"/>
      <c r="K136" s="997"/>
      <c r="L136" s="964"/>
      <c r="M136" s="954"/>
      <c r="N136" s="954"/>
      <c r="O136" s="1009">
        <f>O134-O135</f>
        <v>161.60751759874984</v>
      </c>
      <c r="P136" s="964"/>
      <c r="Q136" s="964"/>
      <c r="R136" s="964"/>
    </row>
    <row r="137" spans="1:18" s="668" customFormat="1" ht="12" customHeight="1">
      <c r="A137" s="1010" t="s">
        <v>872</v>
      </c>
      <c r="B137" s="1010" t="s">
        <v>872</v>
      </c>
      <c r="C137" s="981"/>
      <c r="D137" s="961"/>
      <c r="E137" s="983"/>
      <c r="F137" s="962" t="str">
        <f>IF(D137="","",(#REF!/D137)+(#REF!/#REF!))</f>
        <v/>
      </c>
      <c r="G137" s="963"/>
      <c r="H137" s="935"/>
      <c r="I137" s="994"/>
      <c r="J137" s="994"/>
      <c r="K137" s="997"/>
      <c r="L137" s="995"/>
      <c r="M137" s="995"/>
      <c r="N137" s="995"/>
      <c r="O137" s="995"/>
      <c r="P137" s="995"/>
      <c r="Q137" s="995"/>
      <c r="R137" s="995"/>
    </row>
    <row r="138" spans="1:18" s="668" customFormat="1" ht="12" customHeight="1">
      <c r="A138" s="964" t="s">
        <v>873</v>
      </c>
      <c r="B138" s="964" t="s">
        <v>874</v>
      </c>
      <c r="C138" s="966">
        <v>1</v>
      </c>
      <c r="D138" s="966">
        <v>1</v>
      </c>
      <c r="E138" s="962">
        <f>IFERROR(VLOOKUP(A138,'[46]G-48 Rev Jan-Apr'!$D$5:$E$117,2,FALSE),0)</f>
        <v>2220.66</v>
      </c>
      <c r="F138" s="962">
        <f>IFERROR(VLOOKUP(A138,'[46]G-48 Rev May-Dec'!$D$5:$E$127,2,FALSE),0)</f>
        <v>3335.7</v>
      </c>
      <c r="G138" s="962">
        <f t="shared" ref="G138" si="40">SUM(E138:F138)</f>
        <v>5556.36</v>
      </c>
      <c r="H138" s="935"/>
      <c r="I138" s="994"/>
      <c r="J138" s="994"/>
      <c r="K138" s="997"/>
      <c r="L138" s="995"/>
      <c r="M138" s="995"/>
      <c r="N138" s="995"/>
      <c r="O138" s="995"/>
      <c r="P138" s="995"/>
      <c r="Q138" s="995"/>
      <c r="R138" s="995"/>
    </row>
    <row r="139" spans="1:18" s="668" customFormat="1" ht="12" customHeight="1">
      <c r="A139" s="964" t="s">
        <v>875</v>
      </c>
      <c r="B139" s="964" t="s">
        <v>876</v>
      </c>
      <c r="C139" s="966">
        <v>29.41</v>
      </c>
      <c r="D139" s="966">
        <v>29.41</v>
      </c>
      <c r="E139" s="962">
        <f>IFERROR(VLOOKUP(A139,'[46]G-48 Rev Jan-Apr'!$D$5:$E$117,2,FALSE),0)</f>
        <v>0</v>
      </c>
      <c r="F139" s="962">
        <f>IFERROR(VLOOKUP(A139,'[46]G-48 Rev May-Dec'!$D$5:$E$127,2,FALSE),0)</f>
        <v>0</v>
      </c>
      <c r="G139" s="962">
        <f>SUM(E139:F139)</f>
        <v>0</v>
      </c>
      <c r="H139" s="935"/>
      <c r="I139" s="994"/>
      <c r="J139" s="994"/>
      <c r="K139" s="997"/>
      <c r="L139" s="995"/>
      <c r="M139" s="995"/>
      <c r="N139" s="995"/>
      <c r="O139" s="995"/>
      <c r="P139" s="995"/>
      <c r="Q139" s="995"/>
      <c r="R139" s="995"/>
    </row>
    <row r="140" spans="1:18" s="668" customFormat="1" ht="12" customHeight="1">
      <c r="A140" s="964" t="s">
        <v>877</v>
      </c>
      <c r="B140" s="964" t="s">
        <v>878</v>
      </c>
      <c r="C140" s="966">
        <v>29.41</v>
      </c>
      <c r="D140" s="966">
        <v>29.41</v>
      </c>
      <c r="E140" s="962">
        <f>IFERROR(VLOOKUP(A140,'[46]G-48 Rev Jan-Apr'!$D$5:$E$117,2,FALSE),0)</f>
        <v>0</v>
      </c>
      <c r="F140" s="962">
        <f>IFERROR(VLOOKUP(A140,'[46]G-48 Rev May-Dec'!$D$5:$E$127,2,FALSE),0)</f>
        <v>56.44</v>
      </c>
      <c r="G140" s="962">
        <f>SUM(E140:F140)</f>
        <v>56.44</v>
      </c>
      <c r="H140" s="935"/>
      <c r="I140" s="994"/>
      <c r="J140" s="994"/>
      <c r="K140" s="997"/>
      <c r="L140" s="995"/>
      <c r="M140" s="995"/>
      <c r="N140" s="995"/>
      <c r="O140" s="995"/>
      <c r="P140" s="995"/>
      <c r="Q140" s="995"/>
      <c r="R140" s="995"/>
    </row>
    <row r="141" spans="1:18" s="668" customFormat="1" ht="7.5" customHeight="1">
      <c r="A141" s="971"/>
      <c r="B141" s="971"/>
      <c r="C141" s="971"/>
      <c r="D141" s="961"/>
      <c r="E141" s="983"/>
      <c r="F141" s="962"/>
      <c r="G141" s="963"/>
      <c r="H141" s="935"/>
      <c r="I141" s="994"/>
      <c r="J141" s="994"/>
      <c r="K141" s="997"/>
      <c r="L141" s="995"/>
      <c r="M141" s="995"/>
      <c r="N141" s="995"/>
      <c r="O141" s="995"/>
      <c r="P141" s="995"/>
      <c r="Q141" s="995"/>
      <c r="R141" s="995"/>
    </row>
    <row r="142" spans="1:18" s="668" customFormat="1" ht="13.5" customHeight="1" thickBot="1">
      <c r="A142" s="986"/>
      <c r="B142" s="974" t="s">
        <v>879</v>
      </c>
      <c r="C142" s="974"/>
      <c r="D142" s="985"/>
      <c r="E142" s="976">
        <f t="shared" ref="E142:G142" si="41">SUM(E138:E141)</f>
        <v>2220.66</v>
      </c>
      <c r="F142" s="976">
        <f t="shared" si="41"/>
        <v>3392.14</v>
      </c>
      <c r="G142" s="976">
        <f t="shared" si="41"/>
        <v>5612.7999999999993</v>
      </c>
      <c r="H142" s="986"/>
      <c r="I142" s="994"/>
      <c r="J142" s="994"/>
      <c r="K142" s="997"/>
      <c r="L142" s="995"/>
      <c r="M142" s="995"/>
      <c r="N142" s="995"/>
      <c r="O142" s="995"/>
      <c r="P142" s="995"/>
      <c r="Q142" s="995"/>
      <c r="R142" s="995"/>
    </row>
    <row r="143" spans="1:18" s="665" customFormat="1" ht="7.5" customHeight="1">
      <c r="A143" s="995"/>
      <c r="B143" s="1006"/>
      <c r="C143" s="1006"/>
      <c r="D143" s="936"/>
      <c r="E143" s="1011"/>
      <c r="F143" s="1011"/>
      <c r="G143" s="1011"/>
      <c r="H143" s="936"/>
      <c r="I143" s="997"/>
      <c r="J143" s="997"/>
      <c r="K143" s="997"/>
      <c r="L143" s="964"/>
      <c r="M143" s="964"/>
      <c r="N143" s="964"/>
      <c r="O143" s="964"/>
      <c r="P143" s="964"/>
      <c r="Q143" s="964"/>
      <c r="R143" s="964"/>
    </row>
    <row r="144" spans="1:18" s="665" customFormat="1" ht="13.5" customHeight="1" thickBot="1">
      <c r="A144" s="973"/>
      <c r="B144" s="974" t="s">
        <v>880</v>
      </c>
      <c r="C144" s="974"/>
      <c r="D144" s="993"/>
      <c r="E144" s="976">
        <f>SUM(E35,E103,E130,E135,E142)</f>
        <v>381276.41000000003</v>
      </c>
      <c r="F144" s="976">
        <f>SUM(F35,F103,F130,F135,F142)</f>
        <v>831324.93999999983</v>
      </c>
      <c r="G144" s="976">
        <f>SUM(G35,G103,G130,G135,G142)</f>
        <v>1212601.3500000001</v>
      </c>
      <c r="H144" s="993"/>
      <c r="I144" s="997"/>
      <c r="J144" s="997"/>
      <c r="K144" s="997"/>
      <c r="L144" s="964"/>
      <c r="M144" s="964"/>
      <c r="N144" s="964"/>
      <c r="O144" s="964"/>
      <c r="P144" s="964"/>
      <c r="Q144" s="964"/>
      <c r="R144" s="964"/>
    </row>
    <row r="145" spans="1:18" s="665" customFormat="1">
      <c r="A145" s="936"/>
      <c r="B145" s="936"/>
      <c r="C145" s="936"/>
      <c r="D145" s="982"/>
      <c r="E145" s="1007"/>
      <c r="F145" s="1007"/>
      <c r="G145" s="936"/>
      <c r="H145" s="936"/>
      <c r="I145" s="964"/>
      <c r="J145" s="964"/>
      <c r="K145" s="964"/>
      <c r="L145" s="964"/>
      <c r="M145" s="964"/>
      <c r="N145" s="964"/>
      <c r="O145" s="964"/>
      <c r="P145" s="964"/>
      <c r="Q145" s="964"/>
      <c r="R145" s="964"/>
    </row>
    <row r="146" spans="1:18">
      <c r="E146" s="1012"/>
    </row>
  </sheetData>
  <mergeCells count="2">
    <mergeCell ref="O5:O6"/>
    <mergeCell ref="Q5:R5"/>
  </mergeCells>
  <pageMargins left="0.25" right="0.25" top="0.75" bottom="0.75" header="0.3" footer="0.3"/>
  <pageSetup scale="58" fitToHeight="3"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Q87"/>
  <sheetViews>
    <sheetView showGridLines="0" view="pageBreakPreview" zoomScaleNormal="100" zoomScaleSheetLayoutView="100" workbookViewId="0">
      <pane xSplit="2" ySplit="7" topLeftCell="C8" activePane="bottomRight" state="frozen"/>
      <selection activeCell="Q16" sqref="Q16"/>
      <selection pane="topRight" activeCell="Q16" sqref="Q16"/>
      <selection pane="bottomLeft" activeCell="Q16" sqref="Q16"/>
      <selection pane="bottomRight" activeCell="M2" sqref="M2"/>
    </sheetView>
  </sheetViews>
  <sheetFormatPr defaultRowHeight="12.75"/>
  <cols>
    <col min="1" max="1" width="22" style="207" customWidth="1"/>
    <col min="2" max="2" width="23.28515625" style="207" customWidth="1"/>
    <col min="3" max="4" width="13" style="207" customWidth="1"/>
    <col min="5" max="5" width="1" style="207" customWidth="1"/>
    <col min="6" max="6" width="12" style="207" customWidth="1"/>
    <col min="7" max="7" width="12" style="667" customWidth="1"/>
    <col min="8" max="8" width="0.5703125" style="665" hidden="1" customWidth="1"/>
    <col min="9" max="9" width="11.85546875" style="665" customWidth="1"/>
    <col min="10" max="10" width="0.7109375" style="665" customWidth="1"/>
    <col min="11" max="11" width="10.85546875" style="665" customWidth="1"/>
    <col min="12" max="12" width="0.7109375" style="665" customWidth="1"/>
    <col min="13" max="14" width="9.7109375" style="665" customWidth="1"/>
    <col min="15" max="15" width="1.42578125" style="665" customWidth="1"/>
    <col min="16" max="16384" width="9.140625" style="665"/>
  </cols>
  <sheetData>
    <row r="1" spans="1:17" ht="12" customHeight="1">
      <c r="A1" s="401" t="s">
        <v>521</v>
      </c>
      <c r="B1" s="402"/>
      <c r="C1" s="402"/>
      <c r="D1" s="402"/>
      <c r="E1" s="402"/>
      <c r="F1" s="402"/>
      <c r="G1" s="671"/>
    </row>
    <row r="2" spans="1:17" ht="12" customHeight="1">
      <c r="A2" s="401" t="s">
        <v>650</v>
      </c>
      <c r="B2" s="402"/>
      <c r="C2" s="403" t="s">
        <v>881</v>
      </c>
      <c r="E2" s="402"/>
      <c r="F2" s="402"/>
      <c r="G2" s="671"/>
      <c r="M2" s="784">
        <f>K78</f>
        <v>544.72275590550998</v>
      </c>
      <c r="N2" s="805" t="s">
        <v>1300</v>
      </c>
    </row>
    <row r="3" spans="1:17" ht="12" customHeight="1">
      <c r="A3" s="404" t="s">
        <v>594</v>
      </c>
      <c r="B3" s="402"/>
      <c r="C3" s="402"/>
      <c r="D3" s="402"/>
      <c r="E3" s="402"/>
      <c r="F3" s="402"/>
      <c r="G3" s="671"/>
    </row>
    <row r="4" spans="1:17" ht="12" customHeight="1">
      <c r="B4" s="402"/>
      <c r="C4" s="402"/>
      <c r="D4" s="402"/>
      <c r="E4" s="402"/>
      <c r="F4" s="402"/>
      <c r="G4" s="671"/>
    </row>
    <row r="5" spans="1:17" ht="12" customHeight="1">
      <c r="A5" s="405"/>
      <c r="B5" s="405"/>
      <c r="C5" s="406">
        <v>2017</v>
      </c>
      <c r="D5" s="595">
        <v>2017</v>
      </c>
      <c r="E5" s="402"/>
      <c r="F5" s="596">
        <v>2017</v>
      </c>
      <c r="G5" s="677" t="s">
        <v>1296</v>
      </c>
      <c r="I5" s="678" t="s">
        <v>1145</v>
      </c>
      <c r="J5" s="684"/>
      <c r="K5" s="1314" t="s">
        <v>1146</v>
      </c>
      <c r="L5" s="682"/>
      <c r="M5" s="1315" t="s">
        <v>1147</v>
      </c>
      <c r="N5" s="1315"/>
    </row>
    <row r="6" spans="1:17" ht="12" customHeight="1">
      <c r="A6" s="409" t="s">
        <v>654</v>
      </c>
      <c r="B6" s="409" t="s">
        <v>655</v>
      </c>
      <c r="C6" s="406" t="s">
        <v>656</v>
      </c>
      <c r="D6" s="407" t="s">
        <v>84</v>
      </c>
      <c r="E6" s="402"/>
      <c r="F6" s="408" t="s">
        <v>657</v>
      </c>
      <c r="G6" s="676" t="s">
        <v>1297</v>
      </c>
      <c r="I6" s="791">
        <f>'LG G-51'!J7</f>
        <v>0.15</v>
      </c>
      <c r="J6" s="685"/>
      <c r="K6" s="1314"/>
      <c r="L6" s="679"/>
      <c r="M6" s="683" t="s">
        <v>656</v>
      </c>
      <c r="N6" s="683" t="s">
        <v>1148</v>
      </c>
    </row>
    <row r="7" spans="1:17" ht="12" customHeight="1">
      <c r="H7" s="795" t="s">
        <v>1295</v>
      </c>
      <c r="I7" s="666"/>
      <c r="J7" s="666"/>
      <c r="K7" s="681"/>
      <c r="L7" s="681"/>
      <c r="M7" s="681"/>
      <c r="N7" s="681"/>
    </row>
    <row r="8" spans="1:17" s="668" customFormat="1" ht="7.5" customHeight="1">
      <c r="A8" s="402"/>
      <c r="B8" s="402"/>
      <c r="C8" s="402"/>
      <c r="D8" s="402"/>
      <c r="E8" s="402"/>
      <c r="F8" s="402"/>
      <c r="G8" s="671"/>
      <c r="I8" s="669"/>
      <c r="J8" s="669"/>
      <c r="K8" s="680"/>
      <c r="L8" s="680"/>
      <c r="M8" s="680"/>
      <c r="N8" s="680"/>
    </row>
    <row r="9" spans="1:17" s="668" customFormat="1" ht="12" customHeight="1">
      <c r="A9" s="411" t="s">
        <v>658</v>
      </c>
      <c r="B9" s="411" t="s">
        <v>658</v>
      </c>
      <c r="C9" s="411"/>
      <c r="D9" s="410"/>
      <c r="E9" s="402"/>
      <c r="F9" s="402"/>
      <c r="G9" s="671"/>
      <c r="I9" s="669"/>
      <c r="J9" s="669"/>
      <c r="K9" s="680"/>
      <c r="L9" s="680"/>
      <c r="M9" s="680"/>
      <c r="N9" s="680"/>
    </row>
    <row r="10" spans="1:17" s="668" customFormat="1" ht="7.5" customHeight="1">
      <c r="A10" s="411"/>
      <c r="B10" s="411"/>
      <c r="C10" s="411"/>
      <c r="D10" s="410"/>
      <c r="E10" s="402"/>
      <c r="F10" s="402"/>
      <c r="G10" s="671"/>
      <c r="I10" s="669"/>
      <c r="J10" s="669"/>
      <c r="K10" s="680"/>
      <c r="L10" s="680"/>
      <c r="M10" s="680"/>
      <c r="N10" s="680"/>
    </row>
    <row r="11" spans="1:17" s="668" customFormat="1" ht="12" customHeight="1">
      <c r="A11" s="412" t="s">
        <v>659</v>
      </c>
      <c r="B11" s="412" t="s">
        <v>659</v>
      </c>
      <c r="C11" s="412"/>
      <c r="D11" s="413"/>
      <c r="E11" s="402"/>
      <c r="F11" s="413"/>
      <c r="G11" s="672"/>
      <c r="I11" s="669"/>
      <c r="J11" s="669"/>
      <c r="K11" s="680"/>
      <c r="L11" s="680"/>
      <c r="M11" s="680"/>
      <c r="N11" s="680"/>
    </row>
    <row r="12" spans="1:17" s="668" customFormat="1" ht="12" customHeight="1">
      <c r="A12" s="240" t="s">
        <v>660</v>
      </c>
      <c r="B12" s="414" t="s">
        <v>661</v>
      </c>
      <c r="C12" s="415">
        <f>'Rate Schedule G-51'!B54</f>
        <v>12.7</v>
      </c>
      <c r="D12" s="420">
        <f>IFERROR(VLOOKUP(A12,'[46]G-51 Rev 2017'!$D$6:$E$93,2,FALSE),0)</f>
        <v>152.4</v>
      </c>
      <c r="E12" s="402"/>
      <c r="F12" s="413">
        <f>IFERROR(D12/($C12),0)</f>
        <v>12.000000000000002</v>
      </c>
      <c r="G12" s="672">
        <f>IFERROR(D12/($C12),0)/12</f>
        <v>1.0000000000000002</v>
      </c>
      <c r="I12" s="670">
        <f>$I$6*C12</f>
        <v>1.9049999999999998</v>
      </c>
      <c r="J12" s="669"/>
      <c r="K12" s="680">
        <f>G12*SUM(I12:I12)*12</f>
        <v>22.860000000000003</v>
      </c>
      <c r="L12" s="680"/>
      <c r="M12" s="806">
        <f>ROUND((+C12+SUM(I12:I12)),2)</f>
        <v>14.61</v>
      </c>
      <c r="N12" s="680">
        <f>D12+K12</f>
        <v>175.26000000000002</v>
      </c>
    </row>
    <row r="13" spans="1:17" s="668" customFormat="1" ht="12" customHeight="1">
      <c r="A13" s="240" t="s">
        <v>662</v>
      </c>
      <c r="B13" s="414" t="s">
        <v>663</v>
      </c>
      <c r="C13" s="415">
        <f>'Rate Schedule G-51'!B57</f>
        <v>13.8</v>
      </c>
      <c r="D13" s="420">
        <f>IFERROR(VLOOKUP(A13,'[46]G-51 Rev 2017'!$D$6:$E$93,2,FALSE),0)-331.2</f>
        <v>18755.27</v>
      </c>
      <c r="E13" s="402"/>
      <c r="F13" s="672">
        <f t="shared" ref="F13:F23" si="0">IFERROR(D13/($C13),0)</f>
        <v>1359.0775362318841</v>
      </c>
      <c r="G13" s="672">
        <f t="shared" ref="G13:G23" si="1">IFERROR(D13/($C13),0)/12</f>
        <v>113.25646135265701</v>
      </c>
      <c r="I13" s="670">
        <f t="shared" ref="I13:I23" si="2">$I$6*C13</f>
        <v>2.0699999999999998</v>
      </c>
      <c r="J13" s="669"/>
      <c r="K13" s="680">
        <f t="shared" ref="K13:K23" si="3">G13*SUM(I13:I13)*12</f>
        <v>2813.2905000000001</v>
      </c>
      <c r="L13" s="680"/>
      <c r="M13" s="806">
        <f t="shared" ref="M13:M23" si="4">ROUND((+C13+SUM(I13:I13)),2)</f>
        <v>15.87</v>
      </c>
      <c r="N13" s="680">
        <f t="shared" ref="N13:N23" si="5">D13+K13</f>
        <v>21568.5605</v>
      </c>
      <c r="Q13" s="831"/>
    </row>
    <row r="14" spans="1:17" s="668" customFormat="1" ht="12" customHeight="1">
      <c r="A14" s="240" t="s">
        <v>664</v>
      </c>
      <c r="B14" s="414" t="s">
        <v>665</v>
      </c>
      <c r="C14" s="415">
        <f>'Rate Schedule G-51'!B58</f>
        <v>18.55</v>
      </c>
      <c r="D14" s="420">
        <f>IFERROR(VLOOKUP(A14,'[46]G-51 Rev 2017'!$D$6:$E$93,2,FALSE),0)</f>
        <v>7549.84</v>
      </c>
      <c r="E14" s="402"/>
      <c r="F14" s="672">
        <f t="shared" si="0"/>
        <v>406.99946091644205</v>
      </c>
      <c r="G14" s="672">
        <f t="shared" si="1"/>
        <v>33.916621743036835</v>
      </c>
      <c r="I14" s="670">
        <f t="shared" si="2"/>
        <v>2.7825000000000002</v>
      </c>
      <c r="J14" s="669"/>
      <c r="K14" s="680">
        <f t="shared" si="3"/>
        <v>1132.4760000000001</v>
      </c>
      <c r="L14" s="680"/>
      <c r="M14" s="806">
        <f t="shared" si="4"/>
        <v>21.33</v>
      </c>
      <c r="N14" s="680">
        <f t="shared" si="5"/>
        <v>8682.3160000000007</v>
      </c>
    </row>
    <row r="15" spans="1:17" s="668" customFormat="1" ht="12" customHeight="1">
      <c r="A15" s="240" t="s">
        <v>666</v>
      </c>
      <c r="B15" s="414" t="s">
        <v>667</v>
      </c>
      <c r="C15" s="415">
        <f>'Rate Schedule G-51'!B59</f>
        <v>23.3</v>
      </c>
      <c r="D15" s="420">
        <f>IFERROR(VLOOKUP(A15,'[46]G-51 Rev 2017'!$D$6:$E$93,2,FALSE),0)</f>
        <v>1497.03</v>
      </c>
      <c r="E15" s="402"/>
      <c r="F15" s="672">
        <f t="shared" si="0"/>
        <v>64.250214592274673</v>
      </c>
      <c r="G15" s="672">
        <f t="shared" si="1"/>
        <v>5.3541845493562228</v>
      </c>
      <c r="I15" s="670">
        <f>$I$6*C15</f>
        <v>3.4950000000000001</v>
      </c>
      <c r="J15" s="669"/>
      <c r="K15" s="680">
        <f t="shared" si="3"/>
        <v>224.55450000000002</v>
      </c>
      <c r="L15" s="680"/>
      <c r="M15" s="806">
        <f t="shared" si="4"/>
        <v>26.8</v>
      </c>
      <c r="N15" s="680">
        <f t="shared" si="5"/>
        <v>1721.5844999999999</v>
      </c>
    </row>
    <row r="16" spans="1:17" s="668" customFormat="1" ht="12" customHeight="1">
      <c r="A16" s="240" t="s">
        <v>668</v>
      </c>
      <c r="B16" s="414" t="s">
        <v>669</v>
      </c>
      <c r="C16" s="415">
        <f>'Rate Schedule G-51'!B60</f>
        <v>28.1</v>
      </c>
      <c r="D16" s="420">
        <f>IFERROR(VLOOKUP(A16,'[46]G-51 Rev 2017'!$D$6:$E$93,2,FALSE),0)</f>
        <v>674.4</v>
      </c>
      <c r="E16" s="402"/>
      <c r="F16" s="672">
        <f t="shared" si="0"/>
        <v>23.999999999999996</v>
      </c>
      <c r="G16" s="672">
        <f t="shared" si="1"/>
        <v>1.9999999999999998</v>
      </c>
      <c r="I16" s="670">
        <f t="shared" si="2"/>
        <v>4.2149999999999999</v>
      </c>
      <c r="J16" s="669"/>
      <c r="K16" s="680">
        <f t="shared" si="3"/>
        <v>101.15999999999997</v>
      </c>
      <c r="L16" s="680"/>
      <c r="M16" s="806">
        <f t="shared" si="4"/>
        <v>32.32</v>
      </c>
      <c r="N16" s="680">
        <f t="shared" si="5"/>
        <v>775.56</v>
      </c>
    </row>
    <row r="17" spans="1:14" s="668" customFormat="1" ht="12" customHeight="1">
      <c r="A17" s="240" t="s">
        <v>672</v>
      </c>
      <c r="B17" s="414" t="s">
        <v>673</v>
      </c>
      <c r="C17" s="415">
        <f>'Rate Schedule G-51'!B56</f>
        <v>9.1999999999999993</v>
      </c>
      <c r="D17" s="420">
        <f>IFERROR(VLOOKUP(A17,'[46]G-51 Rev 2017'!$D$6:$E$93,2,FALSE),0)</f>
        <v>1182.2</v>
      </c>
      <c r="E17" s="402"/>
      <c r="F17" s="672">
        <f t="shared" si="0"/>
        <v>128.50000000000003</v>
      </c>
      <c r="G17" s="672">
        <f t="shared" si="1"/>
        <v>10.708333333333336</v>
      </c>
      <c r="I17" s="670">
        <f t="shared" si="2"/>
        <v>1.38</v>
      </c>
      <c r="K17" s="680">
        <f t="shared" si="3"/>
        <v>177.33</v>
      </c>
      <c r="M17" s="806">
        <f t="shared" si="4"/>
        <v>10.58</v>
      </c>
      <c r="N17" s="680">
        <f t="shared" si="5"/>
        <v>1359.53</v>
      </c>
    </row>
    <row r="18" spans="1:14" s="668" customFormat="1" ht="12" customHeight="1">
      <c r="A18" s="240" t="s">
        <v>674</v>
      </c>
      <c r="B18" s="414" t="s">
        <v>675</v>
      </c>
      <c r="C18" s="415">
        <f>'Rate Schedule G-51'!B55</f>
        <v>4.5999999999999996</v>
      </c>
      <c r="D18" s="420">
        <f>IFERROR(VLOOKUP(A18,'[46]G-51 Rev 2017'!$D$6:$E$93,2,FALSE),0)</f>
        <v>128.80000000000001</v>
      </c>
      <c r="E18" s="402"/>
      <c r="F18" s="672">
        <f t="shared" si="0"/>
        <v>28.000000000000004</v>
      </c>
      <c r="G18" s="672">
        <f t="shared" si="1"/>
        <v>2.3333333333333335</v>
      </c>
      <c r="I18" s="670">
        <f>$I$6*C18</f>
        <v>0.69</v>
      </c>
      <c r="K18" s="680">
        <f t="shared" si="3"/>
        <v>19.32</v>
      </c>
      <c r="M18" s="806">
        <f t="shared" si="4"/>
        <v>5.29</v>
      </c>
      <c r="N18" s="680">
        <f t="shared" si="5"/>
        <v>148.12</v>
      </c>
    </row>
    <row r="19" spans="1:14" s="668" customFormat="1" ht="12" customHeight="1">
      <c r="A19" s="240" t="s">
        <v>676</v>
      </c>
      <c r="B19" s="414" t="s">
        <v>677</v>
      </c>
      <c r="C19" s="415">
        <f>'Rate Schedule G-51'!B173*References!B11</f>
        <v>30.310000000000002</v>
      </c>
      <c r="D19" s="420">
        <f>IFERROR(VLOOKUP(A19,'[46]G-51 Rev 2017'!$D$6:$E$93,2,FALSE),0)</f>
        <v>1598.85</v>
      </c>
      <c r="E19" s="402"/>
      <c r="F19" s="672">
        <f t="shared" si="0"/>
        <v>52.749917518970626</v>
      </c>
      <c r="G19" s="672">
        <f t="shared" si="1"/>
        <v>4.3958264599142192</v>
      </c>
      <c r="I19" s="670">
        <f t="shared" si="2"/>
        <v>4.5465</v>
      </c>
      <c r="K19" s="680">
        <f t="shared" si="3"/>
        <v>239.82749999999999</v>
      </c>
      <c r="M19" s="806">
        <f t="shared" si="4"/>
        <v>34.86</v>
      </c>
      <c r="N19" s="680">
        <f t="shared" si="5"/>
        <v>1838.6774999999998</v>
      </c>
    </row>
    <row r="20" spans="1:14" s="668" customFormat="1" ht="12" customHeight="1">
      <c r="A20" s="240" t="s">
        <v>680</v>
      </c>
      <c r="B20" s="414" t="s">
        <v>681</v>
      </c>
      <c r="C20" s="415">
        <f>'Rate Schedule G-51'!B76</f>
        <v>4.5999999999999996</v>
      </c>
      <c r="D20" s="420">
        <f>IFERROR(VLOOKUP(A20,'[46]G-51 Rev 2017'!$D$6:$E$93,2,FALSE),0)</f>
        <v>410.98</v>
      </c>
      <c r="E20" s="402"/>
      <c r="F20" s="672">
        <f t="shared" si="0"/>
        <v>89.343478260869574</v>
      </c>
      <c r="G20" s="672">
        <f t="shared" si="1"/>
        <v>7.4452898550724642</v>
      </c>
      <c r="I20" s="670">
        <f t="shared" si="2"/>
        <v>0.69</v>
      </c>
      <c r="K20" s="680">
        <f t="shared" si="3"/>
        <v>61.646999999999998</v>
      </c>
      <c r="M20" s="806">
        <f t="shared" si="4"/>
        <v>5.29</v>
      </c>
      <c r="N20" s="680">
        <f t="shared" si="5"/>
        <v>472.62700000000001</v>
      </c>
    </row>
    <row r="21" spans="1:14" s="668" customFormat="1" ht="12" customHeight="1">
      <c r="A21" s="240" t="s">
        <v>682</v>
      </c>
      <c r="B21" s="414" t="s">
        <v>683</v>
      </c>
      <c r="C21" s="415">
        <f>'Rate Schedule G-51'!B72</f>
        <v>3.2</v>
      </c>
      <c r="D21" s="420">
        <f>IFERROR(VLOOKUP(A21,'[46]G-51 Rev 2017'!$D$6:$E$93,2,FALSE),0)</f>
        <v>753.79000000000008</v>
      </c>
      <c r="E21" s="402"/>
      <c r="F21" s="672">
        <f t="shared" si="0"/>
        <v>235.55937500000002</v>
      </c>
      <c r="G21" s="672">
        <f t="shared" si="1"/>
        <v>19.629947916666669</v>
      </c>
      <c r="I21" s="670">
        <f t="shared" si="2"/>
        <v>0.48</v>
      </c>
      <c r="K21" s="680">
        <f t="shared" si="3"/>
        <v>113.0685</v>
      </c>
      <c r="M21" s="806">
        <f t="shared" si="4"/>
        <v>3.68</v>
      </c>
      <c r="N21" s="680">
        <f t="shared" si="5"/>
        <v>866.85850000000005</v>
      </c>
    </row>
    <row r="22" spans="1:14" s="668" customFormat="1" ht="12" customHeight="1">
      <c r="A22" s="240" t="s">
        <v>692</v>
      </c>
      <c r="B22" s="414" t="s">
        <v>693</v>
      </c>
      <c r="C22" s="415">
        <f>'Rate Schedule G-51'!B31</f>
        <v>2.2999999999999998</v>
      </c>
      <c r="D22" s="420">
        <f>IFERROR(VLOOKUP(A22,'[46]G-51 Rev 2017'!$D$6:$E$93,2,FALSE),0)</f>
        <v>216.2</v>
      </c>
      <c r="E22" s="402"/>
      <c r="F22" s="672">
        <f t="shared" si="0"/>
        <v>94</v>
      </c>
      <c r="G22" s="672">
        <f t="shared" si="1"/>
        <v>7.833333333333333</v>
      </c>
      <c r="I22" s="670">
        <f t="shared" si="2"/>
        <v>0.34499999999999997</v>
      </c>
      <c r="K22" s="680">
        <f t="shared" si="3"/>
        <v>32.429999999999993</v>
      </c>
      <c r="M22" s="806">
        <f t="shared" si="4"/>
        <v>2.65</v>
      </c>
      <c r="N22" s="680">
        <f t="shared" si="5"/>
        <v>248.63</v>
      </c>
    </row>
    <row r="23" spans="1:14" s="668" customFormat="1" ht="12" customHeight="1">
      <c r="A23" s="240" t="s">
        <v>702</v>
      </c>
      <c r="B23" s="414" t="s">
        <v>703</v>
      </c>
      <c r="C23" s="415">
        <f>IFERROR(VLOOKUP(A23,'[46]G-51 Rate 2017'!$F$3:$H$368,3,FALSE),0)</f>
        <v>0</v>
      </c>
      <c r="D23" s="420">
        <f>IFERROR(VLOOKUP(A23,'[46]G-51 Rev 2017'!$D$6:$E$93,2,FALSE),0)</f>
        <v>24.91</v>
      </c>
      <c r="E23" s="402"/>
      <c r="F23" s="672">
        <f t="shared" si="0"/>
        <v>0</v>
      </c>
      <c r="G23" s="672">
        <f t="shared" si="1"/>
        <v>0</v>
      </c>
      <c r="I23" s="670">
        <f t="shared" si="2"/>
        <v>0</v>
      </c>
      <c r="K23" s="680">
        <f t="shared" si="3"/>
        <v>0</v>
      </c>
      <c r="M23" s="806">
        <f t="shared" si="4"/>
        <v>0</v>
      </c>
      <c r="N23" s="680">
        <f t="shared" si="5"/>
        <v>24.91</v>
      </c>
    </row>
    <row r="24" spans="1:14" s="668" customFormat="1" ht="7.5" customHeight="1" thickBot="1">
      <c r="A24" s="246"/>
      <c r="B24" s="246"/>
      <c r="C24" s="246"/>
      <c r="D24" s="413"/>
      <c r="E24" s="402"/>
      <c r="F24" s="402"/>
      <c r="G24" s="671"/>
    </row>
    <row r="25" spans="1:14" s="673" customFormat="1" ht="12" customHeight="1" thickBot="1">
      <c r="A25" s="416"/>
      <c r="B25" s="417" t="s">
        <v>704</v>
      </c>
      <c r="C25" s="417"/>
      <c r="D25" s="781">
        <f>SUM(D12:D23)</f>
        <v>32944.670000000006</v>
      </c>
      <c r="F25" s="675"/>
      <c r="G25" s="674">
        <f>+SUM(G12:G19)</f>
        <v>172.96476077163098</v>
      </c>
      <c r="K25" s="780">
        <f>SUM(K12:K23)</f>
        <v>4937.9640000000009</v>
      </c>
      <c r="N25" s="780">
        <f>SUM(N12:N23)</f>
        <v>37882.634000000005</v>
      </c>
    </row>
    <row r="26" spans="1:14" s="668" customFormat="1" ht="7.5" customHeight="1">
      <c r="A26" s="411"/>
      <c r="B26" s="418"/>
      <c r="C26" s="419"/>
      <c r="D26" s="428"/>
      <c r="E26" s="402"/>
      <c r="F26" s="413"/>
      <c r="G26" s="672"/>
    </row>
    <row r="27" spans="1:14" ht="12" customHeight="1">
      <c r="A27" s="411" t="s">
        <v>705</v>
      </c>
      <c r="B27" s="411" t="s">
        <v>705</v>
      </c>
      <c r="C27" s="411"/>
    </row>
    <row r="28" spans="1:14" ht="7.5" customHeight="1">
      <c r="A28" s="411"/>
      <c r="B28" s="411"/>
      <c r="C28" s="411"/>
    </row>
    <row r="29" spans="1:14" s="668" customFormat="1" ht="12" customHeight="1">
      <c r="A29" s="412" t="s">
        <v>706</v>
      </c>
      <c r="B29" s="412" t="s">
        <v>706</v>
      </c>
      <c r="C29" s="412"/>
      <c r="D29" s="420"/>
      <c r="E29" s="402"/>
      <c r="F29" s="413"/>
      <c r="G29" s="672"/>
    </row>
    <row r="30" spans="1:14" s="668" customFormat="1" ht="12" customHeight="1">
      <c r="A30" s="203" t="s">
        <v>707</v>
      </c>
      <c r="B30" s="203" t="s">
        <v>708</v>
      </c>
      <c r="C30" s="415">
        <f>'Rate Schedule G-51'!B126*References!B11</f>
        <v>47.413499999999999</v>
      </c>
      <c r="D30" s="413">
        <f>IFERROR(VLOOKUP(A30,'[46]G-51 Rev 2017'!$D$6:$E$93,2,FALSE),0)</f>
        <v>2275.6799999999998</v>
      </c>
      <c r="E30" s="402"/>
      <c r="F30" s="672">
        <f t="shared" ref="F30:F53" si="6">IFERROR(D30/($C30),0)</f>
        <v>47.996456705368722</v>
      </c>
      <c r="G30" s="672">
        <f t="shared" ref="G30:G53" si="7">IFERROR(D30/($C30),0)/12</f>
        <v>3.9997047254473936</v>
      </c>
      <c r="I30" s="670">
        <f>$I$6*C30</f>
        <v>7.112025</v>
      </c>
      <c r="J30" s="669"/>
      <c r="K30" s="680">
        <f>G30*SUM(I30:I30)*12</f>
        <v>341.35200000000003</v>
      </c>
      <c r="L30" s="680"/>
      <c r="M30" s="806">
        <f t="shared" ref="M30:M53" si="8">ROUND((+C30+SUM(I30:I30)),2)</f>
        <v>54.53</v>
      </c>
      <c r="N30" s="680">
        <f>D30+K30</f>
        <v>2617.0319999999997</v>
      </c>
    </row>
    <row r="31" spans="1:14" s="668" customFormat="1" ht="12" customHeight="1">
      <c r="A31" s="203" t="s">
        <v>713</v>
      </c>
      <c r="B31" s="203" t="s">
        <v>714</v>
      </c>
      <c r="C31" s="415">
        <f>'Rate Schedule G-51'!B126*References!B12</f>
        <v>23.761499999999998</v>
      </c>
      <c r="D31" s="413">
        <f>IFERROR(VLOOKUP(A31,'[46]G-51 Rev 2017'!$D$6:$E$93,2,FALSE),0)</f>
        <v>498.96000000000004</v>
      </c>
      <c r="E31" s="402"/>
      <c r="F31" s="672">
        <f t="shared" si="6"/>
        <v>20.998674326115779</v>
      </c>
      <c r="G31" s="672">
        <f t="shared" si="7"/>
        <v>1.7498895271763149</v>
      </c>
      <c r="I31" s="670">
        <f t="shared" ref="I31:I53" si="9">$I$6*C31</f>
        <v>3.5642249999999995</v>
      </c>
      <c r="J31" s="669"/>
      <c r="K31" s="680">
        <f t="shared" ref="K31:K53" si="10">G31*SUM(I31:I31)*12</f>
        <v>74.843999999999994</v>
      </c>
      <c r="L31" s="680"/>
      <c r="M31" s="806">
        <f t="shared" si="8"/>
        <v>27.33</v>
      </c>
      <c r="N31" s="680">
        <f t="shared" ref="N31:N53" si="11">D31+K31</f>
        <v>573.80400000000009</v>
      </c>
    </row>
    <row r="32" spans="1:14" s="668" customFormat="1" ht="12" customHeight="1">
      <c r="A32" s="203" t="s">
        <v>715</v>
      </c>
      <c r="B32" s="203" t="s">
        <v>716</v>
      </c>
      <c r="C32" s="415">
        <f>'Rate Schedule G-51'!B127*References!B11</f>
        <v>70.579000000000008</v>
      </c>
      <c r="D32" s="413">
        <f>IFERROR(VLOOKUP(A32,'[46]G-51 Rev 2017'!$D$6:$E$93,2,FALSE),0)</f>
        <v>8081.42</v>
      </c>
      <c r="E32" s="402"/>
      <c r="F32" s="672">
        <f t="shared" si="6"/>
        <v>114.50176398078747</v>
      </c>
      <c r="G32" s="672">
        <f t="shared" si="7"/>
        <v>9.5418136650656233</v>
      </c>
      <c r="I32" s="670">
        <f t="shared" si="9"/>
        <v>10.58685</v>
      </c>
      <c r="J32" s="669"/>
      <c r="K32" s="680">
        <f t="shared" si="10"/>
        <v>1212.213</v>
      </c>
      <c r="L32" s="680"/>
      <c r="M32" s="806">
        <f t="shared" si="8"/>
        <v>81.17</v>
      </c>
      <c r="N32" s="680">
        <f t="shared" si="11"/>
        <v>9293.6329999999998</v>
      </c>
    </row>
    <row r="33" spans="1:14" s="668" customFormat="1" ht="12" customHeight="1">
      <c r="A33" s="203" t="s">
        <v>717</v>
      </c>
      <c r="B33" s="203" t="s">
        <v>718</v>
      </c>
      <c r="C33" s="415">
        <f>'Rate Schedule G-51'!B127*References!C11</f>
        <v>141.15800000000002</v>
      </c>
      <c r="D33" s="413">
        <f>IFERROR(VLOOKUP(A33,'[46]G-51 Rev 2017'!$D$6:$E$93,2,FALSE),0)</f>
        <v>1693.92</v>
      </c>
      <c r="E33" s="402"/>
      <c r="F33" s="672">
        <f t="shared" si="6"/>
        <v>12.000170022244577</v>
      </c>
      <c r="G33" s="672">
        <f t="shared" si="7"/>
        <v>1.0000141685203814</v>
      </c>
      <c r="I33" s="670">
        <f t="shared" si="9"/>
        <v>21.1737</v>
      </c>
      <c r="J33" s="669"/>
      <c r="K33" s="680">
        <f t="shared" si="10"/>
        <v>254.08799999999999</v>
      </c>
      <c r="L33" s="680"/>
      <c r="M33" s="806">
        <f t="shared" si="8"/>
        <v>162.33000000000001</v>
      </c>
      <c r="N33" s="680">
        <f t="shared" si="11"/>
        <v>1948.008</v>
      </c>
    </row>
    <row r="34" spans="1:14" s="668" customFormat="1" ht="12" customHeight="1">
      <c r="A34" s="203" t="s">
        <v>723</v>
      </c>
      <c r="B34" s="203" t="s">
        <v>724</v>
      </c>
      <c r="C34" s="415">
        <f>'Rate Schedule G-51'!B127*References!B12</f>
        <v>35.371000000000002</v>
      </c>
      <c r="D34" s="413">
        <f>IFERROR(VLOOKUP(A34,'[46]G-51 Rev 2017'!$D$6:$E$93,2,FALSE),0)</f>
        <v>831.19999999999993</v>
      </c>
      <c r="E34" s="402"/>
      <c r="F34" s="672">
        <f t="shared" si="6"/>
        <v>23.499476972661217</v>
      </c>
      <c r="G34" s="672">
        <f t="shared" si="7"/>
        <v>1.958289747721768</v>
      </c>
      <c r="I34" s="670">
        <f t="shared" si="9"/>
        <v>5.30565</v>
      </c>
      <c r="J34" s="669"/>
      <c r="K34" s="680">
        <f t="shared" si="10"/>
        <v>124.67999999999998</v>
      </c>
      <c r="L34" s="680"/>
      <c r="M34" s="806">
        <f t="shared" si="8"/>
        <v>40.68</v>
      </c>
      <c r="N34" s="680">
        <f t="shared" si="11"/>
        <v>955.87999999999988</v>
      </c>
    </row>
    <row r="35" spans="1:14" s="668" customFormat="1" ht="12" customHeight="1">
      <c r="A35" s="203" t="s">
        <v>725</v>
      </c>
      <c r="B35" s="203" t="s">
        <v>726</v>
      </c>
      <c r="C35" s="415">
        <f>'Rate Schedule G-51'!B128*References!B11</f>
        <v>92.44550000000001</v>
      </c>
      <c r="D35" s="413">
        <f>IFERROR(VLOOKUP(A35,'[46]G-51 Rev 2017'!$D$6:$E$93,2,FALSE),0)</f>
        <v>6656.4</v>
      </c>
      <c r="E35" s="402"/>
      <c r="F35" s="672">
        <f t="shared" si="6"/>
        <v>72.003504767673917</v>
      </c>
      <c r="G35" s="672">
        <f t="shared" si="7"/>
        <v>6.0002920639728261</v>
      </c>
      <c r="I35" s="670">
        <f t="shared" si="9"/>
        <v>13.866825</v>
      </c>
      <c r="J35" s="669"/>
      <c r="K35" s="680">
        <f>G35*SUM(I35:I35)*12</f>
        <v>998.45999999999981</v>
      </c>
      <c r="L35" s="680"/>
      <c r="M35" s="806">
        <f t="shared" si="8"/>
        <v>106.31</v>
      </c>
      <c r="N35" s="680">
        <f t="shared" si="11"/>
        <v>7654.86</v>
      </c>
    </row>
    <row r="36" spans="1:14" s="668" customFormat="1" ht="12" customHeight="1">
      <c r="A36" s="203" t="s">
        <v>727</v>
      </c>
      <c r="B36" s="203" t="s">
        <v>728</v>
      </c>
      <c r="C36" s="415">
        <f>'Rate Schedule G-51'!B128*References!C11</f>
        <v>184.89100000000002</v>
      </c>
      <c r="D36" s="413">
        <f>IFERROR(VLOOKUP(A36,'[46]G-51 Rev 2017'!$D$6:$E$93,2,FALSE),0)</f>
        <v>2218.6799999999998</v>
      </c>
      <c r="E36" s="402"/>
      <c r="F36" s="672">
        <f t="shared" si="6"/>
        <v>11.999935096894925</v>
      </c>
      <c r="G36" s="672">
        <f t="shared" si="7"/>
        <v>0.99999459140791036</v>
      </c>
      <c r="I36" s="670">
        <f t="shared" si="9"/>
        <v>27.733650000000001</v>
      </c>
      <c r="J36" s="669"/>
      <c r="K36" s="680">
        <f t="shared" si="10"/>
        <v>332.80199999999991</v>
      </c>
      <c r="L36" s="680"/>
      <c r="M36" s="806">
        <f t="shared" si="8"/>
        <v>212.62</v>
      </c>
      <c r="N36" s="680">
        <f t="shared" si="11"/>
        <v>2551.482</v>
      </c>
    </row>
    <row r="37" spans="1:14" s="668" customFormat="1" ht="12" customHeight="1">
      <c r="A37" s="203" t="s">
        <v>735</v>
      </c>
      <c r="B37" s="203" t="s">
        <v>736</v>
      </c>
      <c r="C37" s="415">
        <f>'Rate Schedule G-51'!B128*References!B10</f>
        <v>184.89100000000002</v>
      </c>
      <c r="D37" s="413">
        <f>IFERROR(VLOOKUP(A37,'[46]G-51 Rev 2017'!$D$6:$E$93,2,FALSE),0)</f>
        <v>4437.3599999999997</v>
      </c>
      <c r="E37" s="402"/>
      <c r="F37" s="672">
        <f t="shared" si="6"/>
        <v>23.99987019378985</v>
      </c>
      <c r="G37" s="672">
        <f t="shared" si="7"/>
        <v>1.9999891828158207</v>
      </c>
      <c r="I37" s="670">
        <f t="shared" si="9"/>
        <v>27.733650000000001</v>
      </c>
      <c r="J37" s="669"/>
      <c r="K37" s="680">
        <f t="shared" si="10"/>
        <v>665.60399999999981</v>
      </c>
      <c r="L37" s="680"/>
      <c r="M37" s="806">
        <f t="shared" si="8"/>
        <v>212.62</v>
      </c>
      <c r="N37" s="680">
        <f t="shared" si="11"/>
        <v>5102.9639999999999</v>
      </c>
    </row>
    <row r="38" spans="1:14" s="668" customFormat="1" ht="12" customHeight="1">
      <c r="A38" s="203" t="s">
        <v>741</v>
      </c>
      <c r="B38" s="203" t="s">
        <v>742</v>
      </c>
      <c r="C38" s="415">
        <f>'Rate Schedule G-51'!B128*References!B9</f>
        <v>277.3365</v>
      </c>
      <c r="D38" s="413">
        <f>IFERROR(VLOOKUP(A38,'[46]G-51 Rev 2017'!$D$6:$E$93,2,FALSE),0)</f>
        <v>3328.08</v>
      </c>
      <c r="E38" s="402"/>
      <c r="F38" s="672">
        <f t="shared" si="6"/>
        <v>12.000151440578502</v>
      </c>
      <c r="G38" s="672">
        <f t="shared" si="7"/>
        <v>1.0000126200482085</v>
      </c>
      <c r="I38" s="670">
        <f t="shared" si="9"/>
        <v>41.600474999999996</v>
      </c>
      <c r="J38" s="669"/>
      <c r="K38" s="680">
        <f t="shared" si="10"/>
        <v>499.21199999999988</v>
      </c>
      <c r="L38" s="680"/>
      <c r="M38" s="806">
        <f t="shared" si="8"/>
        <v>318.94</v>
      </c>
      <c r="N38" s="680">
        <f t="shared" si="11"/>
        <v>3827.2919999999999</v>
      </c>
    </row>
    <row r="39" spans="1:14" s="668" customFormat="1" ht="12" customHeight="1">
      <c r="A39" s="203" t="s">
        <v>747</v>
      </c>
      <c r="B39" s="203" t="s">
        <v>748</v>
      </c>
      <c r="C39" s="415">
        <f>'Rate Schedule G-51'!B128*References!B12</f>
        <v>46.329500000000003</v>
      </c>
      <c r="D39" s="413">
        <f>IFERROR(VLOOKUP(A39,'[46]G-51 Rev 2017'!$D$6:$E$93,2,FALSE),0)</f>
        <v>1461.48</v>
      </c>
      <c r="E39" s="402"/>
      <c r="F39" s="672">
        <f t="shared" si="6"/>
        <v>31.545343679513053</v>
      </c>
      <c r="G39" s="672">
        <f t="shared" si="7"/>
        <v>2.6287786399594211</v>
      </c>
      <c r="I39" s="670">
        <f t="shared" si="9"/>
        <v>6.9494250000000006</v>
      </c>
      <c r="J39" s="669"/>
      <c r="K39" s="680">
        <f t="shared" si="10"/>
        <v>219.22200000000004</v>
      </c>
      <c r="L39" s="680"/>
      <c r="M39" s="806">
        <f t="shared" si="8"/>
        <v>53.28</v>
      </c>
      <c r="N39" s="680">
        <f t="shared" si="11"/>
        <v>1680.702</v>
      </c>
    </row>
    <row r="40" spans="1:14" s="668" customFormat="1" ht="12" customHeight="1">
      <c r="A40" s="203" t="s">
        <v>757</v>
      </c>
      <c r="B40" s="203" t="s">
        <v>758</v>
      </c>
      <c r="C40" s="415">
        <f>'Rate Schedule G-51'!$B$165</f>
        <v>13.9</v>
      </c>
      <c r="D40" s="413">
        <f>IFERROR(VLOOKUP(A40,'[46]G-51 Rev 2017'!$D$6:$E$93,2,FALSE),0)</f>
        <v>667.2</v>
      </c>
      <c r="E40" s="402"/>
      <c r="F40" s="672">
        <f t="shared" si="6"/>
        <v>48</v>
      </c>
      <c r="G40" s="672">
        <f t="shared" si="7"/>
        <v>4</v>
      </c>
      <c r="I40" s="670">
        <f t="shared" si="9"/>
        <v>2.085</v>
      </c>
      <c r="J40" s="669"/>
      <c r="K40" s="680">
        <f t="shared" si="10"/>
        <v>100.08</v>
      </c>
      <c r="L40" s="680"/>
      <c r="M40" s="806">
        <f t="shared" si="8"/>
        <v>15.99</v>
      </c>
      <c r="N40" s="680">
        <f t="shared" si="11"/>
        <v>767.28000000000009</v>
      </c>
    </row>
    <row r="41" spans="1:14" s="668" customFormat="1" ht="12" customHeight="1">
      <c r="A41" s="203" t="s">
        <v>759</v>
      </c>
      <c r="B41" s="203" t="s">
        <v>665</v>
      </c>
      <c r="C41" s="415">
        <f>2.75*4.33*2</f>
        <v>23.815000000000001</v>
      </c>
      <c r="D41" s="413">
        <f>IFERROR(VLOOKUP(A41,'[46]G-51 Rev 2017'!$D$6:$E$93,2,FALSE),0)</f>
        <v>443.36</v>
      </c>
      <c r="E41" s="402"/>
      <c r="F41" s="672">
        <f t="shared" si="6"/>
        <v>18.616838127230736</v>
      </c>
      <c r="G41" s="672">
        <f t="shared" si="7"/>
        <v>1.5514031772692281</v>
      </c>
      <c r="I41" s="670">
        <f t="shared" si="9"/>
        <v>3.5722499999999999</v>
      </c>
      <c r="J41" s="669"/>
      <c r="K41" s="680">
        <f t="shared" si="10"/>
        <v>66.503999999999991</v>
      </c>
      <c r="L41" s="680"/>
      <c r="M41" s="806">
        <f t="shared" si="8"/>
        <v>27.39</v>
      </c>
      <c r="N41" s="680">
        <f t="shared" si="11"/>
        <v>509.86400000000003</v>
      </c>
    </row>
    <row r="42" spans="1:14" s="668" customFormat="1" ht="12" customHeight="1">
      <c r="A42" s="203" t="s">
        <v>760</v>
      </c>
      <c r="B42" s="203" t="s">
        <v>667</v>
      </c>
      <c r="C42" s="415">
        <f>2.75*4.33*3</f>
        <v>35.722500000000004</v>
      </c>
      <c r="D42" s="413">
        <f>IFERROR(VLOOKUP(A42,'[46]G-51 Rev 2017'!$D$6:$E$93,2,FALSE),0)</f>
        <v>581.98</v>
      </c>
      <c r="E42" s="402"/>
      <c r="F42" s="672">
        <f t="shared" si="6"/>
        <v>16.291692910630555</v>
      </c>
      <c r="G42" s="672">
        <f t="shared" si="7"/>
        <v>1.3576410758858797</v>
      </c>
      <c r="I42" s="670">
        <f t="shared" si="9"/>
        <v>5.3583750000000006</v>
      </c>
      <c r="J42" s="669"/>
      <c r="K42" s="680">
        <f t="shared" si="10"/>
        <v>87.297000000000011</v>
      </c>
      <c r="L42" s="680"/>
      <c r="M42" s="806">
        <f t="shared" si="8"/>
        <v>41.08</v>
      </c>
      <c r="N42" s="680">
        <f t="shared" si="11"/>
        <v>669.27700000000004</v>
      </c>
    </row>
    <row r="43" spans="1:14" s="668" customFormat="1" ht="12" customHeight="1">
      <c r="A43" s="203" t="s">
        <v>761</v>
      </c>
      <c r="B43" s="203" t="s">
        <v>762</v>
      </c>
      <c r="C43" s="415">
        <f>2.75*4.33*4</f>
        <v>47.63</v>
      </c>
      <c r="D43" s="413">
        <f>IFERROR(VLOOKUP(A43,'[46]G-51 Rev 2017'!$D$6:$E$93,2,FALSE),0)</f>
        <v>609.63</v>
      </c>
      <c r="E43" s="402"/>
      <c r="F43" s="672">
        <f t="shared" si="6"/>
        <v>12.799286164182238</v>
      </c>
      <c r="G43" s="672">
        <f t="shared" si="7"/>
        <v>1.0666071803485198</v>
      </c>
      <c r="I43" s="670">
        <f t="shared" si="9"/>
        <v>7.1444999999999999</v>
      </c>
      <c r="J43" s="669"/>
      <c r="K43" s="680">
        <f t="shared" si="10"/>
        <v>91.444499999999991</v>
      </c>
      <c r="L43" s="680"/>
      <c r="M43" s="806">
        <f t="shared" si="8"/>
        <v>54.77</v>
      </c>
      <c r="N43" s="680">
        <f t="shared" si="11"/>
        <v>701.07449999999994</v>
      </c>
    </row>
    <row r="44" spans="1:14" s="668" customFormat="1" ht="12" customHeight="1">
      <c r="A44" s="203" t="s">
        <v>763</v>
      </c>
      <c r="B44" s="203" t="s">
        <v>673</v>
      </c>
      <c r="C44" s="415">
        <f>'Rate Schedule G-51'!B165</f>
        <v>13.9</v>
      </c>
      <c r="D44" s="413">
        <f>IFERROR(VLOOKUP(A44,'[46]G-51 Rev 2017'!$D$6:$E$93,2,FALSE),0)</f>
        <v>166.8</v>
      </c>
      <c r="E44" s="402"/>
      <c r="F44" s="672">
        <f t="shared" si="6"/>
        <v>12</v>
      </c>
      <c r="G44" s="672">
        <f t="shared" si="7"/>
        <v>1</v>
      </c>
      <c r="I44" s="670">
        <f t="shared" si="9"/>
        <v>2.085</v>
      </c>
      <c r="J44" s="669"/>
      <c r="K44" s="680">
        <f t="shared" si="10"/>
        <v>25.02</v>
      </c>
      <c r="L44" s="680"/>
      <c r="M44" s="806">
        <f t="shared" si="8"/>
        <v>15.99</v>
      </c>
      <c r="N44" s="680">
        <f t="shared" si="11"/>
        <v>191.82000000000002</v>
      </c>
    </row>
    <row r="45" spans="1:14" s="668" customFormat="1" ht="12" customHeight="1">
      <c r="A45" s="203" t="s">
        <v>766</v>
      </c>
      <c r="B45" s="203" t="s">
        <v>767</v>
      </c>
      <c r="C45" s="415">
        <f>'Rate Schedule G-51'!B164</f>
        <v>2.75</v>
      </c>
      <c r="D45" s="413">
        <f>IFERROR(VLOOKUP(A45,'[46]G-51 Rev 2017'!$D$6:$E$93,2,FALSE),0)</f>
        <v>238.27999999999997</v>
      </c>
      <c r="E45" s="402"/>
      <c r="F45" s="672">
        <f t="shared" si="6"/>
        <v>86.647272727272721</v>
      </c>
      <c r="G45" s="672">
        <f t="shared" si="7"/>
        <v>7.2206060606060598</v>
      </c>
      <c r="I45" s="670">
        <f t="shared" si="9"/>
        <v>0.41249999999999998</v>
      </c>
      <c r="J45" s="669"/>
      <c r="K45" s="680">
        <f t="shared" si="10"/>
        <v>35.74199999999999</v>
      </c>
      <c r="L45" s="680"/>
      <c r="M45" s="806">
        <f t="shared" si="8"/>
        <v>3.16</v>
      </c>
      <c r="N45" s="680">
        <f t="shared" si="11"/>
        <v>274.02199999999993</v>
      </c>
    </row>
    <row r="46" spans="1:14" s="668" customFormat="1" ht="12" customHeight="1">
      <c r="A46" s="203" t="s">
        <v>781</v>
      </c>
      <c r="B46" s="203" t="s">
        <v>782</v>
      </c>
      <c r="C46" s="415">
        <f>'Rate Schedule G-51'!B120</f>
        <v>16.649999999999999</v>
      </c>
      <c r="D46" s="413">
        <f>IFERROR(VLOOKUP(A46,'[46]G-51 Rev 2017'!$D$6:$E$93,2,FALSE),0)</f>
        <v>2700.79</v>
      </c>
      <c r="E46" s="402"/>
      <c r="F46" s="672">
        <f t="shared" si="6"/>
        <v>162.20960960960963</v>
      </c>
      <c r="G46" s="672">
        <f t="shared" si="7"/>
        <v>13.517467467467469</v>
      </c>
      <c r="I46" s="670">
        <f t="shared" si="9"/>
        <v>2.4974999999999996</v>
      </c>
      <c r="J46" s="669"/>
      <c r="K46" s="680">
        <f t="shared" si="10"/>
        <v>405.11850000000004</v>
      </c>
      <c r="L46" s="680"/>
      <c r="M46" s="806">
        <f t="shared" si="8"/>
        <v>19.149999999999999</v>
      </c>
      <c r="N46" s="680">
        <f t="shared" si="11"/>
        <v>3105.9085</v>
      </c>
    </row>
    <row r="47" spans="1:14" s="668" customFormat="1" ht="12" customHeight="1">
      <c r="A47" s="203" t="s">
        <v>777</v>
      </c>
      <c r="B47" s="203" t="s">
        <v>778</v>
      </c>
      <c r="C47" s="415">
        <f>'Rate Schedule G-51'!B119</f>
        <v>13.65</v>
      </c>
      <c r="D47" s="413">
        <f>IFERROR(VLOOKUP(A47,'[46]G-51 Rev 2017'!$D$6:$E$93,2,FALSE),0)</f>
        <v>941.84999999999991</v>
      </c>
      <c r="E47" s="402"/>
      <c r="F47" s="672">
        <f t="shared" si="6"/>
        <v>68.999999999999986</v>
      </c>
      <c r="G47" s="672">
        <f t="shared" si="7"/>
        <v>5.7499999999999991</v>
      </c>
      <c r="I47" s="670">
        <f t="shared" si="9"/>
        <v>2.0474999999999999</v>
      </c>
      <c r="J47" s="669"/>
      <c r="K47" s="680">
        <f t="shared" si="10"/>
        <v>141.27749999999997</v>
      </c>
      <c r="L47" s="680"/>
      <c r="M47" s="806">
        <f t="shared" si="8"/>
        <v>15.7</v>
      </c>
      <c r="N47" s="680">
        <f t="shared" si="11"/>
        <v>1083.1274999999998</v>
      </c>
    </row>
    <row r="48" spans="1:14" s="668" customFormat="1" ht="12" customHeight="1">
      <c r="A48" s="203" t="s">
        <v>785</v>
      </c>
      <c r="B48" s="203" t="s">
        <v>786</v>
      </c>
      <c r="C48" s="415">
        <f>'Rate Schedule G-51'!B121</f>
        <v>19.7</v>
      </c>
      <c r="D48" s="413">
        <f>IFERROR(VLOOKUP(A48,'[46]G-51 Rev 2017'!$D$6:$E$93,2,FALSE),0)</f>
        <v>3114.8399999999997</v>
      </c>
      <c r="E48" s="402"/>
      <c r="F48" s="672">
        <f t="shared" si="6"/>
        <v>158.11370558375634</v>
      </c>
      <c r="G48" s="672">
        <f t="shared" si="7"/>
        <v>13.176142131979695</v>
      </c>
      <c r="I48" s="670">
        <f t="shared" si="9"/>
        <v>2.9549999999999996</v>
      </c>
      <c r="J48" s="669"/>
      <c r="K48" s="680">
        <f t="shared" si="10"/>
        <v>467.226</v>
      </c>
      <c r="L48" s="680"/>
      <c r="M48" s="806">
        <f t="shared" si="8"/>
        <v>22.66</v>
      </c>
      <c r="N48" s="680">
        <f t="shared" si="11"/>
        <v>3582.0659999999998</v>
      </c>
    </row>
    <row r="49" spans="1:14" s="668" customFormat="1" ht="12" customHeight="1">
      <c r="A49" s="203" t="s">
        <v>803</v>
      </c>
      <c r="B49" s="203" t="s">
        <v>804</v>
      </c>
      <c r="C49" s="415">
        <v>2.5</v>
      </c>
      <c r="D49" s="413">
        <f>IFERROR(VLOOKUP(A49,'[46]G-51 Rev 2017'!$D$6:$E$93,2,FALSE),0)</f>
        <v>30</v>
      </c>
      <c r="E49" s="402"/>
      <c r="F49" s="672">
        <f t="shared" si="6"/>
        <v>12</v>
      </c>
      <c r="G49" s="672">
        <f t="shared" si="7"/>
        <v>1</v>
      </c>
      <c r="I49" s="670">
        <f t="shared" si="9"/>
        <v>0.375</v>
      </c>
      <c r="J49" s="669"/>
      <c r="K49" s="680">
        <f t="shared" si="10"/>
        <v>4.5</v>
      </c>
      <c r="L49" s="680"/>
      <c r="M49" s="806">
        <f t="shared" si="8"/>
        <v>2.88</v>
      </c>
      <c r="N49" s="680">
        <f t="shared" si="11"/>
        <v>34.5</v>
      </c>
    </row>
    <row r="50" spans="1:14" s="668" customFormat="1" ht="12" customHeight="1">
      <c r="A50" s="203" t="s">
        <v>811</v>
      </c>
      <c r="B50" s="203" t="s">
        <v>812</v>
      </c>
      <c r="C50" s="415">
        <f>'Rate Schedule G-51'!B34*References!B11</f>
        <v>3.4640000000000004</v>
      </c>
      <c r="D50" s="413">
        <f>IFERROR(VLOOKUP(A50,'[46]G-51 Rev 2017'!$D$6:$E$93,2,FALSE),0)</f>
        <v>207.14</v>
      </c>
      <c r="E50" s="402"/>
      <c r="F50" s="672">
        <f t="shared" si="6"/>
        <v>59.797921478060033</v>
      </c>
      <c r="G50" s="672">
        <f t="shared" si="7"/>
        <v>4.9831601231716691</v>
      </c>
      <c r="I50" s="670">
        <f t="shared" si="9"/>
        <v>0.51960000000000006</v>
      </c>
      <c r="J50" s="669"/>
      <c r="K50" s="680">
        <f t="shared" si="10"/>
        <v>31.070999999999991</v>
      </c>
      <c r="L50" s="680"/>
      <c r="M50" s="806">
        <f t="shared" si="8"/>
        <v>3.98</v>
      </c>
      <c r="N50" s="680">
        <f t="shared" si="11"/>
        <v>238.21099999999998</v>
      </c>
    </row>
    <row r="51" spans="1:14" s="668" customFormat="1" ht="12" customHeight="1">
      <c r="A51" s="203" t="s">
        <v>816</v>
      </c>
      <c r="B51" s="203" t="s">
        <v>817</v>
      </c>
      <c r="C51" s="415">
        <f>'Rate Schedule G-51'!$B$97*References!B11</f>
        <v>13.856000000000002</v>
      </c>
      <c r="D51" s="413">
        <f>IFERROR(VLOOKUP(A51,'[46]G-51 Rev 2017'!$D$6:$E$93,2,FALSE),0)</f>
        <v>665.28</v>
      </c>
      <c r="E51" s="402"/>
      <c r="F51" s="672">
        <f t="shared" si="6"/>
        <v>48.013856812933021</v>
      </c>
      <c r="G51" s="672">
        <f t="shared" si="7"/>
        <v>4.0011547344110854</v>
      </c>
      <c r="I51" s="670">
        <f t="shared" si="9"/>
        <v>2.0784000000000002</v>
      </c>
      <c r="J51" s="669"/>
      <c r="K51" s="680">
        <f t="shared" si="10"/>
        <v>99.792000000000002</v>
      </c>
      <c r="L51" s="680"/>
      <c r="M51" s="806">
        <f t="shared" si="8"/>
        <v>15.93</v>
      </c>
      <c r="N51" s="680">
        <f t="shared" si="11"/>
        <v>765.072</v>
      </c>
    </row>
    <row r="52" spans="1:14" s="668" customFormat="1" ht="12" customHeight="1">
      <c r="A52" s="203" t="s">
        <v>820</v>
      </c>
      <c r="B52" s="203" t="s">
        <v>821</v>
      </c>
      <c r="C52" s="415">
        <f>'Rate Schedule G-51'!$B$97*References!B12</f>
        <v>6.944</v>
      </c>
      <c r="D52" s="413">
        <f>IFERROR(VLOOKUP(A52,'[46]G-51 Rev 2017'!$D$6:$E$93,2,FALSE),0)</f>
        <v>83.28</v>
      </c>
      <c r="E52" s="402"/>
      <c r="F52" s="672">
        <f t="shared" si="6"/>
        <v>11.993087557603687</v>
      </c>
      <c r="G52" s="672">
        <f t="shared" si="7"/>
        <v>0.99942396313364057</v>
      </c>
      <c r="I52" s="670">
        <f t="shared" si="9"/>
        <v>1.0415999999999999</v>
      </c>
      <c r="J52" s="669"/>
      <c r="K52" s="680">
        <f t="shared" si="10"/>
        <v>12.491999999999999</v>
      </c>
      <c r="L52" s="680"/>
      <c r="M52" s="806">
        <f t="shared" si="8"/>
        <v>7.99</v>
      </c>
      <c r="N52" s="680">
        <f t="shared" si="11"/>
        <v>95.772000000000006</v>
      </c>
    </row>
    <row r="53" spans="1:14" s="668" customFormat="1" ht="12" customHeight="1">
      <c r="A53" s="203" t="s">
        <v>793</v>
      </c>
      <c r="B53" s="203" t="s">
        <v>794</v>
      </c>
      <c r="C53" s="415">
        <f>'Rate Schedule G-51'!B141</f>
        <v>13.45</v>
      </c>
      <c r="D53" s="413">
        <f>IFERROR(VLOOKUP(A53,'[46]G-51 Rev 2017'!$D$6:$E$93,2,FALSE),0)</f>
        <v>26.9</v>
      </c>
      <c r="E53" s="402"/>
      <c r="F53" s="672">
        <f t="shared" si="6"/>
        <v>2</v>
      </c>
      <c r="G53" s="672">
        <f t="shared" si="7"/>
        <v>0.16666666666666666</v>
      </c>
      <c r="I53" s="670">
        <f t="shared" si="9"/>
        <v>2.0174999999999996</v>
      </c>
      <c r="J53" s="669"/>
      <c r="K53" s="680">
        <f t="shared" si="10"/>
        <v>4.0349999999999993</v>
      </c>
      <c r="L53" s="680"/>
      <c r="M53" s="806">
        <f t="shared" si="8"/>
        <v>15.47</v>
      </c>
      <c r="N53" s="680">
        <f t="shared" si="11"/>
        <v>30.934999999999999</v>
      </c>
    </row>
    <row r="54" spans="1:14" s="668" customFormat="1" ht="7.5" customHeight="1" thickBot="1">
      <c r="A54" s="246"/>
      <c r="B54" s="246"/>
      <c r="C54" s="246"/>
      <c r="D54" s="413"/>
      <c r="E54" s="402"/>
      <c r="F54" s="402"/>
      <c r="G54" s="671"/>
    </row>
    <row r="55" spans="1:14" s="668" customFormat="1" ht="12" customHeight="1" thickBot="1">
      <c r="A55" s="421"/>
      <c r="B55" s="417" t="s">
        <v>826</v>
      </c>
      <c r="C55" s="417"/>
      <c r="D55" s="781">
        <f>SUM(D30:D54)</f>
        <v>41960.51</v>
      </c>
      <c r="F55" s="646"/>
      <c r="G55" s="661">
        <f>SUM(G30:G44)</f>
        <v>39.854430365639303</v>
      </c>
      <c r="K55" s="780">
        <f>SUM(K30:K53)</f>
        <v>6294.0764999999992</v>
      </c>
      <c r="L55" s="673"/>
      <c r="M55" s="673"/>
      <c r="N55" s="780">
        <f>SUM(N30:N53)</f>
        <v>48254.58649999999</v>
      </c>
    </row>
    <row r="56" spans="1:14" s="668" customFormat="1" ht="7.5" customHeight="1">
      <c r="A56" s="423"/>
      <c r="B56" s="423"/>
      <c r="C56" s="419"/>
      <c r="D56" s="420"/>
      <c r="E56" s="402"/>
      <c r="F56" s="402"/>
      <c r="G56" s="671"/>
    </row>
    <row r="57" spans="1:14" ht="12" customHeight="1">
      <c r="A57" s="411" t="s">
        <v>827</v>
      </c>
      <c r="B57" s="411" t="s">
        <v>827</v>
      </c>
      <c r="C57" s="411"/>
    </row>
    <row r="58" spans="1:14" ht="12" customHeight="1">
      <c r="A58" s="418"/>
      <c r="B58" s="418"/>
      <c r="C58" s="418"/>
    </row>
    <row r="59" spans="1:14" ht="12" customHeight="1">
      <c r="A59" s="424" t="s">
        <v>828</v>
      </c>
      <c r="B59" s="424" t="s">
        <v>828</v>
      </c>
      <c r="C59" s="415"/>
    </row>
    <row r="60" spans="1:14" ht="12" customHeight="1">
      <c r="A60" s="203" t="s">
        <v>829</v>
      </c>
      <c r="B60" s="203" t="s">
        <v>830</v>
      </c>
      <c r="C60" s="415">
        <f>'Rate Schedule G-51'!B201</f>
        <v>68.900000000000006</v>
      </c>
      <c r="D60" s="428">
        <f>IFERROR(VLOOKUP(A60,'[46]G-51 Rev 2017'!$M$5:$N$20,2,FALSE),0)</f>
        <v>69.900000000000006</v>
      </c>
      <c r="F60" s="672">
        <f t="shared" ref="F60:F70" si="12">IFERROR(D60/($C60),0)</f>
        <v>1.0145137880986939</v>
      </c>
      <c r="G60" s="672">
        <f t="shared" ref="G60:G70" si="13">IFERROR(D60/($C60),0)/12</f>
        <v>8.454281567489115E-2</v>
      </c>
      <c r="I60" s="670">
        <f>$I$6*C60</f>
        <v>10.335000000000001</v>
      </c>
      <c r="J60" s="669"/>
      <c r="K60" s="680">
        <f>G60*SUM(I60:I60)*12</f>
        <v>10.485000000000001</v>
      </c>
      <c r="L60" s="680"/>
      <c r="M60" s="806">
        <f t="shared" ref="M60:M70" si="14">ROUND((+C60+SUM(I60:I60)),2)</f>
        <v>79.239999999999995</v>
      </c>
      <c r="N60" s="680">
        <f>D60+K60</f>
        <v>80.385000000000005</v>
      </c>
    </row>
    <row r="61" spans="1:14" ht="12" customHeight="1">
      <c r="A61" s="203" t="s">
        <v>831</v>
      </c>
      <c r="B61" s="203" t="s">
        <v>830</v>
      </c>
      <c r="C61" s="415">
        <f>'Rate Schedule G-51'!B209</f>
        <v>95.4</v>
      </c>
      <c r="D61" s="428">
        <f>IFERROR(VLOOKUP(A61,'[46]G-51 Rev 2017'!$M$5:$N$20,2,FALSE),0)</f>
        <v>1621.8</v>
      </c>
      <c r="F61" s="672">
        <f t="shared" si="12"/>
        <v>17</v>
      </c>
      <c r="G61" s="672">
        <f t="shared" si="13"/>
        <v>1.4166666666666667</v>
      </c>
      <c r="I61" s="670">
        <f t="shared" ref="I61:I70" si="15">$I$6*C61</f>
        <v>14.31</v>
      </c>
      <c r="J61" s="669"/>
      <c r="K61" s="680">
        <f t="shared" ref="K61:K70" si="16">G61*SUM(I61:I61)*12</f>
        <v>243.27</v>
      </c>
      <c r="L61" s="680"/>
      <c r="M61" s="806">
        <f t="shared" si="14"/>
        <v>109.71</v>
      </c>
      <c r="N61" s="680">
        <f t="shared" ref="N61:N70" si="17">D61+K61</f>
        <v>1865.07</v>
      </c>
    </row>
    <row r="62" spans="1:14" ht="12" customHeight="1">
      <c r="A62" s="203" t="s">
        <v>834</v>
      </c>
      <c r="B62" s="203" t="s">
        <v>833</v>
      </c>
      <c r="C62" s="415">
        <f>'Rate Schedule G-51'!B210</f>
        <v>137.5</v>
      </c>
      <c r="D62" s="428">
        <f>IFERROR(VLOOKUP(A62,'[46]G-51 Rev 2017'!$M$5:$N$20,2,FALSE),0)</f>
        <v>8870</v>
      </c>
      <c r="F62" s="672">
        <f t="shared" si="12"/>
        <v>64.509090909090915</v>
      </c>
      <c r="G62" s="672">
        <f t="shared" si="13"/>
        <v>5.375757575757576</v>
      </c>
      <c r="I62" s="670">
        <f t="shared" si="15"/>
        <v>20.625</v>
      </c>
      <c r="J62" s="669"/>
      <c r="K62" s="680">
        <f t="shared" si="16"/>
        <v>1330.5</v>
      </c>
      <c r="L62" s="680"/>
      <c r="M62" s="806">
        <f t="shared" si="14"/>
        <v>158.13</v>
      </c>
      <c r="N62" s="680">
        <f t="shared" si="17"/>
        <v>10200.5</v>
      </c>
    </row>
    <row r="63" spans="1:14" ht="12" customHeight="1">
      <c r="A63" s="203" t="s">
        <v>841</v>
      </c>
      <c r="B63" s="203" t="s">
        <v>842</v>
      </c>
      <c r="C63" s="415">
        <f>'Rate Schedule G-51'!B209</f>
        <v>95.4</v>
      </c>
      <c r="D63" s="428">
        <f>IFERROR(VLOOKUP(A63,'[46]G-51 Rev 2017'!$M$5:$N$20,2,FALSE),0)</f>
        <v>601.69000000000005</v>
      </c>
      <c r="F63" s="672">
        <f t="shared" si="12"/>
        <v>6.307023060796646</v>
      </c>
      <c r="G63" s="672">
        <f t="shared" si="13"/>
        <v>0.5255852550663872</v>
      </c>
      <c r="I63" s="670">
        <f t="shared" si="15"/>
        <v>14.31</v>
      </c>
      <c r="J63" s="669"/>
      <c r="K63" s="680">
        <f t="shared" si="16"/>
        <v>90.253500000000017</v>
      </c>
      <c r="L63" s="680"/>
      <c r="M63" s="806">
        <f t="shared" si="14"/>
        <v>109.71</v>
      </c>
      <c r="N63" s="680">
        <f t="shared" si="17"/>
        <v>691.94350000000009</v>
      </c>
    </row>
    <row r="64" spans="1:14" ht="12" customHeight="1">
      <c r="A64" s="203" t="s">
        <v>843</v>
      </c>
      <c r="B64" s="203" t="s">
        <v>844</v>
      </c>
      <c r="C64" s="415">
        <f>'Rate Schedule G-51'!B210</f>
        <v>137.5</v>
      </c>
      <c r="D64" s="428">
        <f>IFERROR(VLOOKUP(A64,'[46]G-51 Rev 2017'!$M$5:$N$20,2,FALSE),0)</f>
        <v>1067.5</v>
      </c>
      <c r="F64" s="672">
        <f t="shared" si="12"/>
        <v>7.7636363636363637</v>
      </c>
      <c r="G64" s="672">
        <f t="shared" si="13"/>
        <v>0.64696969696969697</v>
      </c>
      <c r="I64" s="670">
        <f t="shared" si="15"/>
        <v>20.625</v>
      </c>
      <c r="J64" s="669"/>
      <c r="K64" s="680">
        <f t="shared" si="16"/>
        <v>160.125</v>
      </c>
      <c r="L64" s="680"/>
      <c r="M64" s="806">
        <f t="shared" si="14"/>
        <v>158.13</v>
      </c>
      <c r="N64" s="680">
        <f t="shared" si="17"/>
        <v>1227.625</v>
      </c>
    </row>
    <row r="65" spans="1:14" ht="12" customHeight="1">
      <c r="A65" s="203" t="s">
        <v>857</v>
      </c>
      <c r="B65" s="203" t="s">
        <v>858</v>
      </c>
      <c r="C65" s="415">
        <f>'Rate Schedule G-51'!B214</f>
        <v>6.9</v>
      </c>
      <c r="D65" s="428">
        <f>IFERROR(VLOOKUP(A65,'[46]G-51 Rev 2017'!$M$5:$N$20,2,FALSE),0)</f>
        <v>1321.46</v>
      </c>
      <c r="F65" s="672">
        <f t="shared" si="12"/>
        <v>191.51594202898551</v>
      </c>
      <c r="G65" s="672">
        <f t="shared" si="13"/>
        <v>15.959661835748792</v>
      </c>
      <c r="I65" s="670">
        <f t="shared" si="15"/>
        <v>1.0349999999999999</v>
      </c>
      <c r="J65" s="669"/>
      <c r="K65" s="680">
        <f t="shared" si="16"/>
        <v>198.21899999999999</v>
      </c>
      <c r="L65" s="680"/>
      <c r="M65" s="806">
        <f t="shared" si="14"/>
        <v>7.94</v>
      </c>
      <c r="N65" s="680">
        <f t="shared" si="17"/>
        <v>1519.6790000000001</v>
      </c>
    </row>
    <row r="66" spans="1:14" ht="12" customHeight="1">
      <c r="A66" s="203" t="s">
        <v>859</v>
      </c>
      <c r="B66" s="203" t="s">
        <v>858</v>
      </c>
      <c r="C66" s="415">
        <f>'Rate Schedule G-51'!B219</f>
        <v>106</v>
      </c>
      <c r="D66" s="428">
        <f>IFERROR(VLOOKUP(A66,'[46]G-51 Rev 2017'!$M$5:$N$20,2,FALSE),0)</f>
        <v>318</v>
      </c>
      <c r="F66" s="672">
        <f t="shared" si="12"/>
        <v>3</v>
      </c>
      <c r="G66" s="672">
        <f t="shared" si="13"/>
        <v>0.25</v>
      </c>
      <c r="I66" s="670">
        <f t="shared" si="15"/>
        <v>15.899999999999999</v>
      </c>
      <c r="J66" s="669"/>
      <c r="K66" s="680">
        <f t="shared" si="16"/>
        <v>47.699999999999996</v>
      </c>
      <c r="L66" s="680"/>
      <c r="M66" s="806">
        <f t="shared" si="14"/>
        <v>121.9</v>
      </c>
      <c r="N66" s="680">
        <f t="shared" si="17"/>
        <v>365.7</v>
      </c>
    </row>
    <row r="67" spans="1:14" ht="12" customHeight="1">
      <c r="A67" s="203" t="s">
        <v>849</v>
      </c>
      <c r="B67" s="203" t="s">
        <v>850</v>
      </c>
      <c r="C67" s="415">
        <f>'Rate Schedule G-51'!B205</f>
        <v>42.5</v>
      </c>
      <c r="D67" s="428">
        <f>IFERROR(VLOOKUP(A67,'[46]G-51 Rev 2017'!$M$5:$N$20,2,FALSE),0)</f>
        <v>255</v>
      </c>
      <c r="F67" s="672">
        <f t="shared" si="12"/>
        <v>6</v>
      </c>
      <c r="G67" s="672">
        <f t="shared" si="13"/>
        <v>0.5</v>
      </c>
      <c r="I67" s="670">
        <f t="shared" si="15"/>
        <v>6.375</v>
      </c>
      <c r="J67" s="669"/>
      <c r="K67" s="680">
        <f t="shared" si="16"/>
        <v>38.25</v>
      </c>
      <c r="L67" s="680"/>
      <c r="M67" s="806">
        <f t="shared" si="14"/>
        <v>48.88</v>
      </c>
      <c r="N67" s="680">
        <f t="shared" si="17"/>
        <v>293.25</v>
      </c>
    </row>
    <row r="68" spans="1:14" ht="12" customHeight="1">
      <c r="A68" s="203" t="s">
        <v>853</v>
      </c>
      <c r="B68" s="203" t="s">
        <v>854</v>
      </c>
      <c r="C68" s="415">
        <f>'Rate Schedule G-51'!B222</f>
        <v>3.7</v>
      </c>
      <c r="D68" s="428">
        <f>IFERROR(VLOOKUP(A68,'[46]G-51 Rev 2017'!$M$5:$N$20,2,FALSE),0)</f>
        <v>828.8</v>
      </c>
      <c r="F68" s="672">
        <f t="shared" si="12"/>
        <v>223.99999999999997</v>
      </c>
      <c r="G68" s="672">
        <f t="shared" si="13"/>
        <v>18.666666666666664</v>
      </c>
      <c r="I68" s="670">
        <f t="shared" si="15"/>
        <v>0.55500000000000005</v>
      </c>
      <c r="J68" s="669"/>
      <c r="K68" s="680">
        <f t="shared" si="16"/>
        <v>124.32</v>
      </c>
      <c r="L68" s="680"/>
      <c r="M68" s="806">
        <f t="shared" si="14"/>
        <v>4.26</v>
      </c>
      <c r="N68" s="680">
        <f t="shared" si="17"/>
        <v>953.11999999999989</v>
      </c>
    </row>
    <row r="69" spans="1:14" ht="12" customHeight="1">
      <c r="A69" s="203" t="s">
        <v>851</v>
      </c>
      <c r="B69" s="203" t="s">
        <v>852</v>
      </c>
      <c r="C69" s="415">
        <f>'Rate Schedule G-51'!B205</f>
        <v>42.5</v>
      </c>
      <c r="D69" s="428">
        <f>IFERROR(VLOOKUP(A69,'[46]G-51 Rev 2017'!$M$5:$N$20,2,FALSE),0)</f>
        <v>85</v>
      </c>
      <c r="F69" s="672">
        <f t="shared" si="12"/>
        <v>2</v>
      </c>
      <c r="G69" s="672">
        <f t="shared" si="13"/>
        <v>0.16666666666666666</v>
      </c>
      <c r="I69" s="670">
        <f t="shared" si="15"/>
        <v>6.375</v>
      </c>
      <c r="J69" s="669"/>
      <c r="K69" s="680">
        <f t="shared" si="16"/>
        <v>12.75</v>
      </c>
      <c r="L69" s="680"/>
      <c r="M69" s="806">
        <f t="shared" si="14"/>
        <v>48.88</v>
      </c>
      <c r="N69" s="680">
        <f t="shared" si="17"/>
        <v>97.75</v>
      </c>
    </row>
    <row r="70" spans="1:14" ht="12" customHeight="1">
      <c r="A70" s="184" t="s">
        <v>862</v>
      </c>
      <c r="B70" s="203" t="s">
        <v>863</v>
      </c>
      <c r="C70" s="415">
        <f>'Rate Schedule G-51'!B196-'Rate Schedule G-51'!B201</f>
        <v>62.099999999999994</v>
      </c>
      <c r="D70" s="428">
        <f>IFERROR(VLOOKUP(A70,'[46]G-51 Rev 2017'!$M$5:$N$20,2,FALSE),0)</f>
        <v>1496.28</v>
      </c>
      <c r="F70" s="672">
        <f t="shared" si="12"/>
        <v>24.094685990338167</v>
      </c>
      <c r="G70" s="672">
        <f t="shared" si="13"/>
        <v>2.0078904991948474</v>
      </c>
      <c r="I70" s="670">
        <f t="shared" si="15"/>
        <v>9.3149999999999995</v>
      </c>
      <c r="J70" s="669"/>
      <c r="K70" s="680">
        <f t="shared" si="16"/>
        <v>224.44200000000001</v>
      </c>
      <c r="L70" s="680"/>
      <c r="M70" s="806">
        <f t="shared" si="14"/>
        <v>71.42</v>
      </c>
      <c r="N70" s="680">
        <f t="shared" si="17"/>
        <v>1720.722</v>
      </c>
    </row>
    <row r="71" spans="1:14" ht="7.5" customHeight="1" thickBot="1">
      <c r="A71" s="425"/>
      <c r="B71" s="425"/>
      <c r="C71" s="240"/>
      <c r="D71" s="413"/>
      <c r="F71" s="413"/>
      <c r="G71" s="672"/>
    </row>
    <row r="72" spans="1:14" ht="12" customHeight="1" thickBot="1">
      <c r="A72" s="426"/>
      <c r="B72" s="426"/>
      <c r="C72" s="426"/>
      <c r="D72" s="781">
        <f>SUM(D60:D70)</f>
        <v>16535.43</v>
      </c>
      <c r="E72" s="665"/>
      <c r="F72" s="662"/>
      <c r="G72" s="776">
        <f>SUM(G70)</f>
        <v>2.0078904991948474</v>
      </c>
      <c r="K72" s="780">
        <f>SUM(K60:K70)</f>
        <v>2480.3145000000004</v>
      </c>
      <c r="L72" s="673"/>
      <c r="M72" s="673"/>
      <c r="N72" s="780">
        <f>SUM(N60:N70)</f>
        <v>19015.744500000001</v>
      </c>
    </row>
    <row r="73" spans="1:14" ht="7.5" customHeight="1">
      <c r="A73" s="427"/>
      <c r="B73" s="427"/>
      <c r="C73" s="419"/>
      <c r="D73" s="224"/>
    </row>
    <row r="74" spans="1:14" ht="12" customHeight="1">
      <c r="A74" s="424" t="s">
        <v>868</v>
      </c>
      <c r="B74" s="424" t="s">
        <v>868</v>
      </c>
      <c r="C74" s="424"/>
      <c r="I74" s="797"/>
      <c r="J74" s="797"/>
      <c r="K74" s="804" t="s">
        <v>1298</v>
      </c>
    </row>
    <row r="75" spans="1:14" ht="12" customHeight="1">
      <c r="A75" s="203" t="s">
        <v>869</v>
      </c>
      <c r="B75" s="203" t="s">
        <v>870</v>
      </c>
      <c r="C75" s="415">
        <f>IFERROR(VLOOKUP(A75,'[46]G-51 Rate 2017'!$F$4:$H$368,3,FALSE),0)</f>
        <v>0</v>
      </c>
      <c r="D75" s="420">
        <f>IFERROR(VLOOKUP(A75,'[46]G-51 Rev 2017'!$D$6:$E$57,2,FALSE),0)</f>
        <v>3445.06</v>
      </c>
      <c r="I75" s="779" t="s">
        <v>317</v>
      </c>
      <c r="K75" s="798">
        <f>K72+K55+K25</f>
        <v>13712.355</v>
      </c>
    </row>
    <row r="76" spans="1:14" ht="12" customHeight="1">
      <c r="A76" s="240"/>
      <c r="B76" s="240"/>
      <c r="F76" s="665"/>
      <c r="G76" s="665"/>
      <c r="I76" s="797"/>
      <c r="J76" s="797"/>
      <c r="K76" s="799">
        <f>SUM(K75:K75)</f>
        <v>13712.355</v>
      </c>
      <c r="N76" s="784"/>
    </row>
    <row r="77" spans="1:14" ht="12" customHeight="1" thickBot="1">
      <c r="A77" s="422"/>
      <c r="B77" s="417" t="s">
        <v>871</v>
      </c>
      <c r="C77" s="417"/>
      <c r="D77" s="781">
        <f t="shared" ref="D77" si="18">SUM(D75:D75)</f>
        <v>3445.06</v>
      </c>
      <c r="E77" s="665"/>
      <c r="F77" s="665"/>
      <c r="G77" s="665"/>
      <c r="I77" s="800" t="s">
        <v>1299</v>
      </c>
      <c r="J77" s="801"/>
      <c r="K77" s="802">
        <f>'LG G-51'!J8</f>
        <v>13167.63224409449</v>
      </c>
    </row>
    <row r="78" spans="1:14" ht="9.75" customHeight="1">
      <c r="A78" s="427"/>
      <c r="B78" s="429"/>
      <c r="C78" s="419"/>
      <c r="D78" s="587"/>
      <c r="F78" s="665"/>
      <c r="G78" s="665"/>
      <c r="I78" s="797"/>
      <c r="J78" s="797"/>
      <c r="K78" s="803">
        <f>K76-K77</f>
        <v>544.72275590550998</v>
      </c>
      <c r="L78" s="668"/>
      <c r="M78" s="668"/>
    </row>
    <row r="79" spans="1:14" s="668" customFormat="1" ht="12" customHeight="1">
      <c r="A79" s="430" t="s">
        <v>872</v>
      </c>
      <c r="B79" s="430" t="s">
        <v>872</v>
      </c>
      <c r="C79" s="418"/>
      <c r="D79" s="420"/>
      <c r="E79" s="402"/>
      <c r="F79" s="662"/>
      <c r="G79" s="662"/>
      <c r="I79" s="796"/>
      <c r="J79" s="796"/>
      <c r="K79" s="796"/>
    </row>
    <row r="80" spans="1:14" s="668" customFormat="1" ht="12" customHeight="1">
      <c r="A80" s="240" t="s">
        <v>873</v>
      </c>
      <c r="B80" s="240" t="s">
        <v>874</v>
      </c>
      <c r="C80" s="415">
        <v>1</v>
      </c>
      <c r="D80" s="413">
        <f>IFERROR(VLOOKUP(A80,'[46]G-51 Rev 2017'!$D$6:$E$57,2,FALSE),0)</f>
        <v>356.97999999999996</v>
      </c>
      <c r="E80" s="402"/>
      <c r="F80" s="662"/>
      <c r="G80" s="662"/>
    </row>
    <row r="81" spans="1:13" s="668" customFormat="1" ht="12" customHeight="1">
      <c r="A81" s="240" t="s">
        <v>875</v>
      </c>
      <c r="B81" s="240" t="s">
        <v>876</v>
      </c>
      <c r="C81" s="415">
        <v>25</v>
      </c>
      <c r="D81" s="413">
        <f>IFERROR(VLOOKUP(A81,'[46]G-51 Rev 2017'!$D$6:$E$57,2,FALSE),0)</f>
        <v>0</v>
      </c>
      <c r="E81" s="402"/>
      <c r="F81" s="662"/>
      <c r="G81" s="662"/>
    </row>
    <row r="82" spans="1:13" s="668" customFormat="1" ht="12" customHeight="1">
      <c r="A82" s="240" t="s">
        <v>877</v>
      </c>
      <c r="B82" s="240" t="s">
        <v>878</v>
      </c>
      <c r="C82" s="415">
        <v>25</v>
      </c>
      <c r="D82" s="413">
        <f>IFERROR(VLOOKUP(A82,'[46]G-51 Rev 2017'!$D$6:$E$57,2,FALSE),0)</f>
        <v>0</v>
      </c>
      <c r="E82" s="402"/>
      <c r="F82" s="662"/>
      <c r="G82" s="662"/>
    </row>
    <row r="83" spans="1:13" s="668" customFormat="1" ht="7.5" customHeight="1">
      <c r="A83" s="246"/>
      <c r="B83" s="246"/>
      <c r="C83" s="246"/>
      <c r="D83" s="420"/>
      <c r="E83" s="402"/>
      <c r="F83" s="662"/>
      <c r="G83" s="662"/>
    </row>
    <row r="84" spans="1:13" s="668" customFormat="1" ht="12" customHeight="1" thickBot="1">
      <c r="A84" s="422"/>
      <c r="B84" s="417" t="s">
        <v>879</v>
      </c>
      <c r="C84" s="417"/>
      <c r="D84" s="781">
        <f>SUM(D80:D83)</f>
        <v>356.97999999999996</v>
      </c>
      <c r="F84" s="662"/>
      <c r="G84" s="662"/>
      <c r="I84" s="665"/>
      <c r="J84" s="665"/>
      <c r="K84" s="665"/>
      <c r="L84" s="665"/>
      <c r="M84" s="665"/>
    </row>
    <row r="85" spans="1:13" ht="7.5" customHeight="1">
      <c r="A85" s="427"/>
      <c r="B85" s="429"/>
      <c r="C85" s="429"/>
      <c r="F85" s="665"/>
      <c r="G85" s="665"/>
    </row>
    <row r="86" spans="1:13" ht="12" customHeight="1" thickBot="1">
      <c r="A86" s="416"/>
      <c r="B86" s="417" t="s">
        <v>880</v>
      </c>
      <c r="C86" s="417"/>
      <c r="D86" s="781">
        <f>SUM(D25,D55,D72,D77,D84)</f>
        <v>95242.650000000009</v>
      </c>
      <c r="E86" s="665"/>
      <c r="F86" s="665"/>
      <c r="G86" s="665"/>
    </row>
    <row r="87" spans="1:13" ht="7.5" customHeight="1">
      <c r="C87" s="419"/>
      <c r="D87" s="224"/>
      <c r="F87" s="665"/>
      <c r="G87" s="665"/>
    </row>
  </sheetData>
  <mergeCells count="2">
    <mergeCell ref="K5:K6"/>
    <mergeCell ref="M5:N5"/>
  </mergeCells>
  <conditionalFormatting sqref="D26 D56">
    <cfRule type="cellIs" dxfId="1" priority="1" operator="greaterThan">
      <formula>100</formula>
    </cfRule>
  </conditionalFormatting>
  <pageMargins left="0.7" right="0.7" top="0.75" bottom="0.75" header="0.3" footer="0.3"/>
  <pageSetup scale="87" fitToHeight="2" orientation="landscape" r:id="rId1"/>
  <rowBreaks count="1" manualBreakCount="1">
    <brk id="47" max="1638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L309"/>
  <sheetViews>
    <sheetView showGridLines="0" view="pageBreakPreview" zoomScale="115" zoomScaleNormal="100" zoomScaleSheetLayoutView="115" workbookViewId="0">
      <pane ySplit="5" topLeftCell="A78" activePane="bottomLeft" state="frozen"/>
      <selection pane="bottomLeft" activeCell="C2" sqref="C2"/>
    </sheetView>
  </sheetViews>
  <sheetFormatPr defaultRowHeight="12.75"/>
  <cols>
    <col min="1" max="1" width="35.28515625" style="598" customWidth="1"/>
    <col min="2" max="3" width="14.28515625" style="598" customWidth="1"/>
    <col min="4" max="4" width="15.42578125" style="598" bestFit="1" customWidth="1"/>
    <col min="5" max="5" width="1.85546875" style="598" customWidth="1"/>
    <col min="6" max="6" width="2.85546875" style="598" customWidth="1"/>
    <col min="7" max="7" width="11" style="196" bestFit="1" customWidth="1"/>
    <col min="8" max="8" width="14.85546875" style="196" customWidth="1"/>
    <col min="9" max="10" width="9.140625" style="196"/>
    <col min="11" max="11" width="16.42578125" style="196" customWidth="1"/>
    <col min="12" max="16384" width="9.140625" style="196"/>
  </cols>
  <sheetData>
    <row r="1" spans="1:12" s="1018" customFormat="1" ht="16.5" customHeight="1">
      <c r="A1" s="1013" t="s">
        <v>410</v>
      </c>
      <c r="B1" s="1014"/>
      <c r="C1" s="1015"/>
      <c r="D1" s="1016"/>
      <c r="E1" s="1017"/>
      <c r="F1" s="1017"/>
    </row>
    <row r="2" spans="1:12" s="1018" customFormat="1" ht="16.5" customHeight="1">
      <c r="A2" s="1013" t="s">
        <v>411</v>
      </c>
      <c r="B2" s="1019" t="s">
        <v>412</v>
      </c>
      <c r="C2" s="1020">
        <f>'G-48 Price Out'!M6</f>
        <v>0.15045444516958695</v>
      </c>
      <c r="D2" s="1016"/>
      <c r="E2" s="1017"/>
      <c r="F2" s="1017"/>
    </row>
    <row r="3" spans="1:12">
      <c r="B3" s="604"/>
      <c r="C3" s="605"/>
      <c r="D3" s="606"/>
      <c r="E3" s="240"/>
      <c r="F3" s="240"/>
    </row>
    <row r="4" spans="1:12">
      <c r="A4" s="597"/>
      <c r="B4" s="604"/>
      <c r="C4" s="605"/>
      <c r="D4" s="606"/>
      <c r="E4" s="240"/>
      <c r="F4" s="240"/>
    </row>
    <row r="5" spans="1:12" ht="38.25" customHeight="1">
      <c r="A5" s="599"/>
      <c r="B5" s="607" t="s">
        <v>413</v>
      </c>
      <c r="C5" s="607" t="s">
        <v>414</v>
      </c>
      <c r="D5" s="607" t="s">
        <v>415</v>
      </c>
      <c r="E5" s="225"/>
      <c r="F5" s="214"/>
      <c r="H5" s="197"/>
      <c r="I5" s="197"/>
      <c r="J5" s="197"/>
      <c r="K5" s="195"/>
      <c r="L5" s="198"/>
    </row>
    <row r="6" spans="1:12">
      <c r="A6" s="600" t="s">
        <v>416</v>
      </c>
      <c r="B6" s="608"/>
      <c r="C6" s="608"/>
      <c r="D6" s="608"/>
    </row>
    <row r="7" spans="1:12">
      <c r="A7" s="601" t="s">
        <v>417</v>
      </c>
      <c r="B7" s="608">
        <v>29.41</v>
      </c>
      <c r="C7" s="608">
        <f>B7*$C$2</f>
        <v>4.4248652324375524</v>
      </c>
      <c r="D7" s="608">
        <f>SUM(B7:C7)</f>
        <v>33.834865232437551</v>
      </c>
    </row>
    <row r="8" spans="1:12">
      <c r="A8" s="601"/>
      <c r="B8" s="608"/>
      <c r="C8" s="608"/>
      <c r="D8" s="608"/>
    </row>
    <row r="9" spans="1:12">
      <c r="A9" s="600" t="s">
        <v>418</v>
      </c>
      <c r="B9" s="608"/>
      <c r="C9" s="608"/>
      <c r="D9" s="608"/>
    </row>
    <row r="10" spans="1:12">
      <c r="A10" s="601" t="s">
        <v>419</v>
      </c>
      <c r="B10" s="608">
        <v>13.94</v>
      </c>
      <c r="C10" s="608">
        <f>B10*$C$2</f>
        <v>2.0973349656640421</v>
      </c>
      <c r="D10" s="608">
        <f>SUM(B10:C10)</f>
        <v>16.037334965664041</v>
      </c>
    </row>
    <row r="11" spans="1:12">
      <c r="A11" s="601" t="s">
        <v>420</v>
      </c>
      <c r="B11" s="608">
        <v>3.71</v>
      </c>
      <c r="C11" s="608">
        <f>B11*$C$2</f>
        <v>0.5581859915791676</v>
      </c>
      <c r="D11" s="608">
        <f t="shared" ref="D11:D12" si="0">SUM(B11:C11)</f>
        <v>4.268185991579168</v>
      </c>
    </row>
    <row r="12" spans="1:12">
      <c r="A12" s="601" t="s">
        <v>421</v>
      </c>
      <c r="B12" s="608">
        <v>46.92</v>
      </c>
      <c r="C12" s="608">
        <f>B12*$C$2</f>
        <v>7.0593225673570199</v>
      </c>
      <c r="D12" s="608">
        <f t="shared" si="0"/>
        <v>53.979322567357023</v>
      </c>
    </row>
    <row r="13" spans="1:12">
      <c r="A13" s="601"/>
      <c r="B13" s="608"/>
      <c r="C13" s="608"/>
      <c r="D13" s="608"/>
    </row>
    <row r="14" spans="1:12">
      <c r="A14" s="600" t="s">
        <v>422</v>
      </c>
      <c r="B14" s="608"/>
      <c r="C14" s="608"/>
      <c r="D14" s="608"/>
    </row>
    <row r="15" spans="1:12">
      <c r="A15" s="601" t="s">
        <v>423</v>
      </c>
      <c r="B15" s="608">
        <v>4.34</v>
      </c>
      <c r="C15" s="608">
        <f>B15*$C$2</f>
        <v>0.65297229203600737</v>
      </c>
      <c r="D15" s="608">
        <f>SUM(B15:C15)</f>
        <v>4.9929722920360069</v>
      </c>
      <c r="F15" s="609"/>
    </row>
    <row r="16" spans="1:12">
      <c r="A16" s="601"/>
      <c r="B16" s="608"/>
      <c r="C16" s="608"/>
      <c r="D16" s="608"/>
    </row>
    <row r="17" spans="1:4">
      <c r="A17" s="600" t="s">
        <v>424</v>
      </c>
      <c r="B17" s="608"/>
      <c r="C17" s="608"/>
      <c r="D17" s="608"/>
    </row>
    <row r="18" spans="1:4">
      <c r="A18" s="601" t="s">
        <v>425</v>
      </c>
      <c r="B18" s="608">
        <v>19.41</v>
      </c>
      <c r="C18" s="608">
        <f>B18*$C$2</f>
        <v>2.9203207807416827</v>
      </c>
      <c r="D18" s="608">
        <f t="shared" ref="D18:D19" si="1">SUM(B18:C18)</f>
        <v>22.330320780741683</v>
      </c>
    </row>
    <row r="19" spans="1:4">
      <c r="A19" s="601" t="s">
        <v>426</v>
      </c>
      <c r="B19" s="608">
        <v>19.41</v>
      </c>
      <c r="C19" s="608">
        <f>B19*$C$2</f>
        <v>2.9203207807416827</v>
      </c>
      <c r="D19" s="608">
        <f t="shared" si="1"/>
        <v>22.330320780741683</v>
      </c>
    </row>
    <row r="20" spans="1:4">
      <c r="A20" s="601"/>
      <c r="B20" s="608"/>
      <c r="C20" s="608"/>
      <c r="D20" s="608"/>
    </row>
    <row r="21" spans="1:4">
      <c r="A21" s="600" t="s">
        <v>427</v>
      </c>
      <c r="B21" s="608"/>
      <c r="C21" s="608"/>
      <c r="D21" s="608"/>
    </row>
    <row r="22" spans="1:4">
      <c r="A22" s="602" t="s">
        <v>428</v>
      </c>
      <c r="B22" s="608"/>
      <c r="C22" s="608"/>
      <c r="D22" s="608"/>
    </row>
    <row r="23" spans="1:4">
      <c r="A23" s="601" t="s">
        <v>429</v>
      </c>
      <c r="B23" s="608">
        <v>3.71</v>
      </c>
      <c r="C23" s="608">
        <f>B23*$C$2</f>
        <v>0.5581859915791676</v>
      </c>
      <c r="D23" s="608">
        <f t="shared" ref="D23:D25" si="2">SUM(B23:C23)</f>
        <v>4.268185991579168</v>
      </c>
    </row>
    <row r="24" spans="1:4">
      <c r="A24" s="601" t="s">
        <v>16</v>
      </c>
      <c r="B24" s="608">
        <v>51.76</v>
      </c>
      <c r="C24" s="608">
        <f>B24*$C$2</f>
        <v>7.7875220819778201</v>
      </c>
      <c r="D24" s="608">
        <f t="shared" si="2"/>
        <v>59.547522081977817</v>
      </c>
    </row>
    <row r="25" spans="1:4">
      <c r="A25" s="601" t="s">
        <v>430</v>
      </c>
      <c r="B25" s="608">
        <v>5.59</v>
      </c>
      <c r="C25" s="608">
        <f>B25*$C$2</f>
        <v>0.84104034849799103</v>
      </c>
      <c r="D25" s="608">
        <f t="shared" si="2"/>
        <v>6.4310403484979908</v>
      </c>
    </row>
    <row r="26" spans="1:4">
      <c r="A26" s="601" t="s">
        <v>431</v>
      </c>
      <c r="B26" s="608">
        <v>5.59</v>
      </c>
      <c r="C26" s="608">
        <f>B26*$C$2</f>
        <v>0.84104034849799103</v>
      </c>
      <c r="D26" s="608">
        <f>D25</f>
        <v>6.4310403484979908</v>
      </c>
    </row>
    <row r="27" spans="1:4">
      <c r="A27" s="601" t="s">
        <v>432</v>
      </c>
      <c r="B27" s="608">
        <v>5.59</v>
      </c>
      <c r="C27" s="608">
        <f t="shared" ref="C27" si="3">B27*$C$2</f>
        <v>0.84104034849799103</v>
      </c>
      <c r="D27" s="608">
        <f>D25</f>
        <v>6.4310403484979908</v>
      </c>
    </row>
    <row r="28" spans="1:4">
      <c r="A28" s="601"/>
      <c r="B28" s="608"/>
      <c r="C28" s="608"/>
      <c r="D28" s="608"/>
    </row>
    <row r="29" spans="1:4">
      <c r="A29" s="600" t="s">
        <v>433</v>
      </c>
      <c r="B29" s="608"/>
      <c r="C29" s="608"/>
      <c r="D29" s="608"/>
    </row>
    <row r="30" spans="1:4">
      <c r="A30" s="602" t="s">
        <v>434</v>
      </c>
      <c r="B30" s="608"/>
      <c r="C30" s="608"/>
      <c r="D30" s="608"/>
    </row>
    <row r="31" spans="1:4">
      <c r="A31" s="601" t="s">
        <v>435</v>
      </c>
      <c r="B31" s="608">
        <v>2.71</v>
      </c>
      <c r="C31" s="608">
        <f>B31*$C$2</f>
        <v>0.40773154640958065</v>
      </c>
      <c r="D31" s="608">
        <f t="shared" ref="D31:D32" si="4">SUM(B31:C31)</f>
        <v>3.1177315464095807</v>
      </c>
    </row>
    <row r="32" spans="1:4">
      <c r="A32" s="601" t="s">
        <v>436</v>
      </c>
      <c r="B32" s="608">
        <v>2.71</v>
      </c>
      <c r="C32" s="608">
        <f>B32*$C$2</f>
        <v>0.40773154640958065</v>
      </c>
      <c r="D32" s="608">
        <f t="shared" si="4"/>
        <v>3.1177315464095807</v>
      </c>
    </row>
    <row r="33" spans="1:4">
      <c r="A33" s="601"/>
      <c r="B33" s="608"/>
      <c r="C33" s="608"/>
      <c r="D33" s="608"/>
    </row>
    <row r="34" spans="1:4">
      <c r="A34" s="601" t="s">
        <v>435</v>
      </c>
      <c r="B34" s="610">
        <v>0.94</v>
      </c>
      <c r="C34" s="608">
        <f>B34*$C$2</f>
        <v>0.14142717845941172</v>
      </c>
      <c r="D34" s="608">
        <f t="shared" ref="D34:D35" si="5">SUM(B34:C34)</f>
        <v>1.0814271784594116</v>
      </c>
    </row>
    <row r="35" spans="1:4">
      <c r="A35" s="601" t="s">
        <v>436</v>
      </c>
      <c r="B35" s="610">
        <v>0.94</v>
      </c>
      <c r="C35" s="608">
        <f>B35*$C$2</f>
        <v>0.14142717845941172</v>
      </c>
      <c r="D35" s="608">
        <f t="shared" si="5"/>
        <v>1.0814271784594116</v>
      </c>
    </row>
    <row r="36" spans="1:4">
      <c r="A36" s="601"/>
      <c r="B36" s="608"/>
      <c r="C36" s="608"/>
      <c r="D36" s="608"/>
    </row>
    <row r="37" spans="1:4">
      <c r="A37" s="600" t="s">
        <v>437</v>
      </c>
      <c r="B37" s="608"/>
      <c r="C37" s="608"/>
      <c r="D37" s="608"/>
    </row>
    <row r="38" spans="1:4">
      <c r="A38" s="601" t="s">
        <v>1330</v>
      </c>
      <c r="B38" s="608">
        <v>5.41</v>
      </c>
      <c r="C38" s="608">
        <f>B38*$C$2</f>
        <v>0.8139585483674654</v>
      </c>
      <c r="D38" s="608">
        <f t="shared" ref="D38:D39" si="6">SUM(B38:C38)</f>
        <v>6.2239585483674658</v>
      </c>
    </row>
    <row r="39" spans="1:4">
      <c r="A39" s="601" t="s">
        <v>1316</v>
      </c>
      <c r="B39" s="608">
        <f>B38</f>
        <v>5.41</v>
      </c>
      <c r="C39" s="608">
        <f>B39*$C$2</f>
        <v>0.8139585483674654</v>
      </c>
      <c r="D39" s="608">
        <f t="shared" si="6"/>
        <v>6.2239585483674658</v>
      </c>
    </row>
    <row r="40" spans="1:4">
      <c r="A40" s="601"/>
      <c r="B40" s="608"/>
      <c r="C40" s="608"/>
      <c r="D40" s="608"/>
    </row>
    <row r="41" spans="1:4">
      <c r="A41" s="601" t="s">
        <v>1331</v>
      </c>
      <c r="B41" s="610">
        <v>2</v>
      </c>
      <c r="C41" s="608">
        <f>B41*$C$2</f>
        <v>0.3009088903391739</v>
      </c>
      <c r="D41" s="608">
        <f t="shared" ref="D41:D42" si="7">SUM(B41:C41)</f>
        <v>2.3009088903391737</v>
      </c>
    </row>
    <row r="42" spans="1:4">
      <c r="A42" s="601" t="s">
        <v>1329</v>
      </c>
      <c r="B42" s="610">
        <f>B41</f>
        <v>2</v>
      </c>
      <c r="C42" s="608">
        <f>B42*$C$2</f>
        <v>0.3009088903391739</v>
      </c>
      <c r="D42" s="608">
        <f t="shared" si="7"/>
        <v>2.3009088903391737</v>
      </c>
    </row>
    <row r="43" spans="1:4">
      <c r="A43" s="601"/>
      <c r="B43" s="608"/>
      <c r="C43" s="608"/>
      <c r="D43" s="608"/>
    </row>
    <row r="44" spans="1:4">
      <c r="A44" s="600" t="s">
        <v>439</v>
      </c>
      <c r="B44" s="608"/>
      <c r="C44" s="608"/>
      <c r="D44" s="608"/>
    </row>
    <row r="45" spans="1:4">
      <c r="A45" s="601" t="s">
        <v>440</v>
      </c>
      <c r="B45" s="608">
        <v>0.47</v>
      </c>
      <c r="C45" s="608">
        <f>B45*$C$2</f>
        <v>7.0713589229705859E-2</v>
      </c>
      <c r="D45" s="608">
        <f t="shared" ref="D45:D47" si="8">SUM(B45:C45)</f>
        <v>0.5407135892297058</v>
      </c>
    </row>
    <row r="46" spans="1:4">
      <c r="A46" s="601" t="s">
        <v>441</v>
      </c>
      <c r="B46" s="608">
        <v>2.71</v>
      </c>
      <c r="C46" s="608">
        <f>B46*$C$2</f>
        <v>0.40773154640958065</v>
      </c>
      <c r="D46" s="608">
        <f t="shared" si="8"/>
        <v>3.1177315464095807</v>
      </c>
    </row>
    <row r="47" spans="1:4">
      <c r="A47" s="601" t="s">
        <v>442</v>
      </c>
      <c r="B47" s="608">
        <v>2.71</v>
      </c>
      <c r="C47" s="608">
        <f>B47*$C$2</f>
        <v>0.40773154640958065</v>
      </c>
      <c r="D47" s="608">
        <f t="shared" si="8"/>
        <v>3.1177315464095807</v>
      </c>
    </row>
    <row r="48" spans="1:4">
      <c r="A48" s="601"/>
      <c r="B48" s="608"/>
      <c r="C48" s="608"/>
      <c r="D48" s="608"/>
    </row>
    <row r="49" spans="1:6">
      <c r="A49" s="601" t="s">
        <v>440</v>
      </c>
      <c r="B49" s="611">
        <v>0.18</v>
      </c>
      <c r="C49" s="608">
        <f>B49*$C$2</f>
        <v>2.7081800130525649E-2</v>
      </c>
      <c r="D49" s="608">
        <f t="shared" ref="D49:D51" si="9">SUM(B49:C49)</f>
        <v>0.20708180013052563</v>
      </c>
    </row>
    <row r="50" spans="1:6">
      <c r="A50" s="601" t="s">
        <v>443</v>
      </c>
      <c r="B50" s="610">
        <v>0.94</v>
      </c>
      <c r="C50" s="608">
        <f>B50*$C$2</f>
        <v>0.14142717845941172</v>
      </c>
      <c r="D50" s="608">
        <f t="shared" si="9"/>
        <v>1.0814271784594116</v>
      </c>
    </row>
    <row r="51" spans="1:6">
      <c r="A51" s="601" t="s">
        <v>442</v>
      </c>
      <c r="B51" s="610">
        <v>0.94</v>
      </c>
      <c r="C51" s="608">
        <f>B51*$C$2</f>
        <v>0.14142717845941172</v>
      </c>
      <c r="D51" s="608">
        <f t="shared" si="9"/>
        <v>1.0814271784594116</v>
      </c>
    </row>
    <row r="52" spans="1:6">
      <c r="A52" s="601"/>
      <c r="B52" s="608"/>
      <c r="C52" s="608"/>
      <c r="D52" s="608"/>
    </row>
    <row r="53" spans="1:6">
      <c r="A53" s="600" t="s">
        <v>444</v>
      </c>
      <c r="B53" s="608"/>
      <c r="C53" s="608"/>
      <c r="D53" s="608"/>
    </row>
    <row r="54" spans="1:6">
      <c r="A54" s="601" t="s">
        <v>445</v>
      </c>
      <c r="B54" s="608">
        <v>16.88</v>
      </c>
      <c r="C54" s="608">
        <f t="shared" ref="C54:C62" si="10">B54*$C$2</f>
        <v>2.5396710344626277</v>
      </c>
      <c r="D54" s="608">
        <f t="shared" ref="D54:D67" si="11">SUM(B54:C54)</f>
        <v>19.419671034462628</v>
      </c>
      <c r="F54" s="609"/>
    </row>
    <row r="55" spans="1:6">
      <c r="A55" s="601" t="s">
        <v>1317</v>
      </c>
      <c r="B55" s="608">
        <v>6.18</v>
      </c>
      <c r="C55" s="608">
        <f t="shared" si="10"/>
        <v>0.92980847114804732</v>
      </c>
      <c r="D55" s="608">
        <f t="shared" si="11"/>
        <v>7.1098084711480469</v>
      </c>
      <c r="F55" s="609"/>
    </row>
    <row r="56" spans="1:6">
      <c r="A56" s="601" t="s">
        <v>1318</v>
      </c>
      <c r="B56" s="608">
        <v>12.36</v>
      </c>
      <c r="C56" s="608">
        <f t="shared" si="10"/>
        <v>1.8596169422960946</v>
      </c>
      <c r="D56" s="608">
        <f t="shared" si="11"/>
        <v>14.219616942296094</v>
      </c>
      <c r="F56" s="609"/>
    </row>
    <row r="57" spans="1:6">
      <c r="A57" s="601" t="s">
        <v>1319</v>
      </c>
      <c r="B57" s="608">
        <v>19.54</v>
      </c>
      <c r="C57" s="608">
        <f t="shared" si="10"/>
        <v>2.9398798586137289</v>
      </c>
      <c r="D57" s="608">
        <f t="shared" si="11"/>
        <v>22.479879858613728</v>
      </c>
      <c r="F57" s="609"/>
    </row>
    <row r="58" spans="1:6">
      <c r="A58" s="601" t="s">
        <v>446</v>
      </c>
      <c r="B58" s="608">
        <v>26.77</v>
      </c>
      <c r="C58" s="608">
        <f t="shared" si="10"/>
        <v>4.0276654971898429</v>
      </c>
      <c r="D58" s="608">
        <f t="shared" si="11"/>
        <v>30.797665497189843</v>
      </c>
      <c r="F58" s="609"/>
    </row>
    <row r="59" spans="1:6">
      <c r="A59" s="601" t="s">
        <v>447</v>
      </c>
      <c r="B59" s="608">
        <v>34.880000000000003</v>
      </c>
      <c r="C59" s="608">
        <f t="shared" si="10"/>
        <v>5.2478510475151934</v>
      </c>
      <c r="D59" s="608">
        <f t="shared" si="11"/>
        <v>40.127851047515193</v>
      </c>
      <c r="F59" s="609"/>
    </row>
    <row r="60" spans="1:6">
      <c r="A60" s="601" t="s">
        <v>448</v>
      </c>
      <c r="B60" s="608">
        <v>42.46</v>
      </c>
      <c r="C60" s="608">
        <f t="shared" si="10"/>
        <v>6.3882957419006621</v>
      </c>
      <c r="D60" s="608">
        <f t="shared" si="11"/>
        <v>48.848295741900664</v>
      </c>
      <c r="F60" s="609"/>
    </row>
    <row r="61" spans="1:6">
      <c r="A61" s="601" t="s">
        <v>449</v>
      </c>
      <c r="B61" s="608">
        <v>51.46</v>
      </c>
      <c r="C61" s="608">
        <f t="shared" si="10"/>
        <v>7.742385748426944</v>
      </c>
      <c r="D61" s="608">
        <f t="shared" si="11"/>
        <v>59.202385748426948</v>
      </c>
      <c r="F61" s="609"/>
    </row>
    <row r="62" spans="1:6">
      <c r="A62" s="601" t="s">
        <v>450</v>
      </c>
      <c r="B62" s="608">
        <v>61.1</v>
      </c>
      <c r="C62" s="608">
        <f t="shared" si="10"/>
        <v>9.1927665998617627</v>
      </c>
      <c r="D62" s="608">
        <f t="shared" si="11"/>
        <v>70.292766599861764</v>
      </c>
      <c r="F62" s="609"/>
    </row>
    <row r="63" spans="1:6">
      <c r="A63" s="601"/>
      <c r="B63" s="608"/>
      <c r="C63" s="608"/>
      <c r="D63" s="608"/>
    </row>
    <row r="64" spans="1:6">
      <c r="A64" s="601" t="s">
        <v>1333</v>
      </c>
      <c r="B64" s="608">
        <v>31.61</v>
      </c>
      <c r="C64" s="608">
        <f t="shared" ref="C64:C67" si="12">B64*$C$2</f>
        <v>4.7558650118106431</v>
      </c>
      <c r="D64" s="608">
        <f t="shared" si="11"/>
        <v>36.365865011810641</v>
      </c>
      <c r="F64" s="609"/>
    </row>
    <row r="65" spans="1:6">
      <c r="A65" s="601" t="s">
        <v>1334</v>
      </c>
      <c r="B65" s="608">
        <v>63.19</v>
      </c>
      <c r="C65" s="608">
        <f t="shared" si="12"/>
        <v>9.5072163902661995</v>
      </c>
      <c r="D65" s="608">
        <f t="shared" si="11"/>
        <v>72.697216390266192</v>
      </c>
      <c r="E65" s="612"/>
      <c r="F65" s="609"/>
    </row>
    <row r="66" spans="1:6">
      <c r="A66" s="601" t="s">
        <v>1335</v>
      </c>
      <c r="B66" s="608">
        <v>39.44</v>
      </c>
      <c r="C66" s="608">
        <f t="shared" si="12"/>
        <v>5.9339233174885093</v>
      </c>
      <c r="D66" s="608">
        <f t="shared" si="11"/>
        <v>45.373923317488504</v>
      </c>
      <c r="F66" s="609"/>
    </row>
    <row r="67" spans="1:6">
      <c r="A67" s="601" t="s">
        <v>1332</v>
      </c>
      <c r="B67" s="608">
        <v>33.99</v>
      </c>
      <c r="C67" s="608">
        <f t="shared" si="12"/>
        <v>5.113946591314261</v>
      </c>
      <c r="D67" s="608">
        <f t="shared" si="11"/>
        <v>39.103946591314262</v>
      </c>
      <c r="F67" s="609"/>
    </row>
    <row r="68" spans="1:6">
      <c r="A68" s="601"/>
      <c r="B68" s="608"/>
      <c r="C68" s="608"/>
      <c r="D68" s="608"/>
      <c r="F68" s="609"/>
    </row>
    <row r="69" spans="1:6">
      <c r="A69" s="601" t="s">
        <v>451</v>
      </c>
      <c r="B69" s="608">
        <v>4.71</v>
      </c>
      <c r="C69" s="608">
        <f>B69*$C$2</f>
        <v>0.70864043674875454</v>
      </c>
      <c r="D69" s="608">
        <f>SUM(B69:C69)</f>
        <v>5.4186404367487544</v>
      </c>
      <c r="F69" s="609"/>
    </row>
    <row r="70" spans="1:6">
      <c r="A70" s="601"/>
      <c r="B70" s="608"/>
      <c r="C70" s="608"/>
      <c r="D70" s="608"/>
    </row>
    <row r="71" spans="1:6">
      <c r="A71" s="600" t="s">
        <v>452</v>
      </c>
      <c r="B71" s="608"/>
      <c r="C71" s="608"/>
      <c r="D71" s="608"/>
    </row>
    <row r="72" spans="1:6">
      <c r="A72" s="601" t="s">
        <v>453</v>
      </c>
      <c r="B72" s="608">
        <v>4.54</v>
      </c>
      <c r="C72" s="608">
        <f t="shared" ref="C72:C76" si="13">B72*$C$2</f>
        <v>0.6830631810699247</v>
      </c>
      <c r="D72" s="608">
        <f t="shared" ref="D72:D76" si="14">SUM(B72:C72)</f>
        <v>5.2230631810699251</v>
      </c>
      <c r="F72" s="609"/>
    </row>
    <row r="73" spans="1:6">
      <c r="A73" s="601" t="s">
        <v>454</v>
      </c>
      <c r="B73" s="608">
        <v>8.4499999999999993</v>
      </c>
      <c r="C73" s="608">
        <f t="shared" si="13"/>
        <v>1.2713400616830095</v>
      </c>
      <c r="D73" s="608">
        <f t="shared" si="14"/>
        <v>9.7213400616830086</v>
      </c>
      <c r="F73" s="609"/>
    </row>
    <row r="74" spans="1:6">
      <c r="A74" s="601" t="s">
        <v>455</v>
      </c>
      <c r="B74" s="608">
        <v>10.25</v>
      </c>
      <c r="C74" s="608">
        <f t="shared" si="13"/>
        <v>1.5421580629882663</v>
      </c>
      <c r="D74" s="608">
        <f t="shared" si="14"/>
        <v>11.792158062988266</v>
      </c>
      <c r="F74" s="609"/>
    </row>
    <row r="75" spans="1:6">
      <c r="A75" s="601"/>
      <c r="B75" s="608"/>
      <c r="C75" s="608"/>
      <c r="D75" s="608"/>
      <c r="F75" s="609"/>
    </row>
    <row r="76" spans="1:6">
      <c r="A76" s="601" t="s">
        <v>1336</v>
      </c>
      <c r="B76" s="608">
        <v>6.18</v>
      </c>
      <c r="C76" s="608">
        <f t="shared" si="13"/>
        <v>0.92980847114804732</v>
      </c>
      <c r="D76" s="608">
        <f t="shared" si="14"/>
        <v>7.1098084711480469</v>
      </c>
      <c r="F76" s="609"/>
    </row>
    <row r="77" spans="1:6">
      <c r="A77" s="601"/>
      <c r="B77" s="608"/>
      <c r="C77" s="608"/>
      <c r="D77" s="608"/>
    </row>
    <row r="78" spans="1:6">
      <c r="A78" s="600" t="s">
        <v>456</v>
      </c>
      <c r="B78" s="608"/>
      <c r="C78" s="608"/>
      <c r="D78" s="608"/>
    </row>
    <row r="79" spans="1:6">
      <c r="A79" s="601"/>
      <c r="B79" s="608"/>
      <c r="C79" s="608"/>
      <c r="D79" s="608"/>
    </row>
    <row r="80" spans="1:6">
      <c r="A80" s="600" t="s">
        <v>457</v>
      </c>
      <c r="B80" s="608"/>
      <c r="C80" s="608"/>
      <c r="D80" s="608"/>
    </row>
    <row r="81" spans="1:6">
      <c r="A81" s="601"/>
      <c r="B81" s="608"/>
      <c r="C81" s="608"/>
      <c r="D81" s="608"/>
    </row>
    <row r="82" spans="1:6">
      <c r="A82" s="600" t="s">
        <v>458</v>
      </c>
      <c r="B82" s="608"/>
      <c r="C82" s="608"/>
      <c r="D82" s="608"/>
    </row>
    <row r="83" spans="1:6">
      <c r="A83" s="601" t="s">
        <v>459</v>
      </c>
      <c r="B83" s="608">
        <v>17.739999999999998</v>
      </c>
      <c r="C83" s="608">
        <f t="shared" ref="C83:C90" si="15">B83*$C$2</f>
        <v>2.6690618573084723</v>
      </c>
      <c r="D83" s="608">
        <f t="shared" ref="D83:D90" si="16">SUM(B83:C83)</f>
        <v>20.409061857308473</v>
      </c>
      <c r="F83" s="609"/>
    </row>
    <row r="84" spans="1:6">
      <c r="A84" s="601" t="s">
        <v>460</v>
      </c>
      <c r="B84" s="608">
        <v>17.739999999999998</v>
      </c>
      <c r="C84" s="608">
        <f t="shared" si="15"/>
        <v>2.6690618573084723</v>
      </c>
      <c r="D84" s="608">
        <f t="shared" si="16"/>
        <v>20.409061857308473</v>
      </c>
      <c r="F84" s="609"/>
    </row>
    <row r="85" spans="1:6">
      <c r="A85" s="601" t="s">
        <v>461</v>
      </c>
      <c r="B85" s="608">
        <v>17.739999999999998</v>
      </c>
      <c r="C85" s="608">
        <f t="shared" si="15"/>
        <v>2.6690618573084723</v>
      </c>
      <c r="D85" s="608">
        <f t="shared" si="16"/>
        <v>20.409061857308473</v>
      </c>
      <c r="F85" s="609"/>
    </row>
    <row r="86" spans="1:6">
      <c r="A86" s="601" t="s">
        <v>462</v>
      </c>
      <c r="B86" s="608">
        <v>17.739999999999998</v>
      </c>
      <c r="C86" s="608">
        <f t="shared" si="15"/>
        <v>2.6690618573084723</v>
      </c>
      <c r="D86" s="608">
        <f t="shared" si="16"/>
        <v>20.409061857308473</v>
      </c>
      <c r="F86" s="609"/>
    </row>
    <row r="87" spans="1:6">
      <c r="A87" s="601" t="s">
        <v>463</v>
      </c>
      <c r="B87" s="608">
        <v>17.739999999999998</v>
      </c>
      <c r="C87" s="608">
        <f t="shared" si="15"/>
        <v>2.6690618573084723</v>
      </c>
      <c r="D87" s="608">
        <f t="shared" si="16"/>
        <v>20.409061857308473</v>
      </c>
      <c r="F87" s="609"/>
    </row>
    <row r="88" spans="1:6">
      <c r="A88" s="601" t="s">
        <v>463</v>
      </c>
      <c r="B88" s="608">
        <v>17.739999999999998</v>
      </c>
      <c r="C88" s="608">
        <f t="shared" si="15"/>
        <v>2.6690618573084723</v>
      </c>
      <c r="D88" s="608">
        <f t="shared" si="16"/>
        <v>20.409061857308473</v>
      </c>
      <c r="F88" s="609"/>
    </row>
    <row r="89" spans="1:6">
      <c r="A89" s="601" t="s">
        <v>464</v>
      </c>
      <c r="B89" s="608">
        <v>9.23</v>
      </c>
      <c r="C89" s="608">
        <f t="shared" si="15"/>
        <v>1.3886945289152877</v>
      </c>
      <c r="D89" s="608">
        <f t="shared" si="16"/>
        <v>10.618694528915288</v>
      </c>
    </row>
    <row r="90" spans="1:6">
      <c r="A90" s="601" t="s">
        <v>464</v>
      </c>
      <c r="B90" s="608">
        <v>9.23</v>
      </c>
      <c r="C90" s="608">
        <f t="shared" si="15"/>
        <v>1.3886945289152877</v>
      </c>
      <c r="D90" s="608">
        <f t="shared" si="16"/>
        <v>10.618694528915288</v>
      </c>
    </row>
    <row r="91" spans="1:6">
      <c r="A91" s="601"/>
      <c r="B91" s="608"/>
      <c r="C91" s="608"/>
      <c r="D91" s="608"/>
    </row>
    <row r="92" spans="1:6">
      <c r="A92" s="600" t="s">
        <v>465</v>
      </c>
      <c r="B92" s="608"/>
      <c r="C92" s="608"/>
      <c r="D92" s="608"/>
    </row>
    <row r="93" spans="1:6">
      <c r="A93" s="601" t="s">
        <v>466</v>
      </c>
      <c r="B93" s="608"/>
      <c r="C93" s="608"/>
      <c r="D93" s="608"/>
    </row>
    <row r="94" spans="1:6">
      <c r="A94" s="601" t="s">
        <v>467</v>
      </c>
      <c r="B94" s="608">
        <v>76.52</v>
      </c>
      <c r="C94" s="608">
        <f t="shared" ref="C94:C97" si="17">B94*$C$2</f>
        <v>11.512774144376793</v>
      </c>
      <c r="D94" s="608">
        <f t="shared" ref="D94:D97" si="18">SUM(B94:C94)</f>
        <v>88.032774144376788</v>
      </c>
    </row>
    <row r="95" spans="1:6">
      <c r="A95" s="601" t="s">
        <v>468</v>
      </c>
      <c r="B95" s="608">
        <v>88.82</v>
      </c>
      <c r="C95" s="608">
        <f t="shared" si="17"/>
        <v>13.363363819962712</v>
      </c>
      <c r="D95" s="608">
        <f t="shared" si="18"/>
        <v>102.18336381996271</v>
      </c>
    </row>
    <row r="96" spans="1:6">
      <c r="A96" s="601" t="s">
        <v>469</v>
      </c>
      <c r="B96" s="608">
        <v>92.52</v>
      </c>
      <c r="C96" s="608">
        <f t="shared" si="17"/>
        <v>13.920045267090185</v>
      </c>
      <c r="D96" s="608">
        <f t="shared" si="18"/>
        <v>106.44004526709018</v>
      </c>
    </row>
    <row r="97" spans="1:4">
      <c r="A97" s="601" t="s">
        <v>470</v>
      </c>
      <c r="B97" s="608">
        <v>29.64</v>
      </c>
      <c r="C97" s="608">
        <f t="shared" si="17"/>
        <v>4.4594697548265572</v>
      </c>
      <c r="D97" s="608">
        <f t="shared" si="18"/>
        <v>34.099469754826558</v>
      </c>
    </row>
    <row r="98" spans="1:4">
      <c r="A98" s="601"/>
      <c r="B98" s="608"/>
      <c r="C98" s="608"/>
      <c r="D98" s="608"/>
    </row>
    <row r="99" spans="1:4">
      <c r="A99" s="601" t="s">
        <v>471</v>
      </c>
      <c r="B99" s="608"/>
      <c r="C99" s="608"/>
      <c r="D99" s="608"/>
    </row>
    <row r="100" spans="1:4">
      <c r="A100" s="601" t="s">
        <v>468</v>
      </c>
      <c r="B100" s="608">
        <v>96.23</v>
      </c>
      <c r="C100" s="608">
        <f t="shared" ref="C100:C102" si="19">B100*$C$2</f>
        <v>14.478231258669352</v>
      </c>
      <c r="D100" s="608">
        <f t="shared" ref="D100:D102" si="20">SUM(B100:C100)</f>
        <v>110.70823125866936</v>
      </c>
    </row>
    <row r="101" spans="1:4">
      <c r="A101" s="601" t="s">
        <v>469</v>
      </c>
      <c r="B101" s="608">
        <v>107.28</v>
      </c>
      <c r="C101" s="608">
        <f t="shared" si="19"/>
        <v>16.14075287779329</v>
      </c>
      <c r="D101" s="608">
        <f t="shared" si="20"/>
        <v>123.42075287779329</v>
      </c>
    </row>
    <row r="102" spans="1:4">
      <c r="A102" s="601" t="s">
        <v>470</v>
      </c>
      <c r="B102" s="608">
        <v>29.64</v>
      </c>
      <c r="C102" s="608">
        <f t="shared" si="19"/>
        <v>4.4594697548265572</v>
      </c>
      <c r="D102" s="608">
        <f t="shared" si="20"/>
        <v>34.099469754826558</v>
      </c>
    </row>
    <row r="103" spans="1:4">
      <c r="A103" s="601"/>
      <c r="B103" s="608"/>
      <c r="C103" s="608"/>
      <c r="D103" s="608"/>
    </row>
    <row r="104" spans="1:4">
      <c r="A104" s="600" t="s">
        <v>472</v>
      </c>
      <c r="B104" s="608"/>
      <c r="C104" s="608"/>
      <c r="D104" s="608"/>
    </row>
    <row r="105" spans="1:4">
      <c r="A105" s="601" t="s">
        <v>473</v>
      </c>
      <c r="B105" s="608"/>
      <c r="C105" s="608"/>
      <c r="D105" s="608"/>
    </row>
    <row r="106" spans="1:4">
      <c r="A106" s="601" t="s">
        <v>474</v>
      </c>
      <c r="B106" s="608">
        <v>3.76</v>
      </c>
      <c r="C106" s="608">
        <f>B106*$C$2</f>
        <v>0.56570871383764687</v>
      </c>
      <c r="D106" s="608">
        <f t="shared" ref="D106" si="21">SUM(B106:C106)</f>
        <v>4.3257087138376464</v>
      </c>
    </row>
    <row r="107" spans="1:4">
      <c r="A107" s="601"/>
      <c r="B107" s="608"/>
      <c r="C107" s="608"/>
      <c r="D107" s="608"/>
    </row>
    <row r="108" spans="1:4">
      <c r="A108" s="600" t="s">
        <v>475</v>
      </c>
      <c r="B108" s="608"/>
      <c r="C108" s="608"/>
      <c r="D108" s="608"/>
    </row>
    <row r="109" spans="1:4">
      <c r="A109" s="601" t="s">
        <v>476</v>
      </c>
      <c r="B109" s="608">
        <v>4.71</v>
      </c>
      <c r="C109" s="608">
        <f t="shared" ref="C109:C114" si="22">B109*$C$2</f>
        <v>0.70864043674875454</v>
      </c>
      <c r="D109" s="608">
        <f t="shared" ref="D109:D114" si="23">SUM(B109:C109)</f>
        <v>5.4186404367487544</v>
      </c>
    </row>
    <row r="110" spans="1:4">
      <c r="A110" s="601" t="s">
        <v>463</v>
      </c>
      <c r="B110" s="608">
        <v>18.84</v>
      </c>
      <c r="C110" s="608">
        <f t="shared" si="22"/>
        <v>2.8345617469950182</v>
      </c>
      <c r="D110" s="608">
        <f t="shared" si="23"/>
        <v>21.674561746995018</v>
      </c>
    </row>
    <row r="111" spans="1:4">
      <c r="A111" s="601" t="s">
        <v>477</v>
      </c>
      <c r="B111" s="608">
        <v>4.71</v>
      </c>
      <c r="C111" s="608">
        <f t="shared" si="22"/>
        <v>0.70864043674875454</v>
      </c>
      <c r="D111" s="608">
        <f t="shared" si="23"/>
        <v>5.4186404367487544</v>
      </c>
    </row>
    <row r="112" spans="1:4">
      <c r="A112" s="601" t="s">
        <v>463</v>
      </c>
      <c r="B112" s="608">
        <v>18.84</v>
      </c>
      <c r="C112" s="608">
        <f t="shared" si="22"/>
        <v>2.8345617469950182</v>
      </c>
      <c r="D112" s="608">
        <f t="shared" si="23"/>
        <v>21.674561746995018</v>
      </c>
    </row>
    <row r="113" spans="1:6">
      <c r="A113" s="601" t="s">
        <v>478</v>
      </c>
      <c r="B113" s="608">
        <v>4.71</v>
      </c>
      <c r="C113" s="608">
        <f t="shared" si="22"/>
        <v>0.70864043674875454</v>
      </c>
      <c r="D113" s="608">
        <f t="shared" si="23"/>
        <v>5.4186404367487544</v>
      </c>
    </row>
    <row r="114" spans="1:6">
      <c r="A114" s="601" t="s">
        <v>463</v>
      </c>
      <c r="B114" s="608">
        <v>18.84</v>
      </c>
      <c r="C114" s="608">
        <f t="shared" si="22"/>
        <v>2.8345617469950182</v>
      </c>
      <c r="D114" s="608">
        <f t="shared" si="23"/>
        <v>21.674561746995018</v>
      </c>
    </row>
    <row r="115" spans="1:6">
      <c r="A115" s="601"/>
      <c r="B115" s="608"/>
      <c r="C115" s="608"/>
      <c r="D115" s="608"/>
    </row>
    <row r="116" spans="1:6">
      <c r="A116" s="601" t="s">
        <v>479</v>
      </c>
      <c r="B116" s="608"/>
      <c r="C116" s="608"/>
      <c r="D116" s="608"/>
    </row>
    <row r="117" spans="1:6">
      <c r="A117" s="601" t="s">
        <v>480</v>
      </c>
      <c r="B117" s="608">
        <v>16.82</v>
      </c>
      <c r="C117" s="608">
        <f t="shared" ref="C117:C118" si="24">B117*$C$2</f>
        <v>2.5306437677524527</v>
      </c>
      <c r="D117" s="608">
        <f t="shared" ref="D117:D118" si="25">SUM(B117:C117)</f>
        <v>19.350643767752452</v>
      </c>
    </row>
    <row r="118" spans="1:6">
      <c r="A118" s="601" t="s">
        <v>481</v>
      </c>
      <c r="B118" s="608">
        <v>70.11</v>
      </c>
      <c r="C118" s="608">
        <f t="shared" si="24"/>
        <v>10.548361150839741</v>
      </c>
      <c r="D118" s="608">
        <f t="shared" si="25"/>
        <v>80.658361150839738</v>
      </c>
    </row>
    <row r="119" spans="1:6">
      <c r="A119" s="601"/>
      <c r="B119" s="608"/>
      <c r="C119" s="608"/>
      <c r="D119" s="608"/>
    </row>
    <row r="120" spans="1:6">
      <c r="A120" s="600" t="s">
        <v>482</v>
      </c>
      <c r="B120" s="608"/>
      <c r="C120" s="608"/>
      <c r="D120" s="608"/>
    </row>
    <row r="121" spans="1:6">
      <c r="A121" s="601" t="s">
        <v>483</v>
      </c>
      <c r="B121" s="608">
        <v>3.11</v>
      </c>
      <c r="C121" s="608"/>
      <c r="D121" s="608">
        <f t="shared" ref="D121:D124" si="26">SUM(B121:C121)</f>
        <v>3.11</v>
      </c>
    </row>
    <row r="122" spans="1:6">
      <c r="A122" s="601" t="s">
        <v>484</v>
      </c>
      <c r="B122" s="608">
        <v>13</v>
      </c>
      <c r="C122" s="608"/>
      <c r="D122" s="608">
        <f t="shared" si="26"/>
        <v>13</v>
      </c>
    </row>
    <row r="123" spans="1:6">
      <c r="A123" s="601"/>
      <c r="B123" s="608"/>
      <c r="C123" s="608"/>
      <c r="D123" s="608"/>
    </row>
    <row r="124" spans="1:6">
      <c r="A124" s="601" t="s">
        <v>485</v>
      </c>
      <c r="B124" s="608">
        <v>71.16</v>
      </c>
      <c r="C124" s="608"/>
      <c r="D124" s="608">
        <f t="shared" si="26"/>
        <v>71.16</v>
      </c>
      <c r="F124" s="613"/>
    </row>
    <row r="125" spans="1:6">
      <c r="A125" s="601"/>
      <c r="B125" s="608"/>
      <c r="C125" s="608"/>
      <c r="D125" s="608"/>
    </row>
    <row r="126" spans="1:6">
      <c r="A126" s="600" t="s">
        <v>486</v>
      </c>
      <c r="B126" s="608"/>
      <c r="C126" s="608"/>
      <c r="D126" s="608"/>
    </row>
    <row r="127" spans="1:6">
      <c r="A127" s="601" t="s">
        <v>487</v>
      </c>
      <c r="B127" s="608"/>
      <c r="C127" s="608"/>
      <c r="D127" s="608"/>
    </row>
    <row r="128" spans="1:6">
      <c r="A128" s="601" t="s">
        <v>488</v>
      </c>
      <c r="B128" s="608">
        <v>16.059999999999999</v>
      </c>
      <c r="C128" s="608">
        <f t="shared" ref="C128:C132" si="27">B128*$C$2</f>
        <v>2.4162983894235661</v>
      </c>
      <c r="D128" s="608">
        <f t="shared" ref="D128:D132" si="28">SUM(B128:C128)</f>
        <v>18.476298389423565</v>
      </c>
    </row>
    <row r="129" spans="1:7">
      <c r="A129" s="601" t="s">
        <v>489</v>
      </c>
      <c r="B129" s="608">
        <v>19.59</v>
      </c>
      <c r="C129" s="608">
        <f t="shared" si="27"/>
        <v>2.9474025808722084</v>
      </c>
      <c r="D129" s="608">
        <f t="shared" si="28"/>
        <v>22.537402580872207</v>
      </c>
    </row>
    <row r="130" spans="1:7">
      <c r="A130" s="601" t="s">
        <v>490</v>
      </c>
      <c r="B130" s="608">
        <v>23.17</v>
      </c>
      <c r="C130" s="608">
        <f t="shared" si="27"/>
        <v>3.4860294945793298</v>
      </c>
      <c r="D130" s="608">
        <f t="shared" si="28"/>
        <v>26.656029494579332</v>
      </c>
    </row>
    <row r="131" spans="1:7">
      <c r="A131" s="601" t="s">
        <v>491</v>
      </c>
      <c r="B131" s="598">
        <v>30.41</v>
      </c>
      <c r="C131" s="608">
        <f t="shared" si="27"/>
        <v>4.5753196776071388</v>
      </c>
      <c r="D131" s="608">
        <f t="shared" si="28"/>
        <v>34.985319677607137</v>
      </c>
    </row>
    <row r="132" spans="1:7">
      <c r="A132" s="601" t="s">
        <v>492</v>
      </c>
      <c r="B132" s="598">
        <v>36.76</v>
      </c>
      <c r="C132" s="608">
        <f t="shared" si="27"/>
        <v>5.5307054044340163</v>
      </c>
      <c r="D132" s="608">
        <f t="shared" si="28"/>
        <v>42.290705404434014</v>
      </c>
    </row>
    <row r="133" spans="1:7">
      <c r="A133" s="602"/>
      <c r="B133" s="608"/>
      <c r="C133" s="608"/>
      <c r="D133" s="608"/>
    </row>
    <row r="134" spans="1:7" s="195" customFormat="1">
      <c r="A134" s="603" t="s">
        <v>493</v>
      </c>
      <c r="B134" s="608"/>
      <c r="C134" s="608"/>
      <c r="D134" s="608"/>
      <c r="E134" s="240"/>
      <c r="F134" s="240"/>
    </row>
    <row r="135" spans="1:7" s="195" customFormat="1">
      <c r="A135" s="603" t="s">
        <v>488</v>
      </c>
      <c r="B135" s="608">
        <v>16.79</v>
      </c>
      <c r="C135" s="608">
        <f t="shared" ref="C135:C139" si="29">B135*$C$2</f>
        <v>2.5261301343973646</v>
      </c>
      <c r="D135" s="608">
        <f t="shared" ref="D135:D139" si="30">SUM(B135:C135)</f>
        <v>19.316130134397362</v>
      </c>
      <c r="E135" s="240"/>
      <c r="F135" s="614"/>
      <c r="G135" s="200"/>
    </row>
    <row r="136" spans="1:7" s="195" customFormat="1">
      <c r="A136" s="603" t="s">
        <v>489</v>
      </c>
      <c r="B136" s="608">
        <v>24.75</v>
      </c>
      <c r="C136" s="608">
        <f t="shared" si="29"/>
        <v>3.723747517947277</v>
      </c>
      <c r="D136" s="608">
        <f t="shared" si="30"/>
        <v>28.473747517947277</v>
      </c>
      <c r="E136" s="240"/>
      <c r="F136" s="615"/>
    </row>
    <row r="137" spans="1:7" s="195" customFormat="1">
      <c r="A137" s="603" t="s">
        <v>490</v>
      </c>
      <c r="B137" s="608">
        <v>32.33</v>
      </c>
      <c r="C137" s="608">
        <f t="shared" si="29"/>
        <v>4.8641922123327461</v>
      </c>
      <c r="D137" s="608">
        <f t="shared" si="30"/>
        <v>37.194192212332744</v>
      </c>
      <c r="E137" s="240"/>
      <c r="F137" s="615"/>
    </row>
    <row r="138" spans="1:7" s="195" customFormat="1">
      <c r="A138" s="603" t="s">
        <v>491</v>
      </c>
      <c r="B138" s="608">
        <v>44.04</v>
      </c>
      <c r="C138" s="608">
        <f t="shared" si="29"/>
        <v>6.6260137652686089</v>
      </c>
      <c r="D138" s="608">
        <f t="shared" si="30"/>
        <v>50.666013765268609</v>
      </c>
      <c r="E138" s="240"/>
      <c r="F138" s="615"/>
    </row>
    <row r="139" spans="1:7" s="195" customFormat="1">
      <c r="A139" s="603" t="s">
        <v>492</v>
      </c>
      <c r="B139" s="608">
        <v>54.43</v>
      </c>
      <c r="C139" s="608">
        <f t="shared" si="29"/>
        <v>8.1892354505806182</v>
      </c>
      <c r="D139" s="608">
        <f t="shared" si="30"/>
        <v>62.619235450580618</v>
      </c>
      <c r="E139" s="240"/>
      <c r="F139" s="615"/>
    </row>
    <row r="140" spans="1:7">
      <c r="A140" s="601"/>
      <c r="B140" s="608"/>
      <c r="C140" s="608"/>
      <c r="D140" s="608"/>
    </row>
    <row r="141" spans="1:7">
      <c r="A141" s="601" t="s">
        <v>494</v>
      </c>
      <c r="B141" s="608"/>
      <c r="C141" s="608"/>
      <c r="D141" s="608"/>
    </row>
    <row r="142" spans="1:7">
      <c r="A142" s="601" t="s">
        <v>488</v>
      </c>
      <c r="B142" s="608">
        <v>23.28</v>
      </c>
      <c r="C142" s="608">
        <f t="shared" ref="C142:C146" si="31">B142*$C$2</f>
        <v>3.5025794835479842</v>
      </c>
      <c r="D142" s="608">
        <f t="shared" ref="D142:D146" si="32">SUM(B142:C142)</f>
        <v>26.782579483547984</v>
      </c>
      <c r="F142" s="612"/>
    </row>
    <row r="143" spans="1:7">
      <c r="A143" s="601" t="s">
        <v>489</v>
      </c>
      <c r="B143" s="608">
        <v>34.24</v>
      </c>
      <c r="C143" s="608">
        <f t="shared" si="31"/>
        <v>5.1515602026066576</v>
      </c>
      <c r="D143" s="608">
        <f t="shared" si="32"/>
        <v>39.391560202606662</v>
      </c>
      <c r="F143" s="612"/>
    </row>
    <row r="144" spans="1:7">
      <c r="A144" s="601" t="s">
        <v>490</v>
      </c>
      <c r="B144" s="608">
        <v>45.07</v>
      </c>
      <c r="C144" s="608">
        <f t="shared" si="31"/>
        <v>6.7809818437932838</v>
      </c>
      <c r="D144" s="608">
        <f t="shared" si="32"/>
        <v>51.850981843793285</v>
      </c>
      <c r="F144" s="612"/>
    </row>
    <row r="145" spans="1:6">
      <c r="A145" s="601" t="s">
        <v>491</v>
      </c>
      <c r="B145" s="608">
        <v>58.16</v>
      </c>
      <c r="C145" s="608">
        <f t="shared" si="31"/>
        <v>8.7504305310631771</v>
      </c>
      <c r="D145" s="608">
        <f t="shared" si="32"/>
        <v>66.91043053106317</v>
      </c>
      <c r="F145" s="612"/>
    </row>
    <row r="146" spans="1:6">
      <c r="A146" s="601" t="s">
        <v>492</v>
      </c>
      <c r="B146" s="608">
        <v>69.52</v>
      </c>
      <c r="C146" s="608">
        <f t="shared" si="31"/>
        <v>10.459593028189683</v>
      </c>
      <c r="D146" s="608">
        <f t="shared" si="32"/>
        <v>79.979593028189683</v>
      </c>
      <c r="F146" s="612"/>
    </row>
    <row r="147" spans="1:6">
      <c r="A147" s="601"/>
      <c r="B147" s="608"/>
      <c r="C147" s="608"/>
      <c r="D147" s="608"/>
    </row>
    <row r="148" spans="1:6">
      <c r="A148" s="601" t="s">
        <v>495</v>
      </c>
      <c r="B148" s="608"/>
      <c r="C148" s="608"/>
      <c r="D148" s="608"/>
    </row>
    <row r="149" spans="1:6">
      <c r="A149" s="601" t="s">
        <v>488</v>
      </c>
      <c r="B149" s="608">
        <v>14.94</v>
      </c>
      <c r="C149" s="608">
        <f>B149*$C$2</f>
        <v>2.2477894108336289</v>
      </c>
      <c r="D149" s="608">
        <f t="shared" ref="D149:D153" si="33">SUM(B149:C149)</f>
        <v>17.187789410833627</v>
      </c>
      <c r="F149" s="612"/>
    </row>
    <row r="150" spans="1:6">
      <c r="A150" s="601" t="s">
        <v>489</v>
      </c>
      <c r="B150" s="608">
        <v>15.82</v>
      </c>
      <c r="C150" s="608">
        <f>B150*$C$2</f>
        <v>2.3801893225828654</v>
      </c>
      <c r="D150" s="608">
        <f t="shared" si="33"/>
        <v>18.200189322582865</v>
      </c>
      <c r="F150" s="612"/>
    </row>
    <row r="151" spans="1:6">
      <c r="A151" s="601" t="s">
        <v>490</v>
      </c>
      <c r="B151" s="608">
        <v>16.760000000000002</v>
      </c>
      <c r="C151" s="608">
        <f>B151*$C$2</f>
        <v>2.5216165010422773</v>
      </c>
      <c r="D151" s="608">
        <f t="shared" si="33"/>
        <v>19.281616501042279</v>
      </c>
      <c r="F151" s="612"/>
    </row>
    <row r="152" spans="1:6">
      <c r="A152" s="601" t="s">
        <v>491</v>
      </c>
      <c r="B152" s="608">
        <v>19.59</v>
      </c>
      <c r="C152" s="608">
        <f>B152*$C$2</f>
        <v>2.9474025808722084</v>
      </c>
      <c r="D152" s="608">
        <f t="shared" si="33"/>
        <v>22.537402580872207</v>
      </c>
      <c r="F152" s="612"/>
    </row>
    <row r="153" spans="1:6">
      <c r="A153" s="601" t="s">
        <v>492</v>
      </c>
      <c r="B153" s="608">
        <v>21.82</v>
      </c>
      <c r="C153" s="608">
        <f>B153*$C$2</f>
        <v>3.2829159936003873</v>
      </c>
      <c r="D153" s="608">
        <f t="shared" si="33"/>
        <v>25.102915993600387</v>
      </c>
      <c r="F153" s="612"/>
    </row>
    <row r="154" spans="1:6">
      <c r="A154" s="601"/>
      <c r="B154" s="608"/>
      <c r="C154" s="608"/>
      <c r="D154" s="608"/>
    </row>
    <row r="155" spans="1:6">
      <c r="A155" s="601" t="s">
        <v>496</v>
      </c>
      <c r="B155" s="608"/>
      <c r="C155" s="608"/>
      <c r="D155" s="608"/>
    </row>
    <row r="156" spans="1:6">
      <c r="A156" s="601" t="s">
        <v>488</v>
      </c>
      <c r="B156" s="608">
        <v>2.2400000000000002</v>
      </c>
      <c r="C156" s="608">
        <f>B156*$C$2</f>
        <v>0.33701795717987482</v>
      </c>
      <c r="D156" s="608">
        <f t="shared" ref="D156:D160" si="34">SUM(B156:C156)</f>
        <v>2.577017957179875</v>
      </c>
    </row>
    <row r="157" spans="1:6">
      <c r="A157" s="601" t="s">
        <v>489</v>
      </c>
      <c r="B157" s="608">
        <v>2.2400000000000002</v>
      </c>
      <c r="C157" s="608">
        <f>B157*$C$2</f>
        <v>0.33701795717987482</v>
      </c>
      <c r="D157" s="608">
        <f t="shared" si="34"/>
        <v>2.577017957179875</v>
      </c>
    </row>
    <row r="158" spans="1:6">
      <c r="A158" s="601" t="s">
        <v>490</v>
      </c>
      <c r="B158" s="608">
        <v>3</v>
      </c>
      <c r="C158" s="608">
        <f>B158*$C$2</f>
        <v>0.45136333550876084</v>
      </c>
      <c r="D158" s="608">
        <f t="shared" si="34"/>
        <v>3.451363335508761</v>
      </c>
    </row>
    <row r="159" spans="1:6">
      <c r="A159" s="601" t="s">
        <v>491</v>
      </c>
      <c r="B159" s="608">
        <v>3.41</v>
      </c>
      <c r="C159" s="608">
        <f>B159*$C$2</f>
        <v>0.5130496580282915</v>
      </c>
      <c r="D159" s="608">
        <f t="shared" si="34"/>
        <v>3.9230496580282916</v>
      </c>
    </row>
    <row r="160" spans="1:6">
      <c r="A160" s="601" t="s">
        <v>492</v>
      </c>
      <c r="B160" s="608">
        <v>3.71</v>
      </c>
      <c r="C160" s="608">
        <f>B160*$C$2</f>
        <v>0.5581859915791676</v>
      </c>
      <c r="D160" s="608">
        <f t="shared" si="34"/>
        <v>4.268185991579168</v>
      </c>
    </row>
    <row r="161" spans="1:6">
      <c r="A161" s="601"/>
      <c r="B161" s="608"/>
      <c r="C161" s="608"/>
      <c r="D161" s="608"/>
    </row>
    <row r="162" spans="1:6">
      <c r="A162" s="601" t="s">
        <v>488</v>
      </c>
      <c r="B162" s="608">
        <v>25</v>
      </c>
      <c r="C162" s="608">
        <f>B162*$C$2</f>
        <v>3.7613611292396736</v>
      </c>
      <c r="D162" s="608">
        <f t="shared" ref="D162:D166" si="35">SUM(B162:C162)</f>
        <v>28.761361129239674</v>
      </c>
    </row>
    <row r="163" spans="1:6">
      <c r="A163" s="601" t="s">
        <v>489</v>
      </c>
      <c r="B163" s="608">
        <v>28.76</v>
      </c>
      <c r="C163" s="608">
        <f>B163*$C$2</f>
        <v>4.3270698430773207</v>
      </c>
      <c r="D163" s="608">
        <f t="shared" si="35"/>
        <v>33.087069843077323</v>
      </c>
    </row>
    <row r="164" spans="1:6">
      <c r="A164" s="601" t="s">
        <v>490</v>
      </c>
      <c r="B164" s="608">
        <v>33.64</v>
      </c>
      <c r="C164" s="608">
        <f>B164*$C$2</f>
        <v>5.0612875355049054</v>
      </c>
      <c r="D164" s="608">
        <f t="shared" si="35"/>
        <v>38.701287535504903</v>
      </c>
    </row>
    <row r="165" spans="1:6">
      <c r="A165" s="601" t="s">
        <v>491</v>
      </c>
      <c r="B165" s="608">
        <v>43.11</v>
      </c>
      <c r="C165" s="608">
        <f>B165*$C$2</f>
        <v>6.4860911312608929</v>
      </c>
      <c r="D165" s="608">
        <f t="shared" si="35"/>
        <v>49.596091131260891</v>
      </c>
    </row>
    <row r="166" spans="1:6">
      <c r="A166" s="601" t="s">
        <v>492</v>
      </c>
      <c r="B166" s="608">
        <v>51.29</v>
      </c>
      <c r="C166" s="608">
        <f>B166*$C$2</f>
        <v>7.7168084927481146</v>
      </c>
      <c r="D166" s="608">
        <f t="shared" si="35"/>
        <v>59.006808492748114</v>
      </c>
    </row>
    <row r="167" spans="1:6">
      <c r="A167" s="601"/>
      <c r="B167" s="608"/>
      <c r="C167" s="608"/>
      <c r="D167" s="608"/>
    </row>
    <row r="168" spans="1:6">
      <c r="A168" s="601" t="s">
        <v>451</v>
      </c>
      <c r="B168" s="608">
        <v>1.18</v>
      </c>
      <c r="C168" s="608">
        <f>B168*$C$2</f>
        <v>0.17753624530011258</v>
      </c>
      <c r="D168" s="608">
        <f t="shared" ref="D168:D169" si="36">SUM(B168:C168)</f>
        <v>1.3575362453001125</v>
      </c>
    </row>
    <row r="169" spans="1:6">
      <c r="A169" s="601" t="s">
        <v>497</v>
      </c>
      <c r="B169" s="608">
        <v>0.88</v>
      </c>
      <c r="C169" s="608">
        <f>B169*$C$2</f>
        <v>0.13239991174923652</v>
      </c>
      <c r="D169" s="608">
        <f t="shared" si="36"/>
        <v>1.0123999117492366</v>
      </c>
    </row>
    <row r="170" spans="1:6">
      <c r="A170" s="601"/>
      <c r="B170" s="608"/>
      <c r="C170" s="608"/>
      <c r="D170" s="608"/>
    </row>
    <row r="171" spans="1:6">
      <c r="A171" s="600" t="s">
        <v>498</v>
      </c>
      <c r="B171" s="608"/>
      <c r="C171" s="608"/>
      <c r="D171" s="608"/>
    </row>
    <row r="172" spans="1:6">
      <c r="A172" s="601" t="s">
        <v>499</v>
      </c>
      <c r="B172" s="608">
        <v>4.42</v>
      </c>
      <c r="C172" s="608">
        <f>B172*$C$2</f>
        <v>0.66500864764957435</v>
      </c>
      <c r="D172" s="608">
        <f t="shared" ref="D172:D177" si="37">SUM(B172:C172)</f>
        <v>5.0850086476495742</v>
      </c>
      <c r="F172" s="609"/>
    </row>
    <row r="173" spans="1:6">
      <c r="A173" s="601" t="s">
        <v>500</v>
      </c>
      <c r="B173" s="608">
        <v>4.42</v>
      </c>
      <c r="C173" s="608">
        <f>B173*$C$2</f>
        <v>0.66500864764957435</v>
      </c>
      <c r="D173" s="608">
        <f t="shared" si="37"/>
        <v>5.0850086476495742</v>
      </c>
      <c r="F173" s="609"/>
    </row>
    <row r="174" spans="1:6">
      <c r="A174" s="601" t="s">
        <v>501</v>
      </c>
      <c r="B174" s="608">
        <v>19.16</v>
      </c>
      <c r="C174" s="608">
        <f>B174*$C$2</f>
        <v>2.8827071694492861</v>
      </c>
      <c r="D174" s="608">
        <f t="shared" si="37"/>
        <v>22.042707169449287</v>
      </c>
      <c r="F174" s="609"/>
    </row>
    <row r="175" spans="1:6">
      <c r="A175" s="601" t="s">
        <v>502</v>
      </c>
      <c r="B175" s="608">
        <v>5.35</v>
      </c>
      <c r="C175" s="608">
        <f>B175*$C$2</f>
        <v>0.80493128165729011</v>
      </c>
      <c r="D175" s="608">
        <f t="shared" si="37"/>
        <v>6.1549312816572899</v>
      </c>
      <c r="F175" s="609"/>
    </row>
    <row r="176" spans="1:6">
      <c r="A176" s="601" t="s">
        <v>503</v>
      </c>
      <c r="B176" s="608">
        <v>4.42</v>
      </c>
      <c r="C176" s="608">
        <f t="shared" ref="C176:C177" si="38">B176*$C$2</f>
        <v>0.66500864764957435</v>
      </c>
      <c r="D176" s="608">
        <f t="shared" si="37"/>
        <v>5.0850086476495742</v>
      </c>
      <c r="F176" s="609"/>
    </row>
    <row r="177" spans="1:6">
      <c r="A177" s="601" t="s">
        <v>504</v>
      </c>
      <c r="B177" s="608">
        <v>4.42</v>
      </c>
      <c r="C177" s="608">
        <f t="shared" si="38"/>
        <v>0.66500864764957435</v>
      </c>
      <c r="D177" s="608">
        <f t="shared" si="37"/>
        <v>5.0850086476495742</v>
      </c>
      <c r="F177" s="609"/>
    </row>
    <row r="178" spans="1:6" s="201" customFormat="1" ht="15">
      <c r="A178" s="602"/>
      <c r="B178" s="608"/>
      <c r="C178" s="608"/>
      <c r="D178" s="608"/>
      <c r="E178" s="616"/>
      <c r="F178" s="616"/>
    </row>
    <row r="179" spans="1:6" s="201" customFormat="1" ht="15">
      <c r="A179" s="601" t="s">
        <v>505</v>
      </c>
      <c r="B179" s="608">
        <v>5.0999999999999996</v>
      </c>
      <c r="C179" s="608">
        <f t="shared" ref="C179:C188" si="39">B179*$C$2</f>
        <v>0.7673176703648934</v>
      </c>
      <c r="D179" s="608">
        <f t="shared" ref="D179:D188" si="40">SUM(B179:C179)</f>
        <v>5.8673176703648933</v>
      </c>
      <c r="E179" s="616"/>
      <c r="F179" s="616"/>
    </row>
    <row r="180" spans="1:6" s="201" customFormat="1" ht="15">
      <c r="A180" s="601" t="s">
        <v>501</v>
      </c>
      <c r="B180" s="608">
        <v>22.08</v>
      </c>
      <c r="C180" s="608">
        <f t="shared" si="39"/>
        <v>3.3220341493444794</v>
      </c>
      <c r="D180" s="608">
        <f t="shared" si="40"/>
        <v>25.402034149344477</v>
      </c>
      <c r="E180" s="616"/>
      <c r="F180" s="616"/>
    </row>
    <row r="181" spans="1:6">
      <c r="A181" s="601" t="s">
        <v>502</v>
      </c>
      <c r="B181" s="608"/>
      <c r="C181" s="608"/>
      <c r="D181" s="608">
        <f>D179+1.5</f>
        <v>7.3673176703648933</v>
      </c>
      <c r="E181" s="598" t="s">
        <v>1314</v>
      </c>
      <c r="F181" s="609"/>
    </row>
    <row r="182" spans="1:6">
      <c r="A182" s="601" t="s">
        <v>503</v>
      </c>
      <c r="B182" s="608"/>
      <c r="C182" s="608"/>
      <c r="D182" s="608">
        <f>D179</f>
        <v>5.8673176703648933</v>
      </c>
      <c r="E182" s="598" t="s">
        <v>1314</v>
      </c>
      <c r="F182" s="609"/>
    </row>
    <row r="183" spans="1:6" s="201" customFormat="1" ht="15">
      <c r="A183" s="601" t="s">
        <v>506</v>
      </c>
      <c r="B183" s="608">
        <v>7.29</v>
      </c>
      <c r="C183" s="608">
        <f t="shared" si="39"/>
        <v>1.0968129052862889</v>
      </c>
      <c r="D183" s="608">
        <f t="shared" si="40"/>
        <v>8.3868129052862894</v>
      </c>
      <c r="E183" s="616"/>
      <c r="F183" s="616"/>
    </row>
    <row r="184" spans="1:6" s="201" customFormat="1" ht="15">
      <c r="A184" s="601" t="s">
        <v>501</v>
      </c>
      <c r="B184" s="608">
        <v>31.59</v>
      </c>
      <c r="C184" s="608">
        <f t="shared" si="39"/>
        <v>4.7528559229072513</v>
      </c>
      <c r="D184" s="608">
        <f t="shared" si="40"/>
        <v>36.342855922907248</v>
      </c>
      <c r="E184" s="616"/>
      <c r="F184" s="616"/>
    </row>
    <row r="185" spans="1:6">
      <c r="A185" s="601" t="s">
        <v>502</v>
      </c>
      <c r="B185" s="608"/>
      <c r="C185" s="608"/>
      <c r="D185" s="608">
        <f>D183+1.5</f>
        <v>9.8868129052862894</v>
      </c>
      <c r="E185" s="598" t="s">
        <v>1314</v>
      </c>
      <c r="F185" s="609"/>
    </row>
    <row r="186" spans="1:6">
      <c r="A186" s="601" t="s">
        <v>503</v>
      </c>
      <c r="B186" s="608"/>
      <c r="C186" s="608"/>
      <c r="D186" s="608">
        <f>D183</f>
        <v>8.3868129052862894</v>
      </c>
      <c r="E186" s="598" t="s">
        <v>1314</v>
      </c>
      <c r="F186" s="609"/>
    </row>
    <row r="187" spans="1:6" s="201" customFormat="1" ht="15">
      <c r="A187" s="601" t="s">
        <v>507</v>
      </c>
      <c r="B187" s="608">
        <v>9.08</v>
      </c>
      <c r="C187" s="608">
        <f t="shared" si="39"/>
        <v>1.3661263621398494</v>
      </c>
      <c r="D187" s="608">
        <f t="shared" si="40"/>
        <v>10.44612636213985</v>
      </c>
      <c r="E187" s="616"/>
      <c r="F187" s="616"/>
    </row>
    <row r="188" spans="1:6" s="201" customFormat="1" ht="15">
      <c r="A188" s="601" t="s">
        <v>501</v>
      </c>
      <c r="B188" s="608">
        <v>39.35</v>
      </c>
      <c r="C188" s="608">
        <f t="shared" si="39"/>
        <v>5.9203824174232462</v>
      </c>
      <c r="D188" s="608">
        <f t="shared" si="40"/>
        <v>45.270382417423249</v>
      </c>
      <c r="E188" s="616"/>
      <c r="F188" s="616"/>
    </row>
    <row r="189" spans="1:6">
      <c r="A189" s="601" t="s">
        <v>502</v>
      </c>
      <c r="B189" s="608"/>
      <c r="C189" s="608"/>
      <c r="D189" s="608">
        <f>D187+1.5</f>
        <v>11.94612636213985</v>
      </c>
      <c r="E189" s="598" t="s">
        <v>1314</v>
      </c>
      <c r="F189" s="609"/>
    </row>
    <row r="190" spans="1:6">
      <c r="A190" s="601" t="s">
        <v>503</v>
      </c>
      <c r="B190" s="608"/>
      <c r="C190" s="608"/>
      <c r="D190" s="608">
        <f>D187</f>
        <v>10.44612636213985</v>
      </c>
      <c r="E190" s="598" t="s">
        <v>1314</v>
      </c>
      <c r="F190" s="609"/>
    </row>
    <row r="191" spans="1:6">
      <c r="A191" s="601"/>
      <c r="B191" s="608"/>
      <c r="C191" s="608"/>
      <c r="D191" s="608"/>
    </row>
    <row r="192" spans="1:6">
      <c r="A192" s="601" t="s">
        <v>451</v>
      </c>
      <c r="B192" s="608">
        <v>1.18</v>
      </c>
      <c r="C192" s="608">
        <f t="shared" ref="C192:C193" si="41">B192*$C$2</f>
        <v>0.17753624530011258</v>
      </c>
      <c r="D192" s="608">
        <f t="shared" ref="D192:D193" si="42">SUM(B192:C192)</f>
        <v>1.3575362453001125</v>
      </c>
    </row>
    <row r="193" spans="1:7">
      <c r="A193" s="601" t="s">
        <v>497</v>
      </c>
      <c r="B193" s="608">
        <v>0.88</v>
      </c>
      <c r="C193" s="608">
        <f t="shared" si="41"/>
        <v>0.13239991174923652</v>
      </c>
      <c r="D193" s="608">
        <f t="shared" si="42"/>
        <v>1.0123999117492366</v>
      </c>
    </row>
    <row r="194" spans="1:7">
      <c r="A194" s="601"/>
      <c r="B194" s="608"/>
      <c r="C194" s="608"/>
      <c r="D194" s="608"/>
    </row>
    <row r="195" spans="1:7">
      <c r="A195" s="601"/>
      <c r="B195" s="608"/>
      <c r="C195" s="608"/>
      <c r="D195" s="608"/>
    </row>
    <row r="196" spans="1:7">
      <c r="A196" s="600" t="s">
        <v>508</v>
      </c>
      <c r="B196" s="608"/>
      <c r="C196" s="608"/>
      <c r="D196" s="608"/>
    </row>
    <row r="197" spans="1:7">
      <c r="A197" s="601"/>
      <c r="B197" s="608"/>
      <c r="C197" s="608"/>
      <c r="D197" s="608"/>
    </row>
    <row r="198" spans="1:7">
      <c r="A198" s="602" t="s">
        <v>509</v>
      </c>
      <c r="B198" s="608"/>
      <c r="C198" s="608"/>
      <c r="D198" s="608"/>
    </row>
    <row r="199" spans="1:7">
      <c r="A199" s="602" t="s">
        <v>1326</v>
      </c>
      <c r="B199" s="608"/>
      <c r="C199" s="608"/>
      <c r="D199" s="608"/>
    </row>
    <row r="200" spans="1:7">
      <c r="A200" s="601" t="s">
        <v>510</v>
      </c>
      <c r="B200" s="608">
        <f>B207-B212</f>
        <v>58.230000000000004</v>
      </c>
      <c r="C200" s="608">
        <f>B200*$C$2</f>
        <v>8.7609623422250493</v>
      </c>
      <c r="D200" s="608">
        <f>D207-D212</f>
        <v>66.99096234222506</v>
      </c>
      <c r="E200" s="598" t="s">
        <v>1314</v>
      </c>
    </row>
    <row r="201" spans="1:7">
      <c r="A201" s="601" t="s">
        <v>511</v>
      </c>
      <c r="B201" s="608">
        <f t="shared" ref="B201:D202" si="43">B208-B213</f>
        <v>58.230000000000004</v>
      </c>
      <c r="C201" s="608">
        <f t="shared" ref="C201:C202" si="44">B201*$C$2</f>
        <v>8.7609623422250493</v>
      </c>
      <c r="D201" s="608">
        <f t="shared" si="43"/>
        <v>66.99096234222506</v>
      </c>
      <c r="E201" s="598" t="s">
        <v>1314</v>
      </c>
    </row>
    <row r="202" spans="1:7">
      <c r="A202" s="601" t="s">
        <v>512</v>
      </c>
      <c r="B202" s="608">
        <f t="shared" si="43"/>
        <v>158.81</v>
      </c>
      <c r="C202" s="608">
        <f t="shared" si="44"/>
        <v>23.893670437382102</v>
      </c>
      <c r="D202" s="608">
        <f t="shared" si="43"/>
        <v>182.7036704373821</v>
      </c>
      <c r="E202" s="598" t="s">
        <v>1314</v>
      </c>
    </row>
    <row r="203" spans="1:7">
      <c r="A203" s="601"/>
      <c r="B203" s="608"/>
      <c r="C203" s="608"/>
      <c r="D203" s="608"/>
    </row>
    <row r="204" spans="1:7">
      <c r="A204" s="602" t="s">
        <v>1327</v>
      </c>
      <c r="B204" s="608"/>
      <c r="C204" s="608"/>
      <c r="D204" s="608"/>
    </row>
    <row r="205" spans="1:7">
      <c r="A205" s="602" t="s">
        <v>509</v>
      </c>
      <c r="B205" s="608"/>
      <c r="C205" s="608"/>
      <c r="D205" s="608"/>
    </row>
    <row r="206" spans="1:7">
      <c r="A206" s="600" t="s">
        <v>1328</v>
      </c>
      <c r="B206" s="1304"/>
      <c r="C206" s="1304"/>
      <c r="D206" s="1304"/>
      <c r="E206" s="1305"/>
      <c r="F206" s="1305"/>
    </row>
    <row r="207" spans="1:7">
      <c r="A207" s="1306" t="s">
        <v>510</v>
      </c>
      <c r="B207" s="1304">
        <v>155.28</v>
      </c>
      <c r="C207" s="1304">
        <f t="shared" ref="C207:C209" si="45">B207*$C$2</f>
        <v>23.362566245933461</v>
      </c>
      <c r="D207" s="1304">
        <f t="shared" ref="D207:D214" si="46">SUM(B207:C207)</f>
        <v>178.64256624593347</v>
      </c>
      <c r="E207" s="1305"/>
      <c r="F207" s="1305"/>
      <c r="G207" s="199"/>
    </row>
    <row r="208" spans="1:7">
      <c r="A208" s="1306" t="s">
        <v>511</v>
      </c>
      <c r="B208" s="1304">
        <v>155.28</v>
      </c>
      <c r="C208" s="1304">
        <f t="shared" si="45"/>
        <v>23.362566245933461</v>
      </c>
      <c r="D208" s="1304">
        <f t="shared" si="46"/>
        <v>178.64256624593347</v>
      </c>
      <c r="E208" s="1305"/>
      <c r="F208" s="1305"/>
    </row>
    <row r="209" spans="1:6">
      <c r="A209" s="1306" t="s">
        <v>512</v>
      </c>
      <c r="B209" s="1304">
        <v>280.56</v>
      </c>
      <c r="C209" s="1304">
        <f t="shared" si="45"/>
        <v>42.211499136779317</v>
      </c>
      <c r="D209" s="1304">
        <f t="shared" si="46"/>
        <v>322.77149913677931</v>
      </c>
      <c r="E209" s="1305"/>
      <c r="F209" s="1305"/>
    </row>
    <row r="210" spans="1:6">
      <c r="A210" s="601"/>
      <c r="B210" s="608"/>
      <c r="C210" s="608"/>
      <c r="D210" s="608"/>
    </row>
    <row r="211" spans="1:6">
      <c r="A211" s="602" t="s">
        <v>1327</v>
      </c>
      <c r="B211" s="608"/>
      <c r="C211" s="608"/>
      <c r="D211" s="608"/>
    </row>
    <row r="212" spans="1:6">
      <c r="A212" s="601" t="s">
        <v>510</v>
      </c>
      <c r="B212" s="608">
        <v>97.05</v>
      </c>
      <c r="C212" s="608">
        <f t="shared" ref="C212:C214" si="47">B212*$C$2</f>
        <v>14.601603903708412</v>
      </c>
      <c r="D212" s="608">
        <f t="shared" si="46"/>
        <v>111.65160390370841</v>
      </c>
    </row>
    <row r="213" spans="1:6">
      <c r="A213" s="601" t="s">
        <v>511</v>
      </c>
      <c r="B213" s="608">
        <v>97.05</v>
      </c>
      <c r="C213" s="608">
        <f t="shared" si="47"/>
        <v>14.601603903708412</v>
      </c>
      <c r="D213" s="608">
        <f t="shared" si="46"/>
        <v>111.65160390370841</v>
      </c>
    </row>
    <row r="214" spans="1:6">
      <c r="A214" s="601" t="s">
        <v>512</v>
      </c>
      <c r="B214" s="608">
        <v>121.75</v>
      </c>
      <c r="C214" s="608">
        <f t="shared" si="47"/>
        <v>18.317828699397211</v>
      </c>
      <c r="D214" s="608">
        <f t="shared" si="46"/>
        <v>140.06782869939721</v>
      </c>
    </row>
    <row r="215" spans="1:6">
      <c r="A215" s="601"/>
      <c r="B215" s="608"/>
      <c r="C215" s="608"/>
      <c r="D215" s="608"/>
    </row>
    <row r="216" spans="1:6">
      <c r="A216" s="602" t="s">
        <v>513</v>
      </c>
      <c r="B216" s="608"/>
      <c r="C216" s="608"/>
      <c r="D216" s="608"/>
    </row>
    <row r="217" spans="1:6">
      <c r="A217" s="601" t="s">
        <v>514</v>
      </c>
      <c r="B217" s="608">
        <v>50.11</v>
      </c>
      <c r="C217" s="608">
        <f>B217*$C$2</f>
        <v>7.5392722474480021</v>
      </c>
      <c r="D217" s="608">
        <f>SUM(B217:C217)</f>
        <v>57.649272247448003</v>
      </c>
    </row>
    <row r="218" spans="1:6">
      <c r="A218" s="601"/>
      <c r="B218" s="608"/>
      <c r="C218" s="608"/>
      <c r="D218" s="608"/>
    </row>
    <row r="219" spans="1:6">
      <c r="A219" s="601" t="s">
        <v>509</v>
      </c>
      <c r="B219" s="608"/>
      <c r="C219" s="608"/>
      <c r="D219" s="608"/>
    </row>
    <row r="220" spans="1:6">
      <c r="A220" s="601" t="s">
        <v>510</v>
      </c>
      <c r="B220" s="608">
        <v>112.22</v>
      </c>
      <c r="C220" s="608">
        <f t="shared" ref="C220:C222" si="48">B220*$C$2</f>
        <v>16.883997836931048</v>
      </c>
      <c r="D220" s="608">
        <f t="shared" ref="D220:D222" si="49">SUM(B220:C220)</f>
        <v>129.10399783693106</v>
      </c>
    </row>
    <row r="221" spans="1:6">
      <c r="A221" s="601" t="s">
        <v>511</v>
      </c>
      <c r="B221" s="608">
        <v>112.22</v>
      </c>
      <c r="C221" s="608">
        <f t="shared" si="48"/>
        <v>16.883997836931048</v>
      </c>
      <c r="D221" s="608">
        <f t="shared" si="49"/>
        <v>129.10399783693106</v>
      </c>
    </row>
    <row r="222" spans="1:6">
      <c r="A222" s="601" t="s">
        <v>512</v>
      </c>
      <c r="B222" s="608">
        <v>162.1</v>
      </c>
      <c r="C222" s="608">
        <f t="shared" si="48"/>
        <v>24.388665561990042</v>
      </c>
      <c r="D222" s="608">
        <f t="shared" si="49"/>
        <v>186.48866556199005</v>
      </c>
    </row>
    <row r="223" spans="1:6">
      <c r="A223" s="601"/>
      <c r="B223" s="608"/>
      <c r="C223" s="608"/>
      <c r="D223" s="608"/>
    </row>
    <row r="224" spans="1:6">
      <c r="A224" s="601" t="s">
        <v>515</v>
      </c>
      <c r="B224" s="608"/>
      <c r="C224" s="608"/>
      <c r="D224" s="608"/>
    </row>
    <row r="225" spans="1:4">
      <c r="A225" s="601" t="s">
        <v>510</v>
      </c>
      <c r="B225" s="608">
        <v>8.1199999999999992</v>
      </c>
      <c r="C225" s="608">
        <f t="shared" ref="C225:C227" si="50">B225*$C$2</f>
        <v>1.2216900947770459</v>
      </c>
      <c r="D225" s="608">
        <f t="shared" ref="D225:D227" si="51">SUM(B225:C225)</f>
        <v>9.3416900947770447</v>
      </c>
    </row>
    <row r="226" spans="1:4">
      <c r="A226" s="601" t="s">
        <v>511</v>
      </c>
      <c r="B226" s="608">
        <v>8.1199999999999992</v>
      </c>
      <c r="C226" s="608">
        <f t="shared" si="50"/>
        <v>1.2216900947770459</v>
      </c>
      <c r="D226" s="608">
        <f t="shared" si="51"/>
        <v>9.3416900947770447</v>
      </c>
    </row>
    <row r="227" spans="1:4">
      <c r="A227" s="601" t="s">
        <v>512</v>
      </c>
      <c r="B227" s="608">
        <v>8.1199999999999992</v>
      </c>
      <c r="C227" s="608">
        <f t="shared" si="50"/>
        <v>1.2216900947770459</v>
      </c>
      <c r="D227" s="608">
        <f t="shared" si="51"/>
        <v>9.3416900947770447</v>
      </c>
    </row>
    <row r="228" spans="1:4">
      <c r="A228" s="601"/>
      <c r="B228" s="608"/>
      <c r="C228" s="608"/>
      <c r="D228" s="608"/>
    </row>
    <row r="229" spans="1:4">
      <c r="A229" s="601" t="s">
        <v>515</v>
      </c>
      <c r="B229" s="608"/>
      <c r="C229" s="608"/>
      <c r="D229" s="608"/>
    </row>
    <row r="230" spans="1:4">
      <c r="A230" s="601" t="s">
        <v>510</v>
      </c>
      <c r="B230" s="608">
        <v>124.69</v>
      </c>
      <c r="C230" s="608">
        <f>B230*$C$2</f>
        <v>18.760164768195796</v>
      </c>
      <c r="D230" s="608">
        <f t="shared" ref="D230:D232" si="52">SUM(B230:C230)</f>
        <v>143.4501647681958</v>
      </c>
    </row>
    <row r="231" spans="1:4">
      <c r="A231" s="601" t="s">
        <v>511</v>
      </c>
      <c r="B231" s="608">
        <v>124.69</v>
      </c>
      <c r="C231" s="608">
        <f t="shared" ref="C231:C232" si="53">B231*$C$2</f>
        <v>18.760164768195796</v>
      </c>
      <c r="D231" s="608">
        <f t="shared" si="52"/>
        <v>143.4501647681958</v>
      </c>
    </row>
    <row r="232" spans="1:4">
      <c r="A232" s="601" t="s">
        <v>512</v>
      </c>
      <c r="B232" s="608">
        <v>124.69</v>
      </c>
      <c r="C232" s="608">
        <f t="shared" si="53"/>
        <v>18.760164768195796</v>
      </c>
      <c r="D232" s="608">
        <f t="shared" si="52"/>
        <v>143.4501647681958</v>
      </c>
    </row>
    <row r="233" spans="1:4">
      <c r="A233" s="601"/>
      <c r="B233" s="608"/>
      <c r="C233" s="608"/>
      <c r="D233" s="608"/>
    </row>
    <row r="234" spans="1:4">
      <c r="A234" s="601" t="s">
        <v>516</v>
      </c>
      <c r="B234" s="608">
        <v>4.3499999999999996</v>
      </c>
      <c r="C234" s="608">
        <f>B234*$C$2</f>
        <v>0.65447683648770316</v>
      </c>
      <c r="D234" s="608">
        <f t="shared" ref="D234" si="54">SUM(B234:C234)</f>
        <v>5.0044768364877026</v>
      </c>
    </row>
    <row r="235" spans="1:4">
      <c r="A235" s="601"/>
      <c r="B235" s="608"/>
      <c r="C235" s="608"/>
      <c r="D235" s="608"/>
    </row>
    <row r="236" spans="1:4">
      <c r="A236" s="600" t="s">
        <v>517</v>
      </c>
      <c r="B236" s="608"/>
      <c r="C236" s="608"/>
      <c r="D236" s="608"/>
    </row>
    <row r="237" spans="1:4">
      <c r="A237" s="602" t="s">
        <v>518</v>
      </c>
      <c r="B237" s="608"/>
      <c r="C237" s="608"/>
      <c r="D237" s="608"/>
    </row>
    <row r="238" spans="1:4">
      <c r="A238" s="601" t="s">
        <v>511</v>
      </c>
      <c r="B238" s="608">
        <v>294.08999999999997</v>
      </c>
      <c r="C238" s="608">
        <f>B238*$C$2</f>
        <v>44.247147779923822</v>
      </c>
      <c r="D238" s="608">
        <f t="shared" ref="D238:D239" si="55">SUM(B238:C238)</f>
        <v>338.33714777992378</v>
      </c>
    </row>
    <row r="239" spans="1:4">
      <c r="A239" s="601" t="s">
        <v>519</v>
      </c>
      <c r="B239" s="608">
        <v>582.29999999999995</v>
      </c>
      <c r="C239" s="608">
        <f t="shared" ref="C239" si="56">B239*$C$2</f>
        <v>87.609623422250479</v>
      </c>
      <c r="D239" s="608">
        <f t="shared" si="55"/>
        <v>669.90962342225043</v>
      </c>
    </row>
    <row r="240" spans="1:4">
      <c r="A240" s="601"/>
      <c r="B240" s="608"/>
      <c r="C240" s="608"/>
      <c r="D240" s="608"/>
    </row>
    <row r="241" spans="1:4">
      <c r="A241" s="601" t="s">
        <v>516</v>
      </c>
      <c r="B241" s="608">
        <v>4.3499999999999996</v>
      </c>
      <c r="C241" s="608">
        <f>B241*$C$2</f>
        <v>0.65447683648770316</v>
      </c>
      <c r="D241" s="608">
        <f t="shared" ref="D241:D242" si="57">SUM(B241:C241)</f>
        <v>5.0044768364877026</v>
      </c>
    </row>
    <row r="242" spans="1:4">
      <c r="A242" s="601" t="s">
        <v>520</v>
      </c>
      <c r="B242" s="608">
        <v>6.5</v>
      </c>
      <c r="C242" s="608">
        <f>B242*$C$2</f>
        <v>0.97795389360231511</v>
      </c>
      <c r="D242" s="608">
        <f t="shared" si="57"/>
        <v>7.4779538936023151</v>
      </c>
    </row>
    <row r="243" spans="1:4">
      <c r="A243" s="601"/>
      <c r="B243" s="608"/>
      <c r="C243" s="608"/>
      <c r="D243" s="608"/>
    </row>
    <row r="244" spans="1:4">
      <c r="C244" s="240"/>
    </row>
    <row r="245" spans="1:4">
      <c r="C245" s="240"/>
    </row>
    <row r="246" spans="1:4">
      <c r="C246" s="240"/>
    </row>
    <row r="247" spans="1:4">
      <c r="C247" s="240"/>
    </row>
    <row r="248" spans="1:4">
      <c r="C248" s="240"/>
    </row>
    <row r="249" spans="1:4">
      <c r="C249" s="240"/>
    </row>
    <row r="250" spans="1:4">
      <c r="C250" s="240"/>
    </row>
    <row r="251" spans="1:4">
      <c r="C251" s="240"/>
    </row>
    <row r="252" spans="1:4">
      <c r="C252" s="240"/>
    </row>
    <row r="253" spans="1:4">
      <c r="C253" s="240"/>
    </row>
    <row r="254" spans="1:4">
      <c r="C254" s="240"/>
    </row>
    <row r="255" spans="1:4">
      <c r="C255" s="240"/>
    </row>
    <row r="256" spans="1:4">
      <c r="C256" s="240"/>
    </row>
    <row r="257" spans="3:3">
      <c r="C257" s="240"/>
    </row>
    <row r="258" spans="3:3">
      <c r="C258" s="240"/>
    </row>
    <row r="259" spans="3:3">
      <c r="C259" s="240"/>
    </row>
    <row r="260" spans="3:3">
      <c r="C260" s="240"/>
    </row>
    <row r="261" spans="3:3">
      <c r="C261" s="240"/>
    </row>
    <row r="262" spans="3:3">
      <c r="C262" s="240"/>
    </row>
    <row r="263" spans="3:3">
      <c r="C263" s="240"/>
    </row>
    <row r="264" spans="3:3">
      <c r="C264" s="240"/>
    </row>
    <row r="265" spans="3:3">
      <c r="C265" s="240"/>
    </row>
    <row r="266" spans="3:3">
      <c r="C266" s="240"/>
    </row>
    <row r="267" spans="3:3">
      <c r="C267" s="240"/>
    </row>
    <row r="268" spans="3:3">
      <c r="C268" s="240"/>
    </row>
    <row r="269" spans="3:3">
      <c r="C269" s="240"/>
    </row>
    <row r="270" spans="3:3">
      <c r="C270" s="240"/>
    </row>
    <row r="271" spans="3:3">
      <c r="C271" s="240"/>
    </row>
    <row r="272" spans="3:3">
      <c r="C272" s="240"/>
    </row>
    <row r="273" spans="3:3">
      <c r="C273" s="240"/>
    </row>
    <row r="274" spans="3:3">
      <c r="C274" s="240"/>
    </row>
    <row r="275" spans="3:3">
      <c r="C275" s="240"/>
    </row>
    <row r="276" spans="3:3">
      <c r="C276" s="240"/>
    </row>
    <row r="277" spans="3:3">
      <c r="C277" s="240"/>
    </row>
    <row r="278" spans="3:3">
      <c r="C278" s="240"/>
    </row>
    <row r="279" spans="3:3">
      <c r="C279" s="240"/>
    </row>
    <row r="280" spans="3:3">
      <c r="C280" s="240"/>
    </row>
    <row r="281" spans="3:3">
      <c r="C281" s="240"/>
    </row>
    <row r="282" spans="3:3">
      <c r="C282" s="240"/>
    </row>
    <row r="283" spans="3:3">
      <c r="C283" s="240"/>
    </row>
    <row r="284" spans="3:3">
      <c r="C284" s="240"/>
    </row>
    <row r="285" spans="3:3">
      <c r="C285" s="240"/>
    </row>
    <row r="286" spans="3:3">
      <c r="C286" s="240"/>
    </row>
    <row r="287" spans="3:3">
      <c r="C287" s="240"/>
    </row>
    <row r="288" spans="3:3">
      <c r="C288" s="240"/>
    </row>
    <row r="289" spans="3:3">
      <c r="C289" s="240"/>
    </row>
    <row r="290" spans="3:3">
      <c r="C290" s="240"/>
    </row>
    <row r="291" spans="3:3">
      <c r="C291" s="240"/>
    </row>
    <row r="292" spans="3:3">
      <c r="C292" s="240"/>
    </row>
    <row r="293" spans="3:3">
      <c r="C293" s="240"/>
    </row>
    <row r="294" spans="3:3">
      <c r="C294" s="240"/>
    </row>
    <row r="295" spans="3:3">
      <c r="C295" s="240"/>
    </row>
    <row r="296" spans="3:3">
      <c r="C296" s="240"/>
    </row>
    <row r="297" spans="3:3">
      <c r="C297" s="240"/>
    </row>
    <row r="298" spans="3:3">
      <c r="C298" s="240"/>
    </row>
    <row r="299" spans="3:3">
      <c r="C299" s="240"/>
    </row>
    <row r="300" spans="3:3">
      <c r="C300" s="240"/>
    </row>
    <row r="301" spans="3:3">
      <c r="C301" s="240"/>
    </row>
    <row r="302" spans="3:3">
      <c r="C302" s="240"/>
    </row>
    <row r="303" spans="3:3">
      <c r="C303" s="240"/>
    </row>
    <row r="304" spans="3:3">
      <c r="C304" s="240"/>
    </row>
    <row r="305" spans="3:3">
      <c r="C305" s="240"/>
    </row>
    <row r="306" spans="3:3">
      <c r="C306" s="240"/>
    </row>
    <row r="307" spans="3:3">
      <c r="C307" s="240"/>
    </row>
    <row r="308" spans="3:3">
      <c r="C308" s="240"/>
    </row>
    <row r="309" spans="3:3">
      <c r="C309" s="240"/>
    </row>
  </sheetData>
  <pageMargins left="0.7" right="0.7" top="0.75" bottom="0.75" header="0.3" footer="0.3"/>
  <pageSetup fitToHeight="5"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L292"/>
  <sheetViews>
    <sheetView showGridLines="0" workbookViewId="0">
      <pane ySplit="5" topLeftCell="A87" activePane="bottomLeft" state="frozen"/>
      <selection pane="bottomLeft" activeCell="E116" sqref="E116"/>
    </sheetView>
  </sheetViews>
  <sheetFormatPr defaultRowHeight="12.75"/>
  <cols>
    <col min="1" max="1" width="36.7109375" style="598" customWidth="1"/>
    <col min="2" max="3" width="13.85546875" style="598" customWidth="1"/>
    <col min="4" max="4" width="15" style="598" customWidth="1"/>
    <col min="5" max="5" width="3.85546875" style="598" customWidth="1"/>
    <col min="6" max="6" width="16.7109375" style="598" customWidth="1"/>
    <col min="7" max="7" width="11" style="196" bestFit="1" customWidth="1"/>
    <col min="8" max="8" width="14.85546875" style="196" customWidth="1"/>
    <col min="9" max="10" width="9.140625" style="196"/>
    <col min="11" max="11" width="16.42578125" style="196" customWidth="1"/>
    <col min="12" max="16384" width="9.140625" style="196"/>
  </cols>
  <sheetData>
    <row r="1" spans="1:12" s="1018" customFormat="1" ht="15" customHeight="1">
      <c r="A1" s="1013" t="s">
        <v>521</v>
      </c>
      <c r="B1" s="1014"/>
      <c r="C1" s="1015"/>
      <c r="D1" s="1016"/>
      <c r="E1" s="665"/>
      <c r="F1" s="1017"/>
    </row>
    <row r="2" spans="1:12" s="1018" customFormat="1" ht="15" customHeight="1">
      <c r="A2" s="1013" t="s">
        <v>411</v>
      </c>
      <c r="B2" s="1019" t="s">
        <v>412</v>
      </c>
      <c r="C2" s="1020">
        <f>'G-51 Price Out'!I6</f>
        <v>0.15</v>
      </c>
      <c r="D2" s="1016"/>
      <c r="E2" s="665"/>
      <c r="F2" s="1017"/>
    </row>
    <row r="3" spans="1:12">
      <c r="B3" s="604"/>
      <c r="C3" s="605"/>
      <c r="D3" s="606"/>
      <c r="E3" s="665"/>
      <c r="F3" s="240"/>
    </row>
    <row r="4" spans="1:12">
      <c r="A4" s="597"/>
      <c r="B4" s="604"/>
      <c r="C4" s="605"/>
      <c r="D4" s="606"/>
      <c r="E4" s="665"/>
      <c r="F4" s="240"/>
    </row>
    <row r="5" spans="1:12" ht="39.75" customHeight="1">
      <c r="A5" s="599"/>
      <c r="B5" s="607" t="s">
        <v>522</v>
      </c>
      <c r="C5" s="607" t="s">
        <v>414</v>
      </c>
      <c r="D5" s="607" t="s">
        <v>415</v>
      </c>
      <c r="E5" s="225"/>
      <c r="F5" s="214"/>
      <c r="H5" s="197"/>
      <c r="I5" s="197"/>
      <c r="J5" s="197"/>
      <c r="K5" s="195"/>
      <c r="L5" s="198"/>
    </row>
    <row r="6" spans="1:12">
      <c r="A6" s="600" t="s">
        <v>416</v>
      </c>
      <c r="B6" s="608"/>
      <c r="C6" s="608"/>
      <c r="D6" s="608"/>
    </row>
    <row r="7" spans="1:12">
      <c r="A7" s="601" t="s">
        <v>417</v>
      </c>
      <c r="B7" s="608">
        <v>25</v>
      </c>
      <c r="C7" s="608">
        <f>B7*$C$2</f>
        <v>3.75</v>
      </c>
      <c r="D7" s="608">
        <f>SUM(B7:C7)</f>
        <v>28.75</v>
      </c>
    </row>
    <row r="8" spans="1:12">
      <c r="A8" s="601"/>
      <c r="B8" s="608"/>
      <c r="C8" s="608"/>
      <c r="D8" s="608"/>
    </row>
    <row r="9" spans="1:12">
      <c r="A9" s="600" t="s">
        <v>418</v>
      </c>
      <c r="B9" s="608"/>
      <c r="C9" s="608"/>
      <c r="D9" s="608"/>
    </row>
    <row r="10" spans="1:12">
      <c r="A10" s="601" t="s">
        <v>419</v>
      </c>
      <c r="B10" s="608">
        <v>11.85</v>
      </c>
      <c r="C10" s="608">
        <f>B10*$C$2</f>
        <v>1.7774999999999999</v>
      </c>
      <c r="D10" s="608">
        <f>SUM(B10:C10)</f>
        <v>13.6275</v>
      </c>
    </row>
    <row r="11" spans="1:12">
      <c r="A11" s="601" t="s">
        <v>420</v>
      </c>
      <c r="B11" s="608">
        <v>3.15</v>
      </c>
      <c r="C11" s="608">
        <f t="shared" ref="C11:C12" si="0">B11*$C$2</f>
        <v>0.47249999999999998</v>
      </c>
      <c r="D11" s="608">
        <f t="shared" ref="D11" si="1">SUM(B11:C11)</f>
        <v>3.6225000000000001</v>
      </c>
    </row>
    <row r="12" spans="1:12">
      <c r="A12" s="601" t="s">
        <v>421</v>
      </c>
      <c r="B12" s="608">
        <v>0</v>
      </c>
      <c r="C12" s="608">
        <f t="shared" si="0"/>
        <v>0</v>
      </c>
      <c r="D12" s="608">
        <f>'Rate Schedule G-48'!D12</f>
        <v>53.979322567357023</v>
      </c>
      <c r="E12" s="598" t="s">
        <v>1314</v>
      </c>
    </row>
    <row r="13" spans="1:12">
      <c r="A13" s="601"/>
      <c r="B13" s="608"/>
      <c r="C13" s="608"/>
      <c r="D13" s="608"/>
    </row>
    <row r="14" spans="1:12">
      <c r="A14" s="600" t="s">
        <v>422</v>
      </c>
      <c r="B14" s="608"/>
      <c r="C14" s="608"/>
      <c r="D14" s="608"/>
    </row>
    <row r="15" spans="1:12">
      <c r="A15" s="601" t="s">
        <v>423</v>
      </c>
      <c r="B15" s="608">
        <v>3.05</v>
      </c>
      <c r="C15" s="608">
        <f>B15*$C$2</f>
        <v>0.45749999999999996</v>
      </c>
      <c r="D15" s="608">
        <f>SUM(B15:C15)</f>
        <v>3.5074999999999998</v>
      </c>
      <c r="F15" s="609"/>
    </row>
    <row r="16" spans="1:12">
      <c r="A16" s="601"/>
      <c r="B16" s="608"/>
      <c r="C16" s="608"/>
      <c r="D16" s="608"/>
    </row>
    <row r="17" spans="1:4">
      <c r="A17" s="600" t="s">
        <v>424</v>
      </c>
      <c r="B17" s="608"/>
      <c r="C17" s="608"/>
      <c r="D17" s="608"/>
    </row>
    <row r="18" spans="1:4">
      <c r="A18" s="601" t="s">
        <v>425</v>
      </c>
      <c r="B18" s="608">
        <v>16.5</v>
      </c>
      <c r="C18" s="608">
        <f t="shared" ref="C18:C19" si="2">B18*$C$2</f>
        <v>2.4750000000000001</v>
      </c>
      <c r="D18" s="608">
        <f t="shared" ref="D18:D19" si="3">SUM(B18:C18)</f>
        <v>18.975000000000001</v>
      </c>
    </row>
    <row r="19" spans="1:4">
      <c r="A19" s="601" t="s">
        <v>426</v>
      </c>
      <c r="B19" s="608">
        <v>16.5</v>
      </c>
      <c r="C19" s="608">
        <f t="shared" si="2"/>
        <v>2.4750000000000001</v>
      </c>
      <c r="D19" s="608">
        <f t="shared" si="3"/>
        <v>18.975000000000001</v>
      </c>
    </row>
    <row r="20" spans="1:4">
      <c r="A20" s="601"/>
      <c r="B20" s="608"/>
      <c r="C20" s="608"/>
      <c r="D20" s="608"/>
    </row>
    <row r="21" spans="1:4">
      <c r="A21" s="600" t="s">
        <v>427</v>
      </c>
      <c r="B21" s="608"/>
      <c r="C21" s="608"/>
      <c r="D21" s="608"/>
    </row>
    <row r="22" spans="1:4">
      <c r="A22" s="602" t="s">
        <v>428</v>
      </c>
      <c r="B22" s="608"/>
      <c r="C22" s="608"/>
      <c r="D22" s="608"/>
    </row>
    <row r="23" spans="1:4">
      <c r="A23" s="601" t="s">
        <v>429</v>
      </c>
      <c r="B23" s="608">
        <v>3.15</v>
      </c>
      <c r="C23" s="608">
        <f t="shared" ref="C23:C27" si="4">B23*$C$2</f>
        <v>0.47249999999999998</v>
      </c>
      <c r="D23" s="608">
        <f t="shared" ref="D23:D24" si="5">SUM(B23:C23)</f>
        <v>3.6225000000000001</v>
      </c>
    </row>
    <row r="24" spans="1:4">
      <c r="A24" s="601" t="s">
        <v>16</v>
      </c>
      <c r="B24" s="608">
        <v>44</v>
      </c>
      <c r="C24" s="608">
        <f t="shared" si="4"/>
        <v>6.6</v>
      </c>
      <c r="D24" s="608">
        <f t="shared" si="5"/>
        <v>50.6</v>
      </c>
    </row>
    <row r="25" spans="1:4">
      <c r="A25" s="601" t="s">
        <v>430</v>
      </c>
      <c r="B25" s="608">
        <v>4.75</v>
      </c>
      <c r="C25" s="608">
        <f t="shared" si="4"/>
        <v>0.71250000000000002</v>
      </c>
      <c r="D25" s="608">
        <f>SUM(B25:C25)</f>
        <v>5.4625000000000004</v>
      </c>
    </row>
    <row r="26" spans="1:4">
      <c r="A26" s="601" t="s">
        <v>431</v>
      </c>
      <c r="B26" s="608">
        <v>4.75</v>
      </c>
      <c r="C26" s="608">
        <f t="shared" si="4"/>
        <v>0.71250000000000002</v>
      </c>
      <c r="D26" s="608">
        <f t="shared" ref="D26:D27" si="6">SUM(B26:C26)</f>
        <v>5.4625000000000004</v>
      </c>
    </row>
    <row r="27" spans="1:4">
      <c r="A27" s="601" t="s">
        <v>432</v>
      </c>
      <c r="B27" s="608">
        <v>4.75</v>
      </c>
      <c r="C27" s="608">
        <f t="shared" si="4"/>
        <v>0.71250000000000002</v>
      </c>
      <c r="D27" s="608">
        <f t="shared" si="6"/>
        <v>5.4625000000000004</v>
      </c>
    </row>
    <row r="28" spans="1:4">
      <c r="A28" s="601"/>
      <c r="B28" s="608"/>
      <c r="C28" s="608"/>
      <c r="D28" s="608"/>
    </row>
    <row r="29" spans="1:4">
      <c r="A29" s="600" t="s">
        <v>433</v>
      </c>
      <c r="B29" s="608"/>
      <c r="C29" s="608"/>
      <c r="D29" s="608"/>
    </row>
    <row r="30" spans="1:4">
      <c r="A30" s="602" t="s">
        <v>434</v>
      </c>
      <c r="B30" s="608"/>
      <c r="C30" s="608"/>
      <c r="D30" s="608"/>
    </row>
    <row r="31" spans="1:4">
      <c r="A31" s="601" t="s">
        <v>435</v>
      </c>
      <c r="B31" s="608">
        <v>2.2999999999999998</v>
      </c>
      <c r="C31" s="608">
        <f t="shared" ref="C31:C32" si="7">B31*$C$2</f>
        <v>0.34499999999999997</v>
      </c>
      <c r="D31" s="608">
        <f>SUM(B31:C31)</f>
        <v>2.6449999999999996</v>
      </c>
    </row>
    <row r="32" spans="1:4">
      <c r="A32" s="601" t="s">
        <v>436</v>
      </c>
      <c r="B32" s="608">
        <v>2.2999999999999998</v>
      </c>
      <c r="C32" s="608">
        <f t="shared" si="7"/>
        <v>0.34499999999999997</v>
      </c>
      <c r="D32" s="608">
        <f t="shared" ref="D32" si="8">SUM(B32:C32)</f>
        <v>2.6449999999999996</v>
      </c>
    </row>
    <row r="33" spans="1:4">
      <c r="A33" s="601"/>
      <c r="B33" s="608"/>
      <c r="C33" s="608"/>
      <c r="D33" s="608"/>
    </row>
    <row r="34" spans="1:4">
      <c r="A34" s="601" t="s">
        <v>435</v>
      </c>
      <c r="B34" s="610">
        <v>0.8</v>
      </c>
      <c r="C34" s="608">
        <f t="shared" ref="C34:C35" si="9">B34*$C$2</f>
        <v>0.12</v>
      </c>
      <c r="D34" s="608">
        <f t="shared" ref="D34:D35" si="10">SUM(B34:C34)</f>
        <v>0.92</v>
      </c>
    </row>
    <row r="35" spans="1:4">
      <c r="A35" s="601" t="s">
        <v>436</v>
      </c>
      <c r="B35" s="610">
        <v>0.8</v>
      </c>
      <c r="C35" s="608">
        <f t="shared" si="9"/>
        <v>0.12</v>
      </c>
      <c r="D35" s="608">
        <f t="shared" si="10"/>
        <v>0.92</v>
      </c>
    </row>
    <row r="36" spans="1:4">
      <c r="A36" s="601"/>
      <c r="B36" s="608"/>
      <c r="C36" s="608"/>
      <c r="D36" s="608"/>
    </row>
    <row r="37" spans="1:4">
      <c r="A37" s="602" t="s">
        <v>437</v>
      </c>
      <c r="B37" s="608"/>
      <c r="C37" s="608"/>
      <c r="D37" s="608"/>
    </row>
    <row r="38" spans="1:4">
      <c r="A38" s="601" t="s">
        <v>1315</v>
      </c>
      <c r="B38" s="608">
        <v>4.5999999999999996</v>
      </c>
      <c r="C38" s="608">
        <f t="shared" ref="C38:C39" si="11">B38*$C$2</f>
        <v>0.69</v>
      </c>
      <c r="D38" s="608">
        <f t="shared" ref="D38:D39" si="12">SUM(B38:C38)</f>
        <v>5.2899999999999991</v>
      </c>
    </row>
    <row r="39" spans="1:4">
      <c r="A39" s="601" t="s">
        <v>1316</v>
      </c>
      <c r="B39" s="608">
        <f>B38</f>
        <v>4.5999999999999996</v>
      </c>
      <c r="C39" s="608">
        <f t="shared" si="11"/>
        <v>0.69</v>
      </c>
      <c r="D39" s="608">
        <f t="shared" si="12"/>
        <v>5.2899999999999991</v>
      </c>
    </row>
    <row r="40" spans="1:4">
      <c r="A40" s="601"/>
      <c r="B40" s="608"/>
      <c r="C40" s="608"/>
      <c r="D40" s="608"/>
    </row>
    <row r="41" spans="1:4">
      <c r="A41" s="601" t="s">
        <v>438</v>
      </c>
      <c r="B41" s="610">
        <v>1.7</v>
      </c>
      <c r="C41" s="608">
        <f t="shared" ref="C41:C42" si="13">B41*$C$2</f>
        <v>0.255</v>
      </c>
      <c r="D41" s="608">
        <f t="shared" ref="D41:D42" si="14">SUM(B41:C41)</f>
        <v>1.9550000000000001</v>
      </c>
    </row>
    <row r="42" spans="1:4">
      <c r="A42" s="601" t="s">
        <v>1316</v>
      </c>
      <c r="B42" s="610">
        <f>B41</f>
        <v>1.7</v>
      </c>
      <c r="C42" s="608">
        <f t="shared" si="13"/>
        <v>0.255</v>
      </c>
      <c r="D42" s="608">
        <f t="shared" si="14"/>
        <v>1.9550000000000001</v>
      </c>
    </row>
    <row r="43" spans="1:4">
      <c r="A43" s="601"/>
      <c r="B43" s="608"/>
      <c r="C43" s="608"/>
      <c r="D43" s="608"/>
    </row>
    <row r="44" spans="1:4">
      <c r="A44" s="600" t="s">
        <v>439</v>
      </c>
      <c r="B44" s="608"/>
      <c r="C44" s="608"/>
      <c r="D44" s="608"/>
    </row>
    <row r="45" spans="1:4">
      <c r="A45" s="601" t="s">
        <v>440</v>
      </c>
      <c r="B45" s="608">
        <v>0.4</v>
      </c>
      <c r="C45" s="608">
        <f t="shared" ref="C45:C47" si="15">B45*$C$2</f>
        <v>0.06</v>
      </c>
      <c r="D45" s="608">
        <f t="shared" ref="D45:D47" si="16">SUM(B45:C45)</f>
        <v>0.46</v>
      </c>
    </row>
    <row r="46" spans="1:4">
      <c r="A46" s="601" t="s">
        <v>441</v>
      </c>
      <c r="B46" s="608">
        <v>2.2999999999999998</v>
      </c>
      <c r="C46" s="608">
        <f t="shared" si="15"/>
        <v>0.34499999999999997</v>
      </c>
      <c r="D46" s="608">
        <f t="shared" si="16"/>
        <v>2.6449999999999996</v>
      </c>
    </row>
    <row r="47" spans="1:4">
      <c r="A47" s="601" t="s">
        <v>442</v>
      </c>
      <c r="B47" s="608">
        <v>2.2999999999999998</v>
      </c>
      <c r="C47" s="608">
        <f t="shared" si="15"/>
        <v>0.34499999999999997</v>
      </c>
      <c r="D47" s="608">
        <f t="shared" si="16"/>
        <v>2.6449999999999996</v>
      </c>
    </row>
    <row r="48" spans="1:4">
      <c r="A48" s="601"/>
      <c r="B48" s="608"/>
      <c r="C48" s="608"/>
      <c r="D48" s="608"/>
    </row>
    <row r="49" spans="1:9">
      <c r="A49" s="601" t="s">
        <v>440</v>
      </c>
      <c r="B49" s="611">
        <v>0.15</v>
      </c>
      <c r="C49" s="608">
        <f t="shared" ref="C49:C51" si="17">B49*$C$2</f>
        <v>2.2499999999999999E-2</v>
      </c>
      <c r="D49" s="608">
        <f t="shared" ref="D49:D51" si="18">SUM(B49:C49)</f>
        <v>0.17249999999999999</v>
      </c>
    </row>
    <row r="50" spans="1:9">
      <c r="A50" s="601" t="s">
        <v>443</v>
      </c>
      <c r="B50" s="610">
        <v>0.8</v>
      </c>
      <c r="C50" s="608">
        <f t="shared" si="17"/>
        <v>0.12</v>
      </c>
      <c r="D50" s="608">
        <f t="shared" si="18"/>
        <v>0.92</v>
      </c>
    </row>
    <row r="51" spans="1:9">
      <c r="A51" s="601" t="s">
        <v>442</v>
      </c>
      <c r="B51" s="610">
        <v>0.8</v>
      </c>
      <c r="C51" s="608">
        <f t="shared" si="17"/>
        <v>0.12</v>
      </c>
      <c r="D51" s="608">
        <f t="shared" si="18"/>
        <v>0.92</v>
      </c>
    </row>
    <row r="52" spans="1:9">
      <c r="A52" s="601"/>
      <c r="B52" s="608"/>
      <c r="C52" s="608"/>
      <c r="D52" s="608"/>
    </row>
    <row r="53" spans="1:9">
      <c r="A53" s="600" t="s">
        <v>444</v>
      </c>
      <c r="B53" s="608"/>
      <c r="C53" s="608"/>
      <c r="D53" s="608"/>
    </row>
    <row r="54" spans="1:9">
      <c r="A54" s="601" t="s">
        <v>445</v>
      </c>
      <c r="B54" s="608">
        <v>12.7</v>
      </c>
      <c r="C54" s="608">
        <f>B54*$C$2</f>
        <v>1.9049999999999998</v>
      </c>
      <c r="D54" s="608">
        <f t="shared" ref="D54:D62" si="19">SUM(B54:C54)</f>
        <v>14.604999999999999</v>
      </c>
      <c r="F54" s="609"/>
    </row>
    <row r="55" spans="1:9">
      <c r="A55" s="601" t="s">
        <v>1317</v>
      </c>
      <c r="B55" s="608">
        <v>4.5999999999999996</v>
      </c>
      <c r="C55" s="608">
        <f t="shared" ref="C55:C62" si="20">B55*$C$2</f>
        <v>0.69</v>
      </c>
      <c r="D55" s="608">
        <f t="shared" si="19"/>
        <v>5.2899999999999991</v>
      </c>
      <c r="F55" s="609"/>
    </row>
    <row r="56" spans="1:9">
      <c r="A56" s="601" t="s">
        <v>1318</v>
      </c>
      <c r="B56" s="608">
        <v>9.1999999999999993</v>
      </c>
      <c r="C56" s="608">
        <f t="shared" si="20"/>
        <v>1.38</v>
      </c>
      <c r="D56" s="608">
        <f t="shared" si="19"/>
        <v>10.579999999999998</v>
      </c>
      <c r="F56" s="609"/>
    </row>
    <row r="57" spans="1:9">
      <c r="A57" s="601" t="s">
        <v>1319</v>
      </c>
      <c r="B57" s="608">
        <v>13.8</v>
      </c>
      <c r="C57" s="608">
        <f t="shared" si="20"/>
        <v>2.0699999999999998</v>
      </c>
      <c r="D57" s="608">
        <f t="shared" si="19"/>
        <v>15.870000000000001</v>
      </c>
      <c r="F57" s="609"/>
      <c r="I57" s="824"/>
    </row>
    <row r="58" spans="1:9">
      <c r="A58" s="601" t="s">
        <v>446</v>
      </c>
      <c r="B58" s="608">
        <v>18.55</v>
      </c>
      <c r="C58" s="608">
        <f t="shared" si="20"/>
        <v>2.7825000000000002</v>
      </c>
      <c r="D58" s="608">
        <f t="shared" si="19"/>
        <v>21.3325</v>
      </c>
      <c r="F58" s="609"/>
    </row>
    <row r="59" spans="1:9">
      <c r="A59" s="601" t="s">
        <v>447</v>
      </c>
      <c r="B59" s="608">
        <v>23.3</v>
      </c>
      <c r="C59" s="608">
        <f t="shared" si="20"/>
        <v>3.4950000000000001</v>
      </c>
      <c r="D59" s="608">
        <f t="shared" si="19"/>
        <v>26.795000000000002</v>
      </c>
      <c r="F59" s="609"/>
    </row>
    <row r="60" spans="1:9">
      <c r="A60" s="601" t="s">
        <v>448</v>
      </c>
      <c r="B60" s="608">
        <v>28.1</v>
      </c>
      <c r="C60" s="608">
        <f t="shared" si="20"/>
        <v>4.2149999999999999</v>
      </c>
      <c r="D60" s="608">
        <f t="shared" si="19"/>
        <v>32.314999999999998</v>
      </c>
      <c r="F60" s="609"/>
    </row>
    <row r="61" spans="1:9">
      <c r="A61" s="601" t="s">
        <v>449</v>
      </c>
      <c r="B61" s="608">
        <v>34.1</v>
      </c>
      <c r="C61" s="608">
        <f t="shared" si="20"/>
        <v>5.1150000000000002</v>
      </c>
      <c r="D61" s="608">
        <f t="shared" si="19"/>
        <v>39.215000000000003</v>
      </c>
      <c r="F61" s="609"/>
    </row>
    <row r="62" spans="1:9">
      <c r="A62" s="601" t="s">
        <v>450</v>
      </c>
      <c r="B62" s="608">
        <v>39.049999999999997</v>
      </c>
      <c r="C62" s="608">
        <f t="shared" si="20"/>
        <v>5.857499999999999</v>
      </c>
      <c r="D62" s="608">
        <f t="shared" si="19"/>
        <v>44.907499999999999</v>
      </c>
      <c r="F62" s="609"/>
    </row>
    <row r="63" spans="1:9">
      <c r="A63" s="601"/>
      <c r="B63" s="608"/>
      <c r="C63" s="608"/>
      <c r="D63" s="608"/>
      <c r="F63" s="609"/>
    </row>
    <row r="64" spans="1:9">
      <c r="A64" s="601" t="s">
        <v>1320</v>
      </c>
      <c r="B64" s="608"/>
      <c r="C64" s="608"/>
      <c r="D64" s="608">
        <f>D174</f>
        <v>26.967499999999998</v>
      </c>
      <c r="E64" s="598" t="s">
        <v>1314</v>
      </c>
      <c r="F64" s="609"/>
    </row>
    <row r="65" spans="1:6">
      <c r="A65" s="601" t="s">
        <v>1321</v>
      </c>
      <c r="B65" s="608"/>
      <c r="C65" s="608"/>
      <c r="D65" s="608">
        <f>D64*2</f>
        <v>53.934999999999995</v>
      </c>
      <c r="E65" s="598" t="s">
        <v>1314</v>
      </c>
      <c r="F65" s="609"/>
    </row>
    <row r="66" spans="1:6">
      <c r="A66" s="601" t="s">
        <v>1322</v>
      </c>
      <c r="B66" s="608"/>
      <c r="C66" s="608"/>
      <c r="D66" s="608">
        <f>D178</f>
        <v>38.352499999999999</v>
      </c>
      <c r="E66" s="598" t="s">
        <v>1314</v>
      </c>
    </row>
    <row r="67" spans="1:6">
      <c r="A67" s="601"/>
      <c r="B67" s="608"/>
      <c r="C67" s="608"/>
      <c r="D67" s="608"/>
    </row>
    <row r="68" spans="1:6">
      <c r="A68" s="600" t="s">
        <v>452</v>
      </c>
      <c r="B68" s="608"/>
      <c r="C68" s="608"/>
      <c r="D68" s="608"/>
      <c r="F68" s="609"/>
    </row>
    <row r="69" spans="1:6">
      <c r="A69" s="601" t="s">
        <v>451</v>
      </c>
      <c r="B69" s="608">
        <v>4</v>
      </c>
      <c r="C69" s="608">
        <f>B69*$C$2</f>
        <v>0.6</v>
      </c>
      <c r="D69" s="608">
        <f>SUM(B69:C69)</f>
        <v>4.5999999999999996</v>
      </c>
      <c r="F69" s="609"/>
    </row>
    <row r="70" spans="1:6">
      <c r="A70" s="601"/>
      <c r="B70" s="608"/>
      <c r="C70" s="608"/>
      <c r="D70" s="608"/>
    </row>
    <row r="71" spans="1:6">
      <c r="A71" s="600" t="s">
        <v>452</v>
      </c>
      <c r="B71" s="608"/>
      <c r="C71" s="608"/>
      <c r="D71" s="608"/>
    </row>
    <row r="72" spans="1:6">
      <c r="A72" s="601" t="s">
        <v>453</v>
      </c>
      <c r="B72" s="608">
        <v>3.2</v>
      </c>
      <c r="C72" s="608">
        <f t="shared" ref="C72:C76" si="21">B72*$C$2</f>
        <v>0.48</v>
      </c>
      <c r="D72" s="608">
        <f t="shared" ref="D72" si="22">SUM(B72:C72)</f>
        <v>3.68</v>
      </c>
      <c r="F72" s="609"/>
    </row>
    <row r="73" spans="1:6">
      <c r="A73" s="601" t="s">
        <v>1323</v>
      </c>
      <c r="B73" s="608"/>
      <c r="C73" s="608"/>
      <c r="D73" s="608">
        <f>D173</f>
        <v>8.0500000000000007</v>
      </c>
      <c r="E73" s="598" t="s">
        <v>1314</v>
      </c>
      <c r="F73" s="609"/>
    </row>
    <row r="74" spans="1:6">
      <c r="A74" s="601" t="s">
        <v>1324</v>
      </c>
      <c r="B74" s="608"/>
      <c r="C74" s="608"/>
      <c r="D74" s="608">
        <f>D177</f>
        <v>9.9474999999999998</v>
      </c>
      <c r="E74" s="598" t="s">
        <v>1314</v>
      </c>
      <c r="F74" s="609"/>
    </row>
    <row r="75" spans="1:6">
      <c r="A75" s="601"/>
      <c r="B75" s="608"/>
      <c r="C75" s="608"/>
      <c r="D75" s="608"/>
      <c r="F75" s="609"/>
    </row>
    <row r="76" spans="1:6">
      <c r="A76" s="601" t="s">
        <v>1325</v>
      </c>
      <c r="B76" s="608">
        <v>4.5999999999999996</v>
      </c>
      <c r="C76" s="608">
        <f t="shared" si="21"/>
        <v>0.69</v>
      </c>
      <c r="D76" s="608">
        <f t="shared" ref="D76" si="23">SUM(B76:C76)</f>
        <v>5.2899999999999991</v>
      </c>
    </row>
    <row r="77" spans="1:6">
      <c r="A77" s="602"/>
      <c r="B77" s="608"/>
      <c r="C77" s="608"/>
      <c r="D77" s="608"/>
    </row>
    <row r="78" spans="1:6">
      <c r="A78" s="600" t="s">
        <v>458</v>
      </c>
      <c r="B78" s="608"/>
      <c r="C78" s="608"/>
      <c r="D78" s="608"/>
    </row>
    <row r="79" spans="1:6">
      <c r="A79" s="601" t="s">
        <v>459</v>
      </c>
      <c r="B79" s="608">
        <v>12.7</v>
      </c>
      <c r="C79" s="608">
        <f t="shared" ref="C79:C86" si="24">B79*$C$2</f>
        <v>1.9049999999999998</v>
      </c>
      <c r="D79" s="608">
        <f t="shared" ref="D79:D86" si="25">SUM(B79:C79)</f>
        <v>14.604999999999999</v>
      </c>
      <c r="F79" s="609"/>
    </row>
    <row r="80" spans="1:6">
      <c r="A80" s="601" t="s">
        <v>523</v>
      </c>
      <c r="B80" s="608">
        <v>23.05</v>
      </c>
      <c r="C80" s="608">
        <f t="shared" si="24"/>
        <v>3.4575</v>
      </c>
      <c r="D80" s="608">
        <f t="shared" si="25"/>
        <v>26.5075</v>
      </c>
      <c r="F80" s="609"/>
    </row>
    <row r="81" spans="1:6">
      <c r="A81" s="601" t="s">
        <v>461</v>
      </c>
      <c r="B81" s="608">
        <v>12.7</v>
      </c>
      <c r="C81" s="608">
        <f t="shared" si="24"/>
        <v>1.9049999999999998</v>
      </c>
      <c r="D81" s="608">
        <f t="shared" si="25"/>
        <v>14.604999999999999</v>
      </c>
      <c r="F81" s="609"/>
    </row>
    <row r="82" spans="1:6">
      <c r="A82" s="601" t="s">
        <v>524</v>
      </c>
      <c r="B82" s="608">
        <v>23.05</v>
      </c>
      <c r="C82" s="608">
        <f t="shared" si="24"/>
        <v>3.4575</v>
      </c>
      <c r="D82" s="608">
        <f t="shared" si="25"/>
        <v>26.5075</v>
      </c>
      <c r="F82" s="609"/>
    </row>
    <row r="83" spans="1:6" ht="12" customHeight="1">
      <c r="A83" s="601" t="s">
        <v>463</v>
      </c>
      <c r="B83" s="608">
        <v>12.55</v>
      </c>
      <c r="C83" s="608">
        <f t="shared" si="24"/>
        <v>1.8825000000000001</v>
      </c>
      <c r="D83" s="608">
        <f t="shared" si="25"/>
        <v>14.432500000000001</v>
      </c>
      <c r="F83" s="609"/>
    </row>
    <row r="84" spans="1:6">
      <c r="A84" s="601" t="s">
        <v>463</v>
      </c>
      <c r="B84" s="608">
        <v>12.55</v>
      </c>
      <c r="C84" s="608">
        <f t="shared" si="24"/>
        <v>1.8825000000000001</v>
      </c>
      <c r="D84" s="608">
        <f t="shared" si="25"/>
        <v>14.432500000000001</v>
      </c>
      <c r="F84" s="609"/>
    </row>
    <row r="85" spans="1:6">
      <c r="A85" s="601" t="s">
        <v>464</v>
      </c>
      <c r="B85" s="608">
        <v>7.85</v>
      </c>
      <c r="C85" s="608">
        <f t="shared" si="24"/>
        <v>1.1775</v>
      </c>
      <c r="D85" s="608">
        <f t="shared" si="25"/>
        <v>9.0274999999999999</v>
      </c>
    </row>
    <row r="86" spans="1:6">
      <c r="A86" s="601" t="s">
        <v>464</v>
      </c>
      <c r="B86" s="608">
        <v>7.85</v>
      </c>
      <c r="C86" s="608">
        <f t="shared" si="24"/>
        <v>1.1775</v>
      </c>
      <c r="D86" s="608">
        <f t="shared" si="25"/>
        <v>9.0274999999999999</v>
      </c>
    </row>
    <row r="87" spans="1:6">
      <c r="A87" s="601"/>
      <c r="B87" s="608"/>
      <c r="C87" s="608"/>
      <c r="D87" s="608"/>
    </row>
    <row r="88" spans="1:6">
      <c r="A88" s="600" t="s">
        <v>465</v>
      </c>
      <c r="B88" s="608"/>
      <c r="C88" s="608"/>
      <c r="D88" s="608"/>
    </row>
    <row r="89" spans="1:6">
      <c r="A89" s="601" t="s">
        <v>466</v>
      </c>
      <c r="B89" s="608"/>
      <c r="C89" s="608"/>
      <c r="D89" s="608"/>
    </row>
    <row r="90" spans="1:6">
      <c r="A90" s="601" t="s">
        <v>467</v>
      </c>
      <c r="B90" s="608">
        <v>65.05</v>
      </c>
      <c r="C90" s="608">
        <f t="shared" ref="C90:C92" si="26">B90*$C$2</f>
        <v>9.7574999999999985</v>
      </c>
      <c r="D90" s="608">
        <f t="shared" ref="D90:D92" si="27">SUM(B90:C90)</f>
        <v>74.80749999999999</v>
      </c>
    </row>
    <row r="91" spans="1:6">
      <c r="A91" s="601" t="s">
        <v>468</v>
      </c>
      <c r="B91" s="608">
        <v>75.5</v>
      </c>
      <c r="C91" s="608">
        <f t="shared" si="26"/>
        <v>11.324999999999999</v>
      </c>
      <c r="D91" s="608">
        <f t="shared" si="27"/>
        <v>86.825000000000003</v>
      </c>
    </row>
    <row r="92" spans="1:6">
      <c r="A92" s="601" t="s">
        <v>470</v>
      </c>
      <c r="B92" s="608">
        <v>25.2</v>
      </c>
      <c r="C92" s="608">
        <f t="shared" si="26"/>
        <v>3.78</v>
      </c>
      <c r="D92" s="608">
        <f t="shared" si="27"/>
        <v>28.98</v>
      </c>
    </row>
    <row r="93" spans="1:6">
      <c r="A93" s="601"/>
      <c r="B93" s="608"/>
      <c r="C93" s="608"/>
      <c r="D93" s="608"/>
    </row>
    <row r="94" spans="1:6">
      <c r="A94" s="601"/>
      <c r="B94" s="608"/>
      <c r="C94" s="608"/>
      <c r="D94" s="608"/>
    </row>
    <row r="95" spans="1:6">
      <c r="A95" s="600" t="s">
        <v>472</v>
      </c>
      <c r="B95" s="608"/>
      <c r="C95" s="608"/>
      <c r="D95" s="608"/>
    </row>
    <row r="96" spans="1:6">
      <c r="A96" s="601" t="s">
        <v>473</v>
      </c>
      <c r="B96" s="608"/>
      <c r="C96" s="608"/>
      <c r="D96" s="608"/>
    </row>
    <row r="97" spans="1:4">
      <c r="A97" s="601" t="s">
        <v>474</v>
      </c>
      <c r="B97" s="608">
        <v>3.2</v>
      </c>
      <c r="C97" s="608">
        <f>B97*$C$2</f>
        <v>0.48</v>
      </c>
      <c r="D97" s="608">
        <f t="shared" ref="D97" si="28">SUM(B97:C97)</f>
        <v>3.68</v>
      </c>
    </row>
    <row r="98" spans="1:4">
      <c r="A98" s="601"/>
      <c r="B98" s="608"/>
      <c r="C98" s="608"/>
      <c r="D98" s="608"/>
    </row>
    <row r="99" spans="1:4">
      <c r="A99" s="600" t="s">
        <v>475</v>
      </c>
      <c r="B99" s="608"/>
      <c r="C99" s="608"/>
      <c r="D99" s="608"/>
    </row>
    <row r="100" spans="1:4">
      <c r="A100" s="601" t="s">
        <v>476</v>
      </c>
      <c r="B100" s="608">
        <v>4</v>
      </c>
      <c r="C100" s="608">
        <f t="shared" ref="C100:C105" si="29">B100*$C$2</f>
        <v>0.6</v>
      </c>
      <c r="D100" s="608">
        <f t="shared" ref="D100:D104" si="30">SUM(B100:C100)</f>
        <v>4.5999999999999996</v>
      </c>
    </row>
    <row r="101" spans="1:4">
      <c r="A101" s="601" t="s">
        <v>463</v>
      </c>
      <c r="B101" s="608">
        <v>4</v>
      </c>
      <c r="C101" s="608">
        <f t="shared" si="29"/>
        <v>0.6</v>
      </c>
      <c r="D101" s="608">
        <f>SUM(B101:C101)*4</f>
        <v>18.399999999999999</v>
      </c>
    </row>
    <row r="102" spans="1:4">
      <c r="A102" s="601" t="s">
        <v>477</v>
      </c>
      <c r="B102" s="608">
        <v>4</v>
      </c>
      <c r="C102" s="608">
        <f t="shared" si="29"/>
        <v>0.6</v>
      </c>
      <c r="D102" s="608">
        <f t="shared" si="30"/>
        <v>4.5999999999999996</v>
      </c>
    </row>
    <row r="103" spans="1:4">
      <c r="A103" s="601" t="s">
        <v>463</v>
      </c>
      <c r="B103" s="608">
        <v>4</v>
      </c>
      <c r="C103" s="608">
        <f t="shared" si="29"/>
        <v>0.6</v>
      </c>
      <c r="D103" s="608">
        <f>SUM(B103:C103)*4</f>
        <v>18.399999999999999</v>
      </c>
    </row>
    <row r="104" spans="1:4">
      <c r="A104" s="601" t="s">
        <v>478</v>
      </c>
      <c r="B104" s="608">
        <v>4</v>
      </c>
      <c r="C104" s="608">
        <f t="shared" si="29"/>
        <v>0.6</v>
      </c>
      <c r="D104" s="608">
        <f t="shared" si="30"/>
        <v>4.5999999999999996</v>
      </c>
    </row>
    <row r="105" spans="1:4">
      <c r="A105" s="601" t="s">
        <v>463</v>
      </c>
      <c r="B105" s="608">
        <v>4</v>
      </c>
      <c r="C105" s="608">
        <f t="shared" si="29"/>
        <v>0.6</v>
      </c>
      <c r="D105" s="608">
        <f>SUM(B105:C105)*4</f>
        <v>18.399999999999999</v>
      </c>
    </row>
    <row r="106" spans="1:4">
      <c r="A106" s="601"/>
      <c r="B106" s="608"/>
      <c r="C106" s="608"/>
      <c r="D106" s="608"/>
    </row>
    <row r="107" spans="1:4">
      <c r="A107" s="601" t="s">
        <v>479</v>
      </c>
      <c r="B107" s="608"/>
      <c r="C107" s="608"/>
      <c r="D107" s="608"/>
    </row>
    <row r="108" spans="1:4">
      <c r="A108" s="601" t="s">
        <v>480</v>
      </c>
      <c r="B108" s="608">
        <v>14.3</v>
      </c>
      <c r="C108" s="608">
        <f t="shared" ref="C108:C109" si="31">B108*$C$2</f>
        <v>2.145</v>
      </c>
      <c r="D108" s="608">
        <f t="shared" ref="D108:D109" si="32">SUM(B108:C108)</f>
        <v>16.445</v>
      </c>
    </row>
    <row r="109" spans="1:4">
      <c r="A109" s="601" t="s">
        <v>481</v>
      </c>
      <c r="B109" s="608">
        <v>59.6</v>
      </c>
      <c r="C109" s="608">
        <f t="shared" si="31"/>
        <v>8.94</v>
      </c>
      <c r="D109" s="608">
        <f t="shared" si="32"/>
        <v>68.540000000000006</v>
      </c>
    </row>
    <row r="110" spans="1:4">
      <c r="A110" s="601"/>
      <c r="B110" s="608"/>
      <c r="C110" s="608"/>
      <c r="D110" s="608"/>
    </row>
    <row r="111" spans="1:4">
      <c r="A111" s="600" t="s">
        <v>482</v>
      </c>
      <c r="B111" s="608"/>
      <c r="C111" s="608"/>
      <c r="D111" s="608"/>
    </row>
    <row r="112" spans="1:4">
      <c r="A112" s="601" t="s">
        <v>483</v>
      </c>
      <c r="B112" s="608">
        <v>3.11</v>
      </c>
      <c r="C112" s="608"/>
      <c r="D112" s="608">
        <f t="shared" ref="D112:D114" si="33">SUM(B112:C112)</f>
        <v>3.11</v>
      </c>
    </row>
    <row r="113" spans="1:7">
      <c r="A113" s="601" t="s">
        <v>484</v>
      </c>
      <c r="B113" s="608">
        <v>13</v>
      </c>
      <c r="C113" s="608"/>
      <c r="D113" s="608">
        <f t="shared" si="33"/>
        <v>13</v>
      </c>
    </row>
    <row r="114" spans="1:7">
      <c r="A114" s="601" t="s">
        <v>484</v>
      </c>
      <c r="B114" s="608">
        <v>9.25</v>
      </c>
      <c r="C114" s="608"/>
      <c r="D114" s="608">
        <f t="shared" si="33"/>
        <v>9.25</v>
      </c>
    </row>
    <row r="115" spans="1:7">
      <c r="A115" s="603"/>
      <c r="B115" s="608"/>
      <c r="C115" s="608"/>
      <c r="D115" s="608"/>
      <c r="F115" s="613"/>
    </row>
    <row r="116" spans="1:7">
      <c r="A116" s="601"/>
      <c r="B116" s="608"/>
      <c r="C116" s="608"/>
      <c r="D116" s="608"/>
    </row>
    <row r="117" spans="1:7">
      <c r="A117" s="600" t="s">
        <v>486</v>
      </c>
      <c r="B117" s="608"/>
      <c r="C117" s="608"/>
      <c r="D117" s="608"/>
    </row>
    <row r="118" spans="1:7">
      <c r="A118" s="601" t="s">
        <v>487</v>
      </c>
      <c r="B118" s="608"/>
      <c r="C118" s="608"/>
      <c r="D118" s="608"/>
    </row>
    <row r="119" spans="1:7">
      <c r="A119" s="601" t="s">
        <v>488</v>
      </c>
      <c r="B119" s="608">
        <v>13.65</v>
      </c>
      <c r="C119" s="608">
        <f t="shared" ref="C119" si="34">B119*$C$2</f>
        <v>2.0474999999999999</v>
      </c>
      <c r="D119" s="608">
        <f t="shared" ref="D119:D123" si="35">SUM(B119:C119)</f>
        <v>15.6975</v>
      </c>
    </row>
    <row r="120" spans="1:7">
      <c r="A120" s="601" t="s">
        <v>489</v>
      </c>
      <c r="B120" s="608">
        <v>16.649999999999999</v>
      </c>
      <c r="C120" s="608">
        <f t="shared" ref="C120:C123" si="36">B120*$C$2</f>
        <v>2.4974999999999996</v>
      </c>
      <c r="D120" s="608">
        <f t="shared" si="35"/>
        <v>19.147499999999997</v>
      </c>
    </row>
    <row r="121" spans="1:7">
      <c r="A121" s="601" t="s">
        <v>490</v>
      </c>
      <c r="B121" s="608">
        <v>19.7</v>
      </c>
      <c r="C121" s="608">
        <f t="shared" si="36"/>
        <v>2.9549999999999996</v>
      </c>
      <c r="D121" s="608">
        <f t="shared" si="35"/>
        <v>22.654999999999998</v>
      </c>
    </row>
    <row r="122" spans="1:7">
      <c r="A122" s="601" t="s">
        <v>491</v>
      </c>
      <c r="B122" s="598">
        <v>25.85</v>
      </c>
      <c r="C122" s="608">
        <f t="shared" si="36"/>
        <v>3.8774999999999999</v>
      </c>
      <c r="D122" s="608">
        <f t="shared" si="35"/>
        <v>29.727500000000003</v>
      </c>
    </row>
    <row r="123" spans="1:7">
      <c r="A123" s="601" t="s">
        <v>492</v>
      </c>
      <c r="B123" s="598">
        <v>31.25</v>
      </c>
      <c r="C123" s="608">
        <f t="shared" si="36"/>
        <v>4.6875</v>
      </c>
      <c r="D123" s="608">
        <f t="shared" si="35"/>
        <v>35.9375</v>
      </c>
    </row>
    <row r="124" spans="1:7">
      <c r="A124" s="602"/>
      <c r="B124" s="608"/>
      <c r="C124" s="608"/>
      <c r="D124" s="608"/>
    </row>
    <row r="125" spans="1:7">
      <c r="A125" s="601" t="s">
        <v>493</v>
      </c>
      <c r="B125" s="608"/>
      <c r="C125" s="608"/>
      <c r="D125" s="608"/>
    </row>
    <row r="126" spans="1:7">
      <c r="A126" s="601" t="s">
        <v>488</v>
      </c>
      <c r="B126" s="608">
        <v>10.95</v>
      </c>
      <c r="C126" s="608">
        <f t="shared" ref="C126:C130" si="37">B126*$C$2</f>
        <v>1.6424999999999998</v>
      </c>
      <c r="D126" s="608">
        <f t="shared" ref="D126:D130" si="38">SUM(B126:C126)</f>
        <v>12.592499999999999</v>
      </c>
      <c r="F126" s="612"/>
      <c r="G126" s="199"/>
    </row>
    <row r="127" spans="1:7">
      <c r="A127" s="601" t="s">
        <v>489</v>
      </c>
      <c r="B127" s="608">
        <v>16.3</v>
      </c>
      <c r="C127" s="608">
        <f t="shared" si="37"/>
        <v>2.4449999999999998</v>
      </c>
      <c r="D127" s="608">
        <f t="shared" si="38"/>
        <v>18.745000000000001</v>
      </c>
      <c r="F127" s="609"/>
    </row>
    <row r="128" spans="1:7">
      <c r="A128" s="601" t="s">
        <v>490</v>
      </c>
      <c r="B128" s="608">
        <v>21.35</v>
      </c>
      <c r="C128" s="608">
        <f t="shared" si="37"/>
        <v>3.2025000000000001</v>
      </c>
      <c r="D128" s="608">
        <f t="shared" si="38"/>
        <v>24.552500000000002</v>
      </c>
      <c r="F128" s="609"/>
    </row>
    <row r="129" spans="1:6">
      <c r="A129" s="601" t="s">
        <v>491</v>
      </c>
      <c r="B129" s="608">
        <v>28.45</v>
      </c>
      <c r="C129" s="608">
        <f t="shared" si="37"/>
        <v>4.2675000000000001</v>
      </c>
      <c r="D129" s="608">
        <f t="shared" si="38"/>
        <v>32.717500000000001</v>
      </c>
      <c r="F129" s="609"/>
    </row>
    <row r="130" spans="1:6">
      <c r="A130" s="601" t="s">
        <v>492</v>
      </c>
      <c r="B130" s="608">
        <v>34.65</v>
      </c>
      <c r="C130" s="608">
        <f t="shared" si="37"/>
        <v>5.1974999999999998</v>
      </c>
      <c r="D130" s="608">
        <f t="shared" si="38"/>
        <v>39.847499999999997</v>
      </c>
      <c r="F130" s="609"/>
    </row>
    <row r="131" spans="1:6">
      <c r="A131" s="601"/>
      <c r="B131" s="608"/>
      <c r="C131" s="608"/>
      <c r="D131" s="608"/>
    </row>
    <row r="132" spans="1:6">
      <c r="A132" s="601" t="s">
        <v>494</v>
      </c>
      <c r="B132" s="608"/>
      <c r="C132" s="608"/>
      <c r="D132" s="608"/>
    </row>
    <row r="133" spans="1:6">
      <c r="A133" s="601" t="s">
        <v>488</v>
      </c>
      <c r="B133" s="608">
        <v>16.45</v>
      </c>
      <c r="C133" s="608">
        <f t="shared" ref="C133:C137" si="39">B133*$C$2</f>
        <v>2.4674999999999998</v>
      </c>
      <c r="D133" s="608">
        <f t="shared" ref="D133:D137" si="40">SUM(B133:C133)</f>
        <v>18.9175</v>
      </c>
      <c r="F133" s="612"/>
    </row>
    <row r="134" spans="1:6">
      <c r="A134" s="601" t="s">
        <v>489</v>
      </c>
      <c r="B134" s="608">
        <v>24.35</v>
      </c>
      <c r="C134" s="608">
        <f t="shared" si="39"/>
        <v>3.6524999999999999</v>
      </c>
      <c r="D134" s="608">
        <f t="shared" si="40"/>
        <v>28.002500000000001</v>
      </c>
      <c r="F134" s="612"/>
    </row>
    <row r="135" spans="1:6">
      <c r="A135" s="601" t="s">
        <v>490</v>
      </c>
      <c r="B135" s="608">
        <v>32.15</v>
      </c>
      <c r="C135" s="608">
        <f t="shared" si="39"/>
        <v>4.8224999999999998</v>
      </c>
      <c r="D135" s="608">
        <f t="shared" si="40"/>
        <v>36.972499999999997</v>
      </c>
      <c r="F135" s="612"/>
    </row>
    <row r="136" spans="1:6">
      <c r="A136" s="601" t="s">
        <v>491</v>
      </c>
      <c r="B136" s="608">
        <v>40.450000000000003</v>
      </c>
      <c r="C136" s="608">
        <f t="shared" si="39"/>
        <v>6.0674999999999999</v>
      </c>
      <c r="D136" s="608">
        <f t="shared" si="40"/>
        <v>46.517500000000005</v>
      </c>
      <c r="F136" s="612"/>
    </row>
    <row r="137" spans="1:6">
      <c r="A137" s="601" t="s">
        <v>492</v>
      </c>
      <c r="B137" s="608">
        <v>47.45</v>
      </c>
      <c r="C137" s="608">
        <f t="shared" si="39"/>
        <v>7.1175000000000006</v>
      </c>
      <c r="D137" s="608">
        <f t="shared" si="40"/>
        <v>54.567500000000003</v>
      </c>
      <c r="F137" s="612"/>
    </row>
    <row r="138" spans="1:6">
      <c r="A138" s="601"/>
      <c r="B138" s="608"/>
      <c r="C138" s="608"/>
      <c r="D138" s="608"/>
    </row>
    <row r="139" spans="1:6">
      <c r="A139" s="601" t="s">
        <v>495</v>
      </c>
      <c r="B139" s="608"/>
      <c r="C139" s="608"/>
      <c r="D139" s="608"/>
    </row>
    <row r="140" spans="1:6">
      <c r="A140" s="601" t="s">
        <v>488</v>
      </c>
      <c r="B140" s="608">
        <v>12.7</v>
      </c>
      <c r="C140" s="608">
        <f t="shared" ref="C140:C144" si="41">B140*$C$2</f>
        <v>1.9049999999999998</v>
      </c>
      <c r="D140" s="608">
        <f t="shared" ref="D140:D144" si="42">SUM(B140:C140)</f>
        <v>14.604999999999999</v>
      </c>
      <c r="F140" s="612"/>
    </row>
    <row r="141" spans="1:6">
      <c r="A141" s="601" t="s">
        <v>489</v>
      </c>
      <c r="B141" s="608">
        <v>13.45</v>
      </c>
      <c r="C141" s="608">
        <f t="shared" si="41"/>
        <v>2.0174999999999996</v>
      </c>
      <c r="D141" s="608">
        <f t="shared" si="42"/>
        <v>15.467499999999999</v>
      </c>
      <c r="F141" s="612"/>
    </row>
    <row r="142" spans="1:6">
      <c r="A142" s="601" t="s">
        <v>490</v>
      </c>
      <c r="B142" s="608">
        <v>14.25</v>
      </c>
      <c r="C142" s="608">
        <f t="shared" si="41"/>
        <v>2.1374999999999997</v>
      </c>
      <c r="D142" s="608">
        <f t="shared" si="42"/>
        <v>16.387499999999999</v>
      </c>
      <c r="F142" s="612"/>
    </row>
    <row r="143" spans="1:6">
      <c r="A143" s="601" t="s">
        <v>491</v>
      </c>
      <c r="B143" s="608">
        <v>16.649999999999999</v>
      </c>
      <c r="C143" s="608">
        <f t="shared" si="41"/>
        <v>2.4974999999999996</v>
      </c>
      <c r="D143" s="608">
        <f t="shared" si="42"/>
        <v>19.147499999999997</v>
      </c>
      <c r="F143" s="612"/>
    </row>
    <row r="144" spans="1:6">
      <c r="A144" s="601" t="s">
        <v>492</v>
      </c>
      <c r="B144" s="608">
        <v>18.55</v>
      </c>
      <c r="C144" s="608">
        <f t="shared" si="41"/>
        <v>2.7825000000000002</v>
      </c>
      <c r="D144" s="608">
        <f t="shared" si="42"/>
        <v>21.3325</v>
      </c>
      <c r="F144" s="612"/>
    </row>
    <row r="145" spans="1:4">
      <c r="A145" s="601"/>
      <c r="B145" s="608"/>
      <c r="C145" s="608"/>
      <c r="D145" s="608"/>
    </row>
    <row r="146" spans="1:4">
      <c r="A146" s="601" t="s">
        <v>496</v>
      </c>
      <c r="B146" s="608"/>
      <c r="C146" s="608"/>
      <c r="D146" s="608"/>
    </row>
    <row r="147" spans="1:4">
      <c r="A147" s="601" t="s">
        <v>488</v>
      </c>
      <c r="B147" s="608">
        <v>1.9</v>
      </c>
      <c r="C147" s="608">
        <f t="shared" ref="C147:C151" si="43">B147*$C$2</f>
        <v>0.28499999999999998</v>
      </c>
      <c r="D147" s="608">
        <f t="shared" ref="D147:D151" si="44">SUM(B147:C147)</f>
        <v>2.1850000000000001</v>
      </c>
    </row>
    <row r="148" spans="1:4">
      <c r="A148" s="601" t="s">
        <v>489</v>
      </c>
      <c r="B148" s="608">
        <v>1.9</v>
      </c>
      <c r="C148" s="608">
        <f t="shared" si="43"/>
        <v>0.28499999999999998</v>
      </c>
      <c r="D148" s="608">
        <f t="shared" si="44"/>
        <v>2.1850000000000001</v>
      </c>
    </row>
    <row r="149" spans="1:4">
      <c r="A149" s="601" t="s">
        <v>490</v>
      </c>
      <c r="B149" s="608">
        <v>2.5499999999999998</v>
      </c>
      <c r="C149" s="608">
        <f t="shared" si="43"/>
        <v>0.38249999999999995</v>
      </c>
      <c r="D149" s="608">
        <f t="shared" si="44"/>
        <v>2.9324999999999997</v>
      </c>
    </row>
    <row r="150" spans="1:4">
      <c r="A150" s="601" t="s">
        <v>491</v>
      </c>
      <c r="B150" s="608">
        <v>2.9</v>
      </c>
      <c r="C150" s="608">
        <f t="shared" si="43"/>
        <v>0.435</v>
      </c>
      <c r="D150" s="608">
        <f t="shared" si="44"/>
        <v>3.335</v>
      </c>
    </row>
    <row r="151" spans="1:4">
      <c r="A151" s="601" t="s">
        <v>492</v>
      </c>
      <c r="B151" s="608">
        <v>3.15</v>
      </c>
      <c r="C151" s="608">
        <f t="shared" si="43"/>
        <v>0.47249999999999998</v>
      </c>
      <c r="D151" s="608">
        <f t="shared" si="44"/>
        <v>3.6225000000000001</v>
      </c>
    </row>
    <row r="152" spans="1:4">
      <c r="A152" s="601"/>
      <c r="B152" s="608"/>
      <c r="C152" s="608"/>
      <c r="D152" s="608"/>
    </row>
    <row r="153" spans="1:4">
      <c r="A153" s="601" t="s">
        <v>488</v>
      </c>
      <c r="B153" s="608">
        <v>21.25</v>
      </c>
      <c r="C153" s="608">
        <f t="shared" ref="C153:C157" si="45">B153*$C$2</f>
        <v>3.1875</v>
      </c>
      <c r="D153" s="608">
        <f t="shared" ref="D153:D157" si="46">SUM(B153:C153)</f>
        <v>24.4375</v>
      </c>
    </row>
    <row r="154" spans="1:4">
      <c r="A154" s="601" t="s">
        <v>489</v>
      </c>
      <c r="B154" s="608">
        <v>24.45</v>
      </c>
      <c r="C154" s="608">
        <f t="shared" si="45"/>
        <v>3.6674999999999995</v>
      </c>
      <c r="D154" s="608">
        <f t="shared" si="46"/>
        <v>28.1175</v>
      </c>
    </row>
    <row r="155" spans="1:4">
      <c r="A155" s="601" t="s">
        <v>490</v>
      </c>
      <c r="B155" s="608">
        <v>28.6</v>
      </c>
      <c r="C155" s="608">
        <f t="shared" si="45"/>
        <v>4.29</v>
      </c>
      <c r="D155" s="608">
        <f t="shared" si="46"/>
        <v>32.89</v>
      </c>
    </row>
    <row r="156" spans="1:4">
      <c r="A156" s="601" t="s">
        <v>491</v>
      </c>
      <c r="B156" s="608">
        <v>36.65</v>
      </c>
      <c r="C156" s="608">
        <f t="shared" si="45"/>
        <v>5.4974999999999996</v>
      </c>
      <c r="D156" s="608">
        <f t="shared" si="46"/>
        <v>42.147500000000001</v>
      </c>
    </row>
    <row r="157" spans="1:4">
      <c r="A157" s="601" t="s">
        <v>492</v>
      </c>
      <c r="B157" s="608">
        <v>43.6</v>
      </c>
      <c r="C157" s="608">
        <f t="shared" si="45"/>
        <v>6.54</v>
      </c>
      <c r="D157" s="608">
        <f t="shared" si="46"/>
        <v>50.14</v>
      </c>
    </row>
    <row r="158" spans="1:4">
      <c r="A158" s="601"/>
      <c r="B158" s="608"/>
      <c r="C158" s="608"/>
      <c r="D158" s="608"/>
    </row>
    <row r="159" spans="1:4">
      <c r="A159" s="601" t="s">
        <v>451</v>
      </c>
      <c r="B159" s="608">
        <v>1</v>
      </c>
      <c r="C159" s="608">
        <f t="shared" ref="C159:C160" si="47">B159*$C$2</f>
        <v>0.15</v>
      </c>
      <c r="D159" s="608">
        <f t="shared" ref="D159:D160" si="48">SUM(B159:C159)</f>
        <v>1.1499999999999999</v>
      </c>
    </row>
    <row r="160" spans="1:4">
      <c r="A160" s="601" t="s">
        <v>497</v>
      </c>
      <c r="B160" s="608">
        <v>0.75</v>
      </c>
      <c r="C160" s="608">
        <f t="shared" si="47"/>
        <v>0.11249999999999999</v>
      </c>
      <c r="D160" s="608">
        <f t="shared" si="48"/>
        <v>0.86250000000000004</v>
      </c>
    </row>
    <row r="161" spans="1:6">
      <c r="A161" s="601"/>
      <c r="B161" s="608"/>
      <c r="C161" s="608"/>
      <c r="D161" s="608"/>
    </row>
    <row r="162" spans="1:6">
      <c r="A162" s="600" t="s">
        <v>498</v>
      </c>
      <c r="B162" s="608"/>
      <c r="C162" s="608"/>
      <c r="D162" s="608"/>
    </row>
    <row r="163" spans="1:6">
      <c r="A163" s="601" t="s">
        <v>499</v>
      </c>
      <c r="B163" s="608">
        <v>2.75</v>
      </c>
      <c r="C163" s="608">
        <f t="shared" ref="C163:C167" si="49">B163*$C$2</f>
        <v>0.41249999999999998</v>
      </c>
      <c r="D163" s="608">
        <f t="shared" ref="D163:D167" si="50">SUM(B163:C163)</f>
        <v>3.1625000000000001</v>
      </c>
      <c r="F163" s="609"/>
    </row>
    <row r="164" spans="1:6">
      <c r="A164" s="601" t="s">
        <v>500</v>
      </c>
      <c r="B164" s="608">
        <v>2.75</v>
      </c>
      <c r="C164" s="608">
        <f t="shared" si="49"/>
        <v>0.41249999999999998</v>
      </c>
      <c r="D164" s="608">
        <f t="shared" si="50"/>
        <v>3.1625000000000001</v>
      </c>
      <c r="F164" s="609"/>
    </row>
    <row r="165" spans="1:6">
      <c r="A165" s="601" t="s">
        <v>501</v>
      </c>
      <c r="B165" s="608">
        <v>13.9</v>
      </c>
      <c r="C165" s="608">
        <f t="shared" si="49"/>
        <v>2.085</v>
      </c>
      <c r="D165" s="608">
        <f t="shared" si="50"/>
        <v>15.984999999999999</v>
      </c>
      <c r="F165" s="609"/>
    </row>
    <row r="166" spans="1:6">
      <c r="A166" s="601" t="s">
        <v>502</v>
      </c>
      <c r="B166" s="608">
        <v>4</v>
      </c>
      <c r="C166" s="608">
        <f t="shared" si="49"/>
        <v>0.6</v>
      </c>
      <c r="D166" s="608">
        <f t="shared" si="50"/>
        <v>4.5999999999999996</v>
      </c>
      <c r="F166" s="609"/>
    </row>
    <row r="167" spans="1:6">
      <c r="A167" s="601" t="s">
        <v>503</v>
      </c>
      <c r="B167" s="608">
        <v>2.75</v>
      </c>
      <c r="C167" s="608">
        <f t="shared" si="49"/>
        <v>0.41249999999999998</v>
      </c>
      <c r="D167" s="608">
        <f t="shared" si="50"/>
        <v>3.1625000000000001</v>
      </c>
      <c r="F167" s="609"/>
    </row>
    <row r="168" spans="1:6" s="201" customFormat="1" ht="15">
      <c r="A168" s="602"/>
      <c r="B168" s="608"/>
      <c r="C168" s="608"/>
      <c r="D168" s="608"/>
      <c r="E168" s="598"/>
      <c r="F168" s="616"/>
    </row>
    <row r="169" spans="1:6" s="201" customFormat="1" ht="15">
      <c r="A169" s="601" t="s">
        <v>505</v>
      </c>
      <c r="B169" s="608">
        <v>5.35</v>
      </c>
      <c r="C169" s="608">
        <f>B169*$C$2</f>
        <v>0.80249999999999988</v>
      </c>
      <c r="D169" s="608">
        <f t="shared" ref="D169:D178" si="51">SUM(B169:C169)</f>
        <v>6.1524999999999999</v>
      </c>
      <c r="E169" s="598"/>
      <c r="F169" s="616"/>
    </row>
    <row r="170" spans="1:6" s="201" customFormat="1" ht="15">
      <c r="A170" s="601" t="s">
        <v>501</v>
      </c>
      <c r="B170" s="608">
        <v>18.55</v>
      </c>
      <c r="C170" s="608">
        <f t="shared" ref="C170:C178" si="52">B170*$C$2</f>
        <v>2.7825000000000002</v>
      </c>
      <c r="D170" s="608">
        <f t="shared" si="51"/>
        <v>21.3325</v>
      </c>
      <c r="E170" s="598"/>
      <c r="F170" s="616"/>
    </row>
    <row r="171" spans="1:6" s="705" customFormat="1" ht="15">
      <c r="A171" s="601" t="s">
        <v>502</v>
      </c>
      <c r="B171" s="608"/>
      <c r="C171" s="608"/>
      <c r="D171" s="608">
        <f>D169+1.5</f>
        <v>7.6524999999999999</v>
      </c>
      <c r="E171" s="598" t="s">
        <v>1314</v>
      </c>
      <c r="F171" s="616"/>
    </row>
    <row r="172" spans="1:6" s="705" customFormat="1" ht="15">
      <c r="A172" s="601" t="s">
        <v>503</v>
      </c>
      <c r="B172" s="608"/>
      <c r="C172" s="608"/>
      <c r="D172" s="608">
        <f>D169</f>
        <v>6.1524999999999999</v>
      </c>
      <c r="E172" s="598" t="s">
        <v>1314</v>
      </c>
      <c r="F172" s="616"/>
    </row>
    <row r="173" spans="1:6" s="201" customFormat="1" ht="15">
      <c r="A173" s="601" t="s">
        <v>506</v>
      </c>
      <c r="B173" s="608">
        <v>7</v>
      </c>
      <c r="C173" s="608">
        <f t="shared" si="52"/>
        <v>1.05</v>
      </c>
      <c r="D173" s="608">
        <f t="shared" si="51"/>
        <v>8.0500000000000007</v>
      </c>
      <c r="E173" s="598"/>
      <c r="F173" s="616"/>
    </row>
    <row r="174" spans="1:6" s="201" customFormat="1" ht="15">
      <c r="A174" s="601" t="s">
        <v>501</v>
      </c>
      <c r="B174" s="608">
        <v>23.45</v>
      </c>
      <c r="C174" s="608">
        <f t="shared" si="52"/>
        <v>3.5174999999999996</v>
      </c>
      <c r="D174" s="608">
        <f t="shared" si="51"/>
        <v>26.967499999999998</v>
      </c>
      <c r="E174" s="598"/>
      <c r="F174" s="616"/>
    </row>
    <row r="175" spans="1:6" s="705" customFormat="1" ht="15">
      <c r="A175" s="601" t="s">
        <v>502</v>
      </c>
      <c r="B175" s="608"/>
      <c r="C175" s="608"/>
      <c r="D175" s="608">
        <f>D173+1.5</f>
        <v>9.5500000000000007</v>
      </c>
      <c r="E175" s="598" t="s">
        <v>1314</v>
      </c>
      <c r="F175" s="616"/>
    </row>
    <row r="176" spans="1:6" s="705" customFormat="1" ht="15">
      <c r="A176" s="601" t="s">
        <v>503</v>
      </c>
      <c r="B176" s="608"/>
      <c r="C176" s="608"/>
      <c r="D176" s="608">
        <f>D173</f>
        <v>8.0500000000000007</v>
      </c>
      <c r="E176" s="598" t="s">
        <v>1314</v>
      </c>
      <c r="F176" s="616"/>
    </row>
    <row r="177" spans="1:6" s="201" customFormat="1" ht="15">
      <c r="A177" s="601" t="s">
        <v>507</v>
      </c>
      <c r="B177" s="608">
        <v>8.65</v>
      </c>
      <c r="C177" s="608">
        <f t="shared" si="52"/>
        <v>1.2975000000000001</v>
      </c>
      <c r="D177" s="608">
        <f t="shared" si="51"/>
        <v>9.9474999999999998</v>
      </c>
      <c r="E177" s="598"/>
      <c r="F177" s="616"/>
    </row>
    <row r="178" spans="1:6" s="201" customFormat="1" ht="15">
      <c r="A178" s="601" t="s">
        <v>501</v>
      </c>
      <c r="B178" s="608">
        <v>33.35</v>
      </c>
      <c r="C178" s="608">
        <f t="shared" si="52"/>
        <v>5.0025000000000004</v>
      </c>
      <c r="D178" s="608">
        <f t="shared" si="51"/>
        <v>38.352499999999999</v>
      </c>
      <c r="E178" s="598"/>
      <c r="F178" s="616"/>
    </row>
    <row r="179" spans="1:6" s="705" customFormat="1" ht="15">
      <c r="A179" s="601" t="s">
        <v>502</v>
      </c>
      <c r="B179" s="608"/>
      <c r="C179" s="608"/>
      <c r="D179" s="608">
        <f>D177+1.5</f>
        <v>11.4475</v>
      </c>
      <c r="E179" s="598" t="s">
        <v>1314</v>
      </c>
      <c r="F179" s="616"/>
    </row>
    <row r="180" spans="1:6" s="705" customFormat="1" ht="15">
      <c r="A180" s="601" t="s">
        <v>503</v>
      </c>
      <c r="B180" s="608"/>
      <c r="C180" s="608"/>
      <c r="D180" s="608">
        <f>D177</f>
        <v>9.9474999999999998</v>
      </c>
      <c r="E180" s="598" t="s">
        <v>1314</v>
      </c>
      <c r="F180" s="616"/>
    </row>
    <row r="181" spans="1:6">
      <c r="A181" s="601"/>
      <c r="B181" s="608"/>
      <c r="C181" s="608"/>
      <c r="D181" s="608"/>
    </row>
    <row r="182" spans="1:6">
      <c r="A182" s="601" t="s">
        <v>451</v>
      </c>
      <c r="B182" s="608">
        <v>1</v>
      </c>
      <c r="C182" s="608">
        <f t="shared" ref="C182:C183" si="53">B182*$C$2</f>
        <v>0.15</v>
      </c>
      <c r="D182" s="608">
        <f t="shared" ref="D182:D183" si="54">SUM(B182:C182)</f>
        <v>1.1499999999999999</v>
      </c>
    </row>
    <row r="183" spans="1:6">
      <c r="A183" s="601" t="s">
        <v>497</v>
      </c>
      <c r="B183" s="608">
        <v>0.75</v>
      </c>
      <c r="C183" s="608">
        <f t="shared" si="53"/>
        <v>0.11249999999999999</v>
      </c>
      <c r="D183" s="608">
        <f t="shared" si="54"/>
        <v>0.86250000000000004</v>
      </c>
    </row>
    <row r="184" spans="1:6">
      <c r="A184" s="601"/>
      <c r="B184" s="608"/>
      <c r="C184" s="608"/>
      <c r="D184" s="608"/>
    </row>
    <row r="185" spans="1:6">
      <c r="A185" s="601"/>
      <c r="B185" s="608"/>
      <c r="C185" s="608"/>
      <c r="D185" s="608"/>
    </row>
    <row r="186" spans="1:6">
      <c r="A186" s="600" t="s">
        <v>508</v>
      </c>
      <c r="B186" s="608"/>
      <c r="C186" s="608"/>
      <c r="D186" s="608"/>
    </row>
    <row r="187" spans="1:6">
      <c r="A187" s="601"/>
      <c r="B187" s="608"/>
      <c r="C187" s="608"/>
      <c r="D187" s="608"/>
    </row>
    <row r="188" spans="1:6">
      <c r="A188" s="602" t="s">
        <v>509</v>
      </c>
      <c r="B188" s="608"/>
      <c r="C188" s="608"/>
      <c r="D188" s="608"/>
    </row>
    <row r="189" spans="1:6">
      <c r="A189" s="602" t="s">
        <v>1326</v>
      </c>
      <c r="B189" s="608"/>
      <c r="C189" s="608"/>
      <c r="D189" s="608"/>
    </row>
    <row r="190" spans="1:6">
      <c r="A190" s="601" t="s">
        <v>510</v>
      </c>
      <c r="B190" s="608">
        <f>B195-B200</f>
        <v>62.099999999999994</v>
      </c>
      <c r="C190" s="608">
        <f>B190*$C$2</f>
        <v>9.3149999999999995</v>
      </c>
      <c r="D190" s="608">
        <f>D195-D200</f>
        <v>71.414999999999992</v>
      </c>
      <c r="E190" s="598" t="s">
        <v>1314</v>
      </c>
    </row>
    <row r="191" spans="1:6">
      <c r="A191" s="601" t="s">
        <v>511</v>
      </c>
      <c r="B191" s="608">
        <f t="shared" ref="B191:B192" si="55">B196-B201</f>
        <v>62.099999999999994</v>
      </c>
      <c r="C191" s="608">
        <f t="shared" ref="C191:C192" si="56">B191*$C$2</f>
        <v>9.3149999999999995</v>
      </c>
      <c r="D191" s="608">
        <f>D196-D201</f>
        <v>71.414999999999992</v>
      </c>
      <c r="E191" s="598" t="s">
        <v>1314</v>
      </c>
    </row>
    <row r="192" spans="1:6">
      <c r="A192" s="601" t="s">
        <v>512</v>
      </c>
      <c r="B192" s="608">
        <f t="shared" si="55"/>
        <v>135.15</v>
      </c>
      <c r="C192" s="608">
        <f t="shared" si="56"/>
        <v>20.272500000000001</v>
      </c>
      <c r="D192" s="608">
        <f>D197-D202</f>
        <v>155.42249999999999</v>
      </c>
      <c r="E192" s="598" t="s">
        <v>1314</v>
      </c>
    </row>
    <row r="193" spans="1:6">
      <c r="A193" s="601"/>
      <c r="B193" s="608"/>
      <c r="C193" s="608"/>
      <c r="D193" s="608"/>
    </row>
    <row r="194" spans="1:6">
      <c r="A194" s="600" t="s">
        <v>1328</v>
      </c>
      <c r="B194" s="1304"/>
      <c r="C194" s="1304"/>
      <c r="D194" s="1304"/>
      <c r="E194" s="1305"/>
    </row>
    <row r="195" spans="1:6">
      <c r="A195" s="1306" t="s">
        <v>510</v>
      </c>
      <c r="B195" s="1304">
        <v>131</v>
      </c>
      <c r="C195" s="1304">
        <f t="shared" ref="C195:C197" si="57">B195*$C$2</f>
        <v>19.649999999999999</v>
      </c>
      <c r="D195" s="1304">
        <f t="shared" ref="D195:D202" si="58">SUM(B195:C195)</f>
        <v>150.65</v>
      </c>
      <c r="E195" s="1305"/>
    </row>
    <row r="196" spans="1:6">
      <c r="A196" s="1306" t="s">
        <v>511</v>
      </c>
      <c r="B196" s="1304">
        <v>131</v>
      </c>
      <c r="C196" s="1304">
        <f t="shared" si="57"/>
        <v>19.649999999999999</v>
      </c>
      <c r="D196" s="1304">
        <f t="shared" si="58"/>
        <v>150.65</v>
      </c>
      <c r="E196" s="1305"/>
    </row>
    <row r="197" spans="1:6">
      <c r="A197" s="1306" t="s">
        <v>512</v>
      </c>
      <c r="B197" s="1304">
        <v>238.5</v>
      </c>
      <c r="C197" s="1304">
        <f t="shared" si="57"/>
        <v>35.774999999999999</v>
      </c>
      <c r="D197" s="1304">
        <f t="shared" si="58"/>
        <v>274.27499999999998</v>
      </c>
      <c r="E197" s="1305"/>
    </row>
    <row r="198" spans="1:6">
      <c r="A198" s="601"/>
      <c r="B198" s="608"/>
      <c r="C198" s="608"/>
      <c r="D198" s="608"/>
    </row>
    <row r="199" spans="1:6">
      <c r="A199" s="602" t="s">
        <v>1327</v>
      </c>
      <c r="B199" s="608"/>
      <c r="C199" s="608"/>
      <c r="D199" s="608"/>
    </row>
    <row r="200" spans="1:6">
      <c r="A200" s="601" t="s">
        <v>510</v>
      </c>
      <c r="B200" s="608">
        <v>68.900000000000006</v>
      </c>
      <c r="C200" s="608">
        <f t="shared" ref="C200:C202" si="59">B200*$C$2</f>
        <v>10.335000000000001</v>
      </c>
      <c r="D200" s="608">
        <f t="shared" si="58"/>
        <v>79.235000000000014</v>
      </c>
      <c r="F200" s="612"/>
    </row>
    <row r="201" spans="1:6">
      <c r="A201" s="601" t="s">
        <v>511</v>
      </c>
      <c r="B201" s="608">
        <v>68.900000000000006</v>
      </c>
      <c r="C201" s="608">
        <f t="shared" si="59"/>
        <v>10.335000000000001</v>
      </c>
      <c r="D201" s="608">
        <f t="shared" si="58"/>
        <v>79.235000000000014</v>
      </c>
      <c r="F201" s="612"/>
    </row>
    <row r="202" spans="1:6">
      <c r="A202" s="601" t="s">
        <v>512</v>
      </c>
      <c r="B202" s="608">
        <v>103.35</v>
      </c>
      <c r="C202" s="608">
        <f t="shared" si="59"/>
        <v>15.502499999999998</v>
      </c>
      <c r="D202" s="608">
        <f t="shared" si="58"/>
        <v>118.85249999999999</v>
      </c>
      <c r="F202" s="612"/>
    </row>
    <row r="203" spans="1:6">
      <c r="A203" s="601"/>
      <c r="B203" s="608"/>
      <c r="C203" s="608"/>
      <c r="D203" s="608"/>
    </row>
    <row r="204" spans="1:6">
      <c r="A204" s="617" t="s">
        <v>513</v>
      </c>
      <c r="B204" s="608"/>
      <c r="C204" s="608"/>
      <c r="D204" s="608"/>
    </row>
    <row r="205" spans="1:6">
      <c r="A205" s="601" t="s">
        <v>514</v>
      </c>
      <c r="B205" s="608">
        <v>42.5</v>
      </c>
      <c r="C205" s="608">
        <f>B205*$C$2</f>
        <v>6.375</v>
      </c>
      <c r="D205" s="608">
        <f>SUM(B205:C205)</f>
        <v>48.875</v>
      </c>
    </row>
    <row r="206" spans="1:6">
      <c r="A206" s="601"/>
      <c r="B206" s="608"/>
      <c r="C206" s="608"/>
      <c r="D206" s="608"/>
    </row>
    <row r="207" spans="1:6">
      <c r="A207" s="601" t="s">
        <v>509</v>
      </c>
      <c r="B207" s="608"/>
      <c r="C207" s="608"/>
      <c r="D207" s="608"/>
    </row>
    <row r="208" spans="1:6">
      <c r="A208" s="601" t="s">
        <v>510</v>
      </c>
      <c r="B208" s="608">
        <v>95.4</v>
      </c>
      <c r="C208" s="608">
        <f t="shared" ref="C208:C210" si="60">B208*$C$2</f>
        <v>14.31</v>
      </c>
      <c r="D208" s="608">
        <f t="shared" ref="D208" si="61">SUM(B208:C208)</f>
        <v>109.71000000000001</v>
      </c>
    </row>
    <row r="209" spans="1:4">
      <c r="A209" s="601" t="s">
        <v>511</v>
      </c>
      <c r="B209" s="608">
        <v>95.4</v>
      </c>
      <c r="C209" s="608">
        <f t="shared" si="60"/>
        <v>14.31</v>
      </c>
      <c r="D209" s="608">
        <f>SUM(B209:C209)</f>
        <v>109.71000000000001</v>
      </c>
    </row>
    <row r="210" spans="1:4">
      <c r="A210" s="601" t="s">
        <v>512</v>
      </c>
      <c r="B210" s="608">
        <v>137.5</v>
      </c>
      <c r="C210" s="608">
        <f t="shared" si="60"/>
        <v>20.625</v>
      </c>
      <c r="D210" s="608">
        <f>SUM(B210:C210)</f>
        <v>158.125</v>
      </c>
    </row>
    <row r="211" spans="1:4">
      <c r="A211" s="601"/>
      <c r="B211" s="608"/>
      <c r="C211" s="608"/>
      <c r="D211" s="608"/>
    </row>
    <row r="212" spans="1:4">
      <c r="A212" s="601" t="s">
        <v>515</v>
      </c>
      <c r="B212" s="608"/>
      <c r="C212" s="608"/>
      <c r="D212" s="608"/>
    </row>
    <row r="213" spans="1:4">
      <c r="A213" s="601" t="s">
        <v>510</v>
      </c>
      <c r="B213" s="608">
        <v>6.9</v>
      </c>
      <c r="C213" s="608">
        <f t="shared" ref="C213:C215" si="62">B213*$C$2</f>
        <v>1.0349999999999999</v>
      </c>
      <c r="D213" s="608">
        <f t="shared" ref="D213" si="63">SUM(B213:C213)</f>
        <v>7.9350000000000005</v>
      </c>
    </row>
    <row r="214" spans="1:4">
      <c r="A214" s="601" t="s">
        <v>511</v>
      </c>
      <c r="B214" s="608">
        <v>6.9</v>
      </c>
      <c r="C214" s="608">
        <f t="shared" si="62"/>
        <v>1.0349999999999999</v>
      </c>
      <c r="D214" s="608">
        <f>SUM(B214:C214)</f>
        <v>7.9350000000000005</v>
      </c>
    </row>
    <row r="215" spans="1:4">
      <c r="A215" s="601" t="s">
        <v>512</v>
      </c>
      <c r="B215" s="608">
        <v>6.9</v>
      </c>
      <c r="C215" s="608">
        <f t="shared" si="62"/>
        <v>1.0349999999999999</v>
      </c>
      <c r="D215" s="608">
        <f>SUM(B215:C215)</f>
        <v>7.9350000000000005</v>
      </c>
    </row>
    <row r="216" spans="1:4">
      <c r="A216" s="601"/>
      <c r="B216" s="608"/>
      <c r="C216" s="608"/>
      <c r="D216" s="608"/>
    </row>
    <row r="217" spans="1:4">
      <c r="A217" s="601" t="s">
        <v>515</v>
      </c>
      <c r="B217" s="608"/>
      <c r="C217" s="608"/>
      <c r="D217" s="608"/>
    </row>
    <row r="218" spans="1:4">
      <c r="A218" s="601" t="s">
        <v>510</v>
      </c>
      <c r="B218" s="608">
        <v>106</v>
      </c>
      <c r="C218" s="608">
        <f t="shared" ref="C218:C220" si="64">B218*$C$2</f>
        <v>15.899999999999999</v>
      </c>
      <c r="D218" s="608">
        <f t="shared" ref="D218:D220" si="65">SUM(B218:C218)</f>
        <v>121.9</v>
      </c>
    </row>
    <row r="219" spans="1:4">
      <c r="A219" s="601" t="s">
        <v>511</v>
      </c>
      <c r="B219" s="608">
        <v>106</v>
      </c>
      <c r="C219" s="608">
        <f t="shared" si="64"/>
        <v>15.899999999999999</v>
      </c>
      <c r="D219" s="608">
        <f t="shared" si="65"/>
        <v>121.9</v>
      </c>
    </row>
    <row r="220" spans="1:4">
      <c r="A220" s="601" t="s">
        <v>512</v>
      </c>
      <c r="B220" s="608">
        <v>106</v>
      </c>
      <c r="C220" s="608">
        <f t="shared" si="64"/>
        <v>15.899999999999999</v>
      </c>
      <c r="D220" s="608">
        <f t="shared" si="65"/>
        <v>121.9</v>
      </c>
    </row>
    <row r="221" spans="1:4">
      <c r="A221" s="601"/>
      <c r="B221" s="608"/>
      <c r="C221" s="608"/>
      <c r="D221" s="608"/>
    </row>
    <row r="222" spans="1:4">
      <c r="A222" s="601" t="s">
        <v>516</v>
      </c>
      <c r="B222" s="608">
        <v>3.7</v>
      </c>
      <c r="C222" s="608">
        <f>B222*$C$2</f>
        <v>0.55500000000000005</v>
      </c>
      <c r="D222" s="608">
        <f>SUM(B222:C222)</f>
        <v>4.2549999999999999</v>
      </c>
    </row>
    <row r="223" spans="1:4">
      <c r="A223" s="601" t="s">
        <v>451</v>
      </c>
      <c r="B223" s="608">
        <v>1</v>
      </c>
      <c r="C223" s="608">
        <f t="shared" ref="C223:C224" si="66">B223*$C$2</f>
        <v>0.15</v>
      </c>
      <c r="D223" s="608">
        <f t="shared" ref="D223:D224" si="67">SUM(B223:C223)</f>
        <v>1.1499999999999999</v>
      </c>
    </row>
    <row r="224" spans="1:4">
      <c r="A224" s="601" t="s">
        <v>497</v>
      </c>
      <c r="B224" s="608">
        <v>0.75</v>
      </c>
      <c r="C224" s="608">
        <f t="shared" si="66"/>
        <v>0.11249999999999999</v>
      </c>
      <c r="D224" s="608">
        <f t="shared" si="67"/>
        <v>0.86250000000000004</v>
      </c>
    </row>
    <row r="225" spans="1:4">
      <c r="A225" s="601"/>
      <c r="B225" s="608"/>
      <c r="C225" s="608"/>
      <c r="D225" s="608"/>
    </row>
    <row r="226" spans="1:4">
      <c r="A226" s="601"/>
      <c r="B226" s="608"/>
      <c r="C226" s="608"/>
      <c r="D226" s="608"/>
    </row>
    <row r="227" spans="1:4">
      <c r="C227" s="240"/>
    </row>
    <row r="228" spans="1:4">
      <c r="C228" s="240"/>
    </row>
    <row r="229" spans="1:4">
      <c r="C229" s="240"/>
    </row>
    <row r="230" spans="1:4">
      <c r="C230" s="240"/>
    </row>
    <row r="231" spans="1:4">
      <c r="C231" s="240"/>
    </row>
    <row r="232" spans="1:4">
      <c r="C232" s="240"/>
    </row>
    <row r="233" spans="1:4">
      <c r="C233" s="240"/>
    </row>
    <row r="234" spans="1:4">
      <c r="C234" s="240"/>
    </row>
    <row r="235" spans="1:4">
      <c r="C235" s="240"/>
    </row>
    <row r="236" spans="1:4">
      <c r="C236" s="240"/>
    </row>
    <row r="237" spans="1:4">
      <c r="C237" s="240"/>
    </row>
    <row r="238" spans="1:4">
      <c r="C238" s="240"/>
    </row>
    <row r="239" spans="1:4">
      <c r="C239" s="240"/>
    </row>
    <row r="240" spans="1:4">
      <c r="C240" s="240"/>
    </row>
    <row r="241" spans="3:3">
      <c r="C241" s="240"/>
    </row>
    <row r="242" spans="3:3">
      <c r="C242" s="240"/>
    </row>
    <row r="243" spans="3:3">
      <c r="C243" s="240"/>
    </row>
    <row r="244" spans="3:3">
      <c r="C244" s="240"/>
    </row>
    <row r="245" spans="3:3">
      <c r="C245" s="240"/>
    </row>
    <row r="246" spans="3:3">
      <c r="C246" s="240"/>
    </row>
    <row r="247" spans="3:3">
      <c r="C247" s="240"/>
    </row>
    <row r="248" spans="3:3">
      <c r="C248" s="240"/>
    </row>
    <row r="249" spans="3:3">
      <c r="C249" s="240"/>
    </row>
    <row r="250" spans="3:3">
      <c r="C250" s="240"/>
    </row>
    <row r="251" spans="3:3">
      <c r="C251" s="240"/>
    </row>
    <row r="252" spans="3:3">
      <c r="C252" s="240"/>
    </row>
    <row r="253" spans="3:3">
      <c r="C253" s="240"/>
    </row>
    <row r="254" spans="3:3">
      <c r="C254" s="240"/>
    </row>
    <row r="255" spans="3:3">
      <c r="C255" s="240"/>
    </row>
    <row r="256" spans="3:3">
      <c r="C256" s="240"/>
    </row>
    <row r="257" spans="3:3">
      <c r="C257" s="240"/>
    </row>
    <row r="258" spans="3:3">
      <c r="C258" s="240"/>
    </row>
    <row r="259" spans="3:3">
      <c r="C259" s="240"/>
    </row>
    <row r="260" spans="3:3">
      <c r="C260" s="240"/>
    </row>
    <row r="261" spans="3:3">
      <c r="C261" s="240"/>
    </row>
    <row r="262" spans="3:3">
      <c r="C262" s="240"/>
    </row>
    <row r="263" spans="3:3">
      <c r="C263" s="240"/>
    </row>
    <row r="264" spans="3:3">
      <c r="C264" s="240"/>
    </row>
    <row r="265" spans="3:3">
      <c r="C265" s="240"/>
    </row>
    <row r="266" spans="3:3">
      <c r="C266" s="240"/>
    </row>
    <row r="267" spans="3:3">
      <c r="C267" s="240"/>
    </row>
    <row r="268" spans="3:3">
      <c r="C268" s="240"/>
    </row>
    <row r="269" spans="3:3">
      <c r="C269" s="240"/>
    </row>
    <row r="270" spans="3:3">
      <c r="C270" s="240"/>
    </row>
    <row r="271" spans="3:3">
      <c r="C271" s="240"/>
    </row>
    <row r="272" spans="3:3">
      <c r="C272" s="240"/>
    </row>
    <row r="273" spans="3:3">
      <c r="C273" s="240"/>
    </row>
    <row r="274" spans="3:3">
      <c r="C274" s="240"/>
    </row>
    <row r="275" spans="3:3">
      <c r="C275" s="240"/>
    </row>
    <row r="276" spans="3:3">
      <c r="C276" s="240"/>
    </row>
    <row r="277" spans="3:3">
      <c r="C277" s="240"/>
    </row>
    <row r="278" spans="3:3">
      <c r="C278" s="240"/>
    </row>
    <row r="279" spans="3:3">
      <c r="C279" s="240"/>
    </row>
    <row r="280" spans="3:3">
      <c r="C280" s="240"/>
    </row>
    <row r="281" spans="3:3">
      <c r="C281" s="240"/>
    </row>
    <row r="282" spans="3:3">
      <c r="C282" s="240"/>
    </row>
    <row r="283" spans="3:3">
      <c r="C283" s="240"/>
    </row>
    <row r="284" spans="3:3">
      <c r="C284" s="240"/>
    </row>
    <row r="285" spans="3:3">
      <c r="C285" s="240"/>
    </row>
    <row r="286" spans="3:3">
      <c r="C286" s="240"/>
    </row>
    <row r="287" spans="3:3">
      <c r="C287" s="240"/>
    </row>
    <row r="288" spans="3:3">
      <c r="C288" s="240"/>
    </row>
    <row r="289" spans="3:3">
      <c r="C289" s="240"/>
    </row>
    <row r="290" spans="3:3">
      <c r="C290" s="240"/>
    </row>
    <row r="291" spans="3:3">
      <c r="C291" s="240"/>
    </row>
    <row r="292" spans="3:3">
      <c r="C292" s="240"/>
    </row>
  </sheetData>
  <pageMargins left="0.7" right="0.7" top="0.75" bottom="0.75" header="0.3" footer="0.3"/>
  <pageSetup scale="92" fitToHeight="5"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AO141"/>
  <sheetViews>
    <sheetView showGridLines="0" view="pageBreakPreview" zoomScaleNormal="100" zoomScaleSheetLayoutView="100" workbookViewId="0">
      <pane xSplit="4" ySplit="8" topLeftCell="E9" activePane="bottomRight" state="frozen"/>
      <selection activeCell="I47" sqref="I47"/>
      <selection pane="topRight" activeCell="I47" sqref="I47"/>
      <selection pane="bottomLeft" activeCell="I47" sqref="I47"/>
      <selection pane="bottomRight" activeCell="L110" sqref="L110"/>
    </sheetView>
  </sheetViews>
  <sheetFormatPr defaultRowHeight="12" outlineLevelCol="1"/>
  <cols>
    <col min="1" max="2" width="9.7109375" style="1060" customWidth="1"/>
    <col min="3" max="3" width="16" style="1060" customWidth="1"/>
    <col min="4" max="4" width="15.42578125" style="1021" customWidth="1"/>
    <col min="5" max="15" width="10.7109375" style="1021" customWidth="1" outlineLevel="1"/>
    <col min="16" max="16" width="13.5703125" style="1058" bestFit="1" customWidth="1"/>
    <col min="17" max="19" width="9.7109375" style="1063" customWidth="1"/>
    <col min="20" max="20" width="2.28515625" style="1064" customWidth="1"/>
    <col min="21" max="21" width="2.28515625" style="1060" customWidth="1"/>
    <col min="22" max="22" width="9.85546875" style="1060" customWidth="1"/>
    <col min="23" max="23" width="9.85546875" style="1065" customWidth="1"/>
    <col min="24" max="24" width="9.85546875" style="1066" customWidth="1"/>
    <col min="25" max="25" width="9.85546875" style="1067" customWidth="1"/>
    <col min="26" max="26" width="6.28515625" style="1064" customWidth="1"/>
    <col min="27" max="27" width="9.85546875" style="1060" customWidth="1"/>
    <col min="28" max="28" width="9.85546875" style="1068" customWidth="1"/>
    <col min="29" max="30" width="9.85546875" style="1060" customWidth="1"/>
    <col min="31" max="31" width="1.85546875" style="1060" customWidth="1"/>
    <col min="32" max="32" width="1.7109375" style="1060" customWidth="1"/>
    <col min="33" max="33" width="16.140625" style="1060" customWidth="1"/>
    <col min="34" max="36" width="8.7109375" style="1060" customWidth="1"/>
    <col min="37" max="37" width="10.7109375" style="1060" customWidth="1"/>
    <col min="38" max="40" width="9.5703125" style="686" customWidth="1"/>
    <col min="41" max="16384" width="9.140625" style="686"/>
  </cols>
  <sheetData>
    <row r="1" spans="1:41">
      <c r="A1" s="1195" t="s">
        <v>1236</v>
      </c>
      <c r="C1" s="1166"/>
    </row>
    <row r="2" spans="1:41" ht="14.25">
      <c r="A2" s="1195" t="s">
        <v>1235</v>
      </c>
      <c r="C2" s="1166"/>
      <c r="D2" s="1196"/>
      <c r="V2" s="1316" t="s">
        <v>1234</v>
      </c>
      <c r="W2" s="1316"/>
      <c r="X2" s="1316"/>
      <c r="Y2" s="1316"/>
      <c r="Z2" s="1316"/>
      <c r="AA2" s="1316"/>
      <c r="AB2" s="1316"/>
      <c r="AC2" s="1316"/>
      <c r="AD2" s="1316"/>
      <c r="AE2" s="1316"/>
    </row>
    <row r="3" spans="1:41">
      <c r="A3" s="1195" t="s">
        <v>594</v>
      </c>
      <c r="C3" s="1195"/>
      <c r="W3" s="1069"/>
      <c r="AH3" s="1070" t="s">
        <v>1233</v>
      </c>
    </row>
    <row r="4" spans="1:41">
      <c r="B4" s="1154"/>
      <c r="C4" s="1154"/>
      <c r="D4" s="1022"/>
      <c r="E4" s="1022"/>
      <c r="F4" s="1022"/>
      <c r="G4" s="1022"/>
      <c r="H4" s="1022"/>
      <c r="I4" s="1022"/>
      <c r="J4" s="1022"/>
      <c r="K4" s="1022"/>
      <c r="L4" s="1022"/>
      <c r="M4" s="1022"/>
      <c r="N4" s="1022"/>
      <c r="O4" s="1022"/>
      <c r="P4" s="1071"/>
    </row>
    <row r="5" spans="1:41" s="688" customFormat="1" ht="12.75" thickBot="1">
      <c r="A5" s="1197" t="s">
        <v>1232</v>
      </c>
      <c r="B5" s="1198"/>
      <c r="C5" s="1198"/>
      <c r="D5" s="1023"/>
      <c r="E5" s="1023"/>
      <c r="F5" s="1023"/>
      <c r="G5" s="1023"/>
      <c r="H5" s="1023"/>
      <c r="I5" s="1023"/>
      <c r="J5" s="1023"/>
      <c r="K5" s="1023"/>
      <c r="L5" s="1023"/>
      <c r="M5" s="1023"/>
      <c r="N5" s="1023"/>
      <c r="O5" s="1023"/>
      <c r="P5" s="1023"/>
      <c r="Q5" s="1072"/>
      <c r="R5" s="1072"/>
      <c r="S5" s="1072"/>
      <c r="T5" s="1073"/>
      <c r="U5" s="1062"/>
      <c r="V5" s="1062"/>
      <c r="W5" s="1074"/>
      <c r="X5" s="1075"/>
      <c r="Y5" s="1076"/>
      <c r="Z5" s="1073"/>
      <c r="AA5" s="1062"/>
      <c r="AB5" s="1077"/>
      <c r="AC5" s="1062"/>
      <c r="AD5" s="1062"/>
      <c r="AE5" s="1062"/>
      <c r="AF5" s="1062"/>
      <c r="AG5" s="1078" t="s">
        <v>1231</v>
      </c>
      <c r="AH5" s="1079">
        <v>42736</v>
      </c>
      <c r="AI5" s="1062"/>
      <c r="AJ5" s="1062"/>
      <c r="AK5" s="1062"/>
    </row>
    <row r="6" spans="1:41">
      <c r="C6" s="1199"/>
      <c r="E6" s="1024">
        <v>37</v>
      </c>
      <c r="F6" s="1025">
        <v>38</v>
      </c>
      <c r="G6" s="1025">
        <v>39</v>
      </c>
      <c r="H6" s="1025">
        <v>40</v>
      </c>
      <c r="I6" s="1025">
        <v>41</v>
      </c>
      <c r="J6" s="1024">
        <v>43</v>
      </c>
      <c r="K6" s="1025">
        <v>44</v>
      </c>
      <c r="L6" s="1025">
        <v>45</v>
      </c>
      <c r="M6" s="1025">
        <v>46</v>
      </c>
      <c r="N6" s="1025">
        <v>47</v>
      </c>
      <c r="O6" s="1025">
        <v>48</v>
      </c>
      <c r="P6" s="1080"/>
      <c r="AG6" s="1078" t="s">
        <v>1230</v>
      </c>
      <c r="AH6" s="1079">
        <v>42751</v>
      </c>
      <c r="AI6" s="1079">
        <v>42940</v>
      </c>
      <c r="AJ6" s="1079">
        <v>42996</v>
      </c>
      <c r="AK6" s="1079">
        <v>43038</v>
      </c>
      <c r="AL6" s="690"/>
      <c r="AM6" s="690"/>
      <c r="AN6" s="690"/>
      <c r="AO6" s="690"/>
    </row>
    <row r="7" spans="1:41" s="645" customFormat="1" ht="24.75" customHeight="1">
      <c r="A7" s="1083"/>
      <c r="B7" s="1083"/>
      <c r="C7" s="1083"/>
      <c r="D7" s="1200"/>
      <c r="E7" s="1026" t="s">
        <v>1229</v>
      </c>
      <c r="F7" s="1026" t="s">
        <v>1228</v>
      </c>
      <c r="G7" s="1026" t="s">
        <v>1227</v>
      </c>
      <c r="H7" s="1026" t="s">
        <v>1226</v>
      </c>
      <c r="I7" s="1026" t="s">
        <v>1224</v>
      </c>
      <c r="J7" s="1026" t="s">
        <v>1229</v>
      </c>
      <c r="K7" s="1026" t="s">
        <v>1228</v>
      </c>
      <c r="L7" s="1026" t="s">
        <v>1227</v>
      </c>
      <c r="M7" s="1026" t="s">
        <v>1226</v>
      </c>
      <c r="N7" s="1026" t="s">
        <v>1225</v>
      </c>
      <c r="O7" s="1026" t="s">
        <v>1224</v>
      </c>
      <c r="P7" s="1321" t="s">
        <v>1223</v>
      </c>
      <c r="Q7" s="1081"/>
      <c r="R7" s="1081"/>
      <c r="S7" s="1081"/>
      <c r="T7" s="1082"/>
      <c r="U7" s="1083"/>
      <c r="V7" s="1084">
        <v>2017</v>
      </c>
      <c r="W7" s="1084">
        <v>2017</v>
      </c>
      <c r="X7" s="1084">
        <v>2017</v>
      </c>
      <c r="Y7" s="1084">
        <v>2017</v>
      </c>
      <c r="Z7" s="1085"/>
      <c r="AA7" s="1084">
        <v>2018</v>
      </c>
      <c r="AB7" s="1084">
        <v>2018</v>
      </c>
      <c r="AC7" s="1084">
        <v>2018</v>
      </c>
      <c r="AD7" s="1084">
        <v>2018</v>
      </c>
      <c r="AE7" s="1083"/>
      <c r="AF7" s="1083"/>
      <c r="AG7" s="1086" t="s">
        <v>1222</v>
      </c>
      <c r="AH7" s="1087">
        <f>AH6-AH5</f>
        <v>15</v>
      </c>
      <c r="AI7" s="1087">
        <f>AI6-AH5</f>
        <v>204</v>
      </c>
      <c r="AJ7" s="1087">
        <f>AJ6-AH5</f>
        <v>260</v>
      </c>
      <c r="AK7" s="1087">
        <f>AK6-AH5</f>
        <v>302</v>
      </c>
      <c r="AL7" s="691"/>
      <c r="AM7" s="691"/>
      <c r="AN7" s="691"/>
      <c r="AO7" s="691"/>
    </row>
    <row r="8" spans="1:41" ht="24.75" thickBot="1">
      <c r="A8" s="1201" t="s">
        <v>1221</v>
      </c>
      <c r="B8" s="1201" t="s">
        <v>1220</v>
      </c>
      <c r="C8" s="1201" t="s">
        <v>1219</v>
      </c>
      <c r="D8" s="1201" t="s">
        <v>1218</v>
      </c>
      <c r="E8" s="1027" t="s">
        <v>1217</v>
      </c>
      <c r="F8" s="1028" t="s">
        <v>1217</v>
      </c>
      <c r="G8" s="1028" t="s">
        <v>1217</v>
      </c>
      <c r="H8" s="1028" t="s">
        <v>1217</v>
      </c>
      <c r="I8" s="1028" t="s">
        <v>1217</v>
      </c>
      <c r="J8" s="1027" t="s">
        <v>989</v>
      </c>
      <c r="K8" s="1028" t="s">
        <v>989</v>
      </c>
      <c r="L8" s="1028" t="s">
        <v>989</v>
      </c>
      <c r="M8" s="1028" t="s">
        <v>989</v>
      </c>
      <c r="N8" s="1028" t="s">
        <v>989</v>
      </c>
      <c r="O8" s="1028" t="s">
        <v>989</v>
      </c>
      <c r="P8" s="1322"/>
      <c r="Q8" s="1088" t="s">
        <v>1216</v>
      </c>
      <c r="R8" s="1088" t="s">
        <v>1215</v>
      </c>
      <c r="S8" s="1089" t="s">
        <v>1214</v>
      </c>
      <c r="T8" s="1089"/>
      <c r="V8" s="1084" t="s">
        <v>1212</v>
      </c>
      <c r="W8" s="1090" t="s">
        <v>1211</v>
      </c>
      <c r="X8" s="1091" t="s">
        <v>1210</v>
      </c>
      <c r="Y8" s="1089" t="s">
        <v>1213</v>
      </c>
      <c r="Z8" s="1089"/>
      <c r="AA8" s="1084" t="s">
        <v>1212</v>
      </c>
      <c r="AB8" s="1092" t="s">
        <v>1211</v>
      </c>
      <c r="AC8" s="1084" t="s">
        <v>1210</v>
      </c>
      <c r="AD8" s="1084" t="s">
        <v>1209</v>
      </c>
      <c r="AG8" s="1062"/>
      <c r="AH8" s="1062"/>
      <c r="AI8" s="1062"/>
    </row>
    <row r="9" spans="1:41" ht="12.75" customHeight="1" thickTop="1" thickBot="1">
      <c r="A9" s="1202"/>
      <c r="B9" s="1202"/>
      <c r="C9" s="1202"/>
      <c r="D9" s="1202"/>
      <c r="E9" s="1029"/>
      <c r="F9" s="1030"/>
      <c r="G9" s="1030"/>
      <c r="H9" s="1030"/>
      <c r="I9" s="1030"/>
      <c r="J9" s="1029"/>
      <c r="K9" s="1030"/>
      <c r="L9" s="1030"/>
      <c r="M9" s="1030"/>
      <c r="N9" s="1030"/>
      <c r="O9" s="1030"/>
      <c r="P9" s="1093"/>
      <c r="Q9" s="1088"/>
      <c r="R9" s="1088"/>
      <c r="S9" s="1089"/>
      <c r="T9" s="1089"/>
      <c r="V9" s="1094"/>
      <c r="W9" s="1095"/>
      <c r="X9" s="1096"/>
      <c r="Y9" s="1097"/>
      <c r="Z9" s="1097"/>
      <c r="AA9" s="1094"/>
      <c r="AB9" s="1098"/>
      <c r="AC9" s="1094"/>
      <c r="AD9" s="1094"/>
      <c r="AI9" s="1079"/>
      <c r="AJ9" s="1079"/>
    </row>
    <row r="10" spans="1:41" ht="12.75" customHeight="1" thickTop="1" thickBot="1">
      <c r="A10" s="1203"/>
      <c r="B10" s="1204" t="s">
        <v>1208</v>
      </c>
      <c r="C10" s="1205"/>
      <c r="D10" s="1206"/>
      <c r="E10" s="1029"/>
      <c r="F10" s="1030"/>
      <c r="G10" s="1030"/>
      <c r="H10" s="1030"/>
      <c r="I10" s="1030"/>
      <c r="J10" s="1029"/>
      <c r="K10" s="1030"/>
      <c r="L10" s="1030"/>
      <c r="M10" s="1030"/>
      <c r="N10" s="1030"/>
      <c r="O10" s="1030"/>
      <c r="P10" s="1093"/>
      <c r="Q10" s="1088"/>
      <c r="R10" s="1088"/>
      <c r="S10" s="1089"/>
      <c r="T10" s="1089"/>
      <c r="V10" s="1094"/>
      <c r="W10" s="1095"/>
      <c r="X10" s="1096"/>
      <c r="Y10" s="1097"/>
      <c r="Z10" s="1099"/>
      <c r="AA10" s="1094"/>
      <c r="AB10" s="1098"/>
      <c r="AC10" s="1094"/>
      <c r="AD10" s="1094"/>
      <c r="AI10" s="1062"/>
      <c r="AJ10" s="1062"/>
    </row>
    <row r="11" spans="1:41" ht="12.75" customHeight="1" thickTop="1">
      <c r="A11" s="1030">
        <v>2025</v>
      </c>
      <c r="B11" s="1207" t="s">
        <v>1207</v>
      </c>
      <c r="C11" s="1137" t="s">
        <v>1206</v>
      </c>
      <c r="D11" s="1030" t="str">
        <f>VLOOKUP(B11,'[47]EE Listing'!$A$1:$D$11,4,FALSE)</f>
        <v>Driver</v>
      </c>
      <c r="E11" s="1031">
        <f>VLOOKUP($B11,'[47]Pivot Data'!$B$4:$AS$15,33,FALSE)</f>
        <v>247.03333400000002</v>
      </c>
      <c r="F11" s="1032">
        <f>VLOOKUP($B11,'[47]Pivot Data'!$B$4:$AS$15,34,FALSE)</f>
        <v>17.266667999999999</v>
      </c>
      <c r="G11" s="1032">
        <f>VLOOKUP($B11,'[47]Pivot Data'!$B$4:$AS$15,35,FALSE)</f>
        <v>17.399999999999999</v>
      </c>
      <c r="H11" s="1032">
        <f>VLOOKUP($B11,'[47]Pivot Data'!$B$4:$AS$15,36,FALSE)</f>
        <v>16</v>
      </c>
      <c r="I11" s="1032">
        <f>VLOOKUP($B11,'[47]Pivot Data'!$B$4:$AS$15,37,FALSE)</f>
        <v>0</v>
      </c>
      <c r="J11" s="1031">
        <f>VLOOKUP($B11,'[47]Pivot Data'!$B$4:$AS$15,39,FALSE)</f>
        <v>4323.1000000000004</v>
      </c>
      <c r="K11" s="1032">
        <f>VLOOKUP($B11,'[47]Pivot Data'!$B$4:$AS$15,40,FALSE)</f>
        <v>453.28</v>
      </c>
      <c r="L11" s="1032">
        <f>VLOOKUP($B11,'[47]Pivot Data'!$B$4:$AS$15,41,FALSE)</f>
        <v>304.5</v>
      </c>
      <c r="M11" s="1032">
        <f>VLOOKUP($B11,'[47]Pivot Data'!$B$4:$AS$15,42,FALSE)</f>
        <v>280</v>
      </c>
      <c r="N11" s="1032">
        <f>VLOOKUP($B11,'[47]Pivot Data'!$B$4:$AS$15,43,FALSE)</f>
        <v>0</v>
      </c>
      <c r="O11" s="1032">
        <f>VLOOKUP($B11,'[47]Pivot Data'!$B$4:$AS$15,44,FALSE)</f>
        <v>0</v>
      </c>
      <c r="P11" s="1035">
        <f>SUM(J11:O11)</f>
        <v>5360.88</v>
      </c>
      <c r="Q11" s="1063">
        <f>SUM(E11:I11)</f>
        <v>297.70000199999998</v>
      </c>
      <c r="R11" s="1063">
        <f>G11+H11+I11</f>
        <v>33.4</v>
      </c>
      <c r="S11" s="1100">
        <f>Q11-R11</f>
        <v>264.30000200000001</v>
      </c>
      <c r="T11" s="1101"/>
      <c r="U11" s="1102"/>
      <c r="V11" s="1103">
        <f>((SUM(J11,L11:M11)*(VALUE(VLOOKUP(B11,'[47]Raises 2025'!$A$4:$L$13,12,FALSE))/365)))</f>
        <v>4907.6000000000004</v>
      </c>
      <c r="W11" s="1104"/>
      <c r="X11" s="1105">
        <f>VLOOKUP(B11,'[47]Raises 2025'!$A$4:$N$13,14,FALSE)</f>
        <v>0</v>
      </c>
      <c r="Y11" s="1103">
        <f>V11*X11</f>
        <v>0</v>
      </c>
      <c r="Z11" s="1106"/>
      <c r="AA11" s="1072">
        <f>SUM(J11,L11:M11)+Y11</f>
        <v>4907.6000000000004</v>
      </c>
      <c r="AB11" s="1104" t="str">
        <f>VLOOKUP(B11,'[47]Raises 2025'!$A$4:$Q$13,16,FALSE)</f>
        <v>N/A</v>
      </c>
      <c r="AC11" s="1105">
        <f>VLOOKUP(B11,'[47]Raises 2025'!$A$4:$Q$13,17,FALSE)</f>
        <v>0</v>
      </c>
      <c r="AD11" s="1103">
        <f>AA11*AC11</f>
        <v>0</v>
      </c>
      <c r="AG11" s="1102"/>
    </row>
    <row r="12" spans="1:41" ht="12.75" customHeight="1">
      <c r="A12" s="1030">
        <v>2025</v>
      </c>
      <c r="B12" s="1207" t="s">
        <v>1205</v>
      </c>
      <c r="C12" s="1062" t="s">
        <v>1204</v>
      </c>
      <c r="D12" s="1030" t="str">
        <f>VLOOKUP(B12,'[47]EE Listing'!$A$1:$D$11,4,FALSE)</f>
        <v>Driver</v>
      </c>
      <c r="E12" s="1031">
        <f>VLOOKUP($B12,'[47]Pivot Data'!$B$4:$AS$15,33,FALSE)</f>
        <v>1990.6833329999999</v>
      </c>
      <c r="F12" s="1032">
        <f>VLOOKUP($B12,'[47]Pivot Data'!$B$4:$AS$15,34,FALSE)</f>
        <v>462.6666679999999</v>
      </c>
      <c r="G12" s="1032">
        <f>VLOOKUP($B12,'[47]Pivot Data'!$B$4:$AS$15,35,FALSE)</f>
        <v>112</v>
      </c>
      <c r="H12" s="1032">
        <f>VLOOKUP($B12,'[47]Pivot Data'!$B$4:$AS$15,36,FALSE)</f>
        <v>48</v>
      </c>
      <c r="I12" s="1032">
        <f>VLOOKUP($B12,'[47]Pivot Data'!$B$4:$AS$15,37,FALSE)</f>
        <v>0</v>
      </c>
      <c r="J12" s="1031">
        <f>VLOOKUP($B12,'[47]Pivot Data'!$B$4:$AS$15,39,FALSE)</f>
        <v>42350.349999999991</v>
      </c>
      <c r="K12" s="1032">
        <f>VLOOKUP($B12,'[47]Pivot Data'!$B$4:$AS$15,40,FALSE)</f>
        <v>14668.440000000002</v>
      </c>
      <c r="L12" s="1032">
        <f>VLOOKUP($B12,'[47]Pivot Data'!$B$4:$AS$15,41,FALSE)</f>
        <v>2350.08</v>
      </c>
      <c r="M12" s="1032">
        <f>VLOOKUP($B12,'[47]Pivot Data'!$B$4:$AS$15,42,FALSE)</f>
        <v>1007.04</v>
      </c>
      <c r="N12" s="1032">
        <f>VLOOKUP($B12,'[47]Pivot Data'!$B$4:$AS$15,43,FALSE)</f>
        <v>154.11000000000001</v>
      </c>
      <c r="O12" s="1032">
        <f>VLOOKUP($B12,'[47]Pivot Data'!$B$4:$AS$15,44,FALSE)</f>
        <v>296.95999999999998</v>
      </c>
      <c r="P12" s="1035">
        <f>SUM(J12:O12)</f>
        <v>60826.979999999996</v>
      </c>
      <c r="Q12" s="1063">
        <f>SUM(E12:I12)</f>
        <v>2613.3500009999998</v>
      </c>
      <c r="R12" s="1063">
        <f>G12+H12+I12</f>
        <v>160</v>
      </c>
      <c r="S12" s="1100">
        <f>Q12-R12</f>
        <v>2453.3500009999998</v>
      </c>
      <c r="T12" s="1101"/>
      <c r="U12" s="1102"/>
      <c r="V12" s="1103">
        <f>((SUM(J12,L12:M12)*(VALUE(VLOOKUP(B12,'[47]Raises 2025'!$A$4:$L$13,12,FALSE))/365)))</f>
        <v>25546.092821917806</v>
      </c>
      <c r="W12" s="1104">
        <f>VLOOKUP(B12,'[47]Raises 2025'!$A$4:$N$13,11,FALSE)</f>
        <v>42940</v>
      </c>
      <c r="X12" s="1105">
        <f>VLOOKUP(B12,'[47]Raises 2025'!$A$4:$N$13,14,FALSE)</f>
        <v>0.18130457113507967</v>
      </c>
      <c r="Y12" s="1103">
        <f>V12*X12</f>
        <v>4631.6234032547445</v>
      </c>
      <c r="Z12" s="1106"/>
      <c r="AA12" s="1072">
        <f>SUM(J12,L12:M12)+Y12</f>
        <v>50339.093403254737</v>
      </c>
      <c r="AB12" s="1104">
        <f>VLOOKUP(B12,'[47]Raises 2025'!$A$4:$Q$13,16,FALSE)</f>
        <v>43252</v>
      </c>
      <c r="AC12" s="1105">
        <f>VLOOKUP(B12,'[47]Raises 2025'!$A$4:$Q$13,17,FALSE)</f>
        <v>2.5000000000000001E-2</v>
      </c>
      <c r="AD12" s="1103">
        <f>AA12*AC12</f>
        <v>1258.4773350813684</v>
      </c>
    </row>
    <row r="13" spans="1:41" ht="12.75" customHeight="1">
      <c r="A13" s="1030">
        <v>2025</v>
      </c>
      <c r="B13" s="1207" t="s">
        <v>1203</v>
      </c>
      <c r="C13" s="1062" t="s">
        <v>1202</v>
      </c>
      <c r="D13" s="1030" t="str">
        <f>VLOOKUP(B13,'[47]EE Listing'!$A$1:$D$11,4,FALSE)</f>
        <v>Driver</v>
      </c>
      <c r="E13" s="1031">
        <f>VLOOKUP($B13,'[47]Pivot Data'!$B$4:$AS$15,33,FALSE)</f>
        <v>1111.0666670000001</v>
      </c>
      <c r="F13" s="1032">
        <f>VLOOKUP($B13,'[47]Pivot Data'!$B$4:$AS$15,34,FALSE)</f>
        <v>244.083327</v>
      </c>
      <c r="G13" s="1032">
        <f>VLOOKUP($B13,'[47]Pivot Data'!$B$4:$AS$15,35,FALSE)</f>
        <v>0</v>
      </c>
      <c r="H13" s="1032">
        <f>VLOOKUP($B13,'[47]Pivot Data'!$B$4:$AS$15,36,FALSE)</f>
        <v>16</v>
      </c>
      <c r="I13" s="1032">
        <f>VLOOKUP($B13,'[47]Pivot Data'!$B$4:$AS$15,37,FALSE)</f>
        <v>0</v>
      </c>
      <c r="J13" s="1031">
        <f>VLOOKUP($B13,'[47]Pivot Data'!$B$4:$AS$15,39,FALSE)</f>
        <v>20626.5</v>
      </c>
      <c r="K13" s="1032">
        <f>VLOOKUP($B13,'[47]Pivot Data'!$B$4:$AS$15,40,FALSE)</f>
        <v>6748.4</v>
      </c>
      <c r="L13" s="1032">
        <f>VLOOKUP($B13,'[47]Pivot Data'!$B$4:$AS$15,41,FALSE)</f>
        <v>0</v>
      </c>
      <c r="M13" s="1032">
        <f>VLOOKUP($B13,'[47]Pivot Data'!$B$4:$AS$15,42,FALSE)</f>
        <v>312</v>
      </c>
      <c r="N13" s="1032">
        <f>VLOOKUP($B13,'[47]Pivot Data'!$B$4:$AS$15,43,FALSE)</f>
        <v>0</v>
      </c>
      <c r="O13" s="1032">
        <f>VLOOKUP($B13,'[47]Pivot Data'!$B$4:$AS$15,44,FALSE)</f>
        <v>0</v>
      </c>
      <c r="P13" s="1035">
        <f>SUM(J13:O13)</f>
        <v>27686.9</v>
      </c>
      <c r="Q13" s="1063">
        <f>SUM(E13:I13)</f>
        <v>1371.1499940000001</v>
      </c>
      <c r="R13" s="1063">
        <f>G13+H13+I13</f>
        <v>16</v>
      </c>
      <c r="S13" s="1100">
        <f>Q13-R13</f>
        <v>1355.1499940000001</v>
      </c>
      <c r="T13" s="1101"/>
      <c r="U13" s="1102"/>
      <c r="V13" s="1103">
        <f>((SUM(J13,L13:M13)*(VALUE(VLOOKUP(B13,'[47]Raises 2025'!$A$4:$L$13,12,FALSE))/365)))</f>
        <v>17324.457534246576</v>
      </c>
      <c r="W13" s="1104">
        <f>VLOOKUP(B13,'[47]Raises 2025'!$A$4:$N$13,11,FALSE)</f>
        <v>43038</v>
      </c>
      <c r="X13" s="1105">
        <f>VLOOKUP(B13,'[47]Raises 2025'!$A$4:$N$13,14,FALSE)</f>
        <v>0.17647058823529413</v>
      </c>
      <c r="Y13" s="1103">
        <f>V13*X13</f>
        <v>3057.2572119258666</v>
      </c>
      <c r="Z13" s="1106"/>
      <c r="AA13" s="1072">
        <f>SUM(J13,L13:M13)+Y13</f>
        <v>23995.757211925866</v>
      </c>
      <c r="AB13" s="1104">
        <f>VLOOKUP(B13,'[47]Raises 2025'!$A$4:$Q$13,16,FALSE)</f>
        <v>43252</v>
      </c>
      <c r="AC13" s="1105">
        <f>VLOOKUP(B13,'[47]Raises 2025'!$A$4:$Q$13,17,FALSE)</f>
        <v>2.5000000000000001E-2</v>
      </c>
      <c r="AD13" s="1103">
        <f>AA13*AC13</f>
        <v>599.89393029814664</v>
      </c>
    </row>
    <row r="14" spans="1:41" ht="12.75" customHeight="1">
      <c r="A14" s="1030">
        <v>2025</v>
      </c>
      <c r="B14" s="1207" t="s">
        <v>1201</v>
      </c>
      <c r="C14" s="1062" t="s">
        <v>1200</v>
      </c>
      <c r="D14" s="1030" t="str">
        <f>VLOOKUP(B14,'[47]EE Listing'!$A$1:$D$11,4,FALSE)</f>
        <v>Driver</v>
      </c>
      <c r="E14" s="1031">
        <f>VLOOKUP($B14,'[47]Pivot Data'!$B$4:$AS$15,33,FALSE)</f>
        <v>1520.1666679999998</v>
      </c>
      <c r="F14" s="1032">
        <f>VLOOKUP($B14,'[47]Pivot Data'!$B$4:$AS$15,34,FALSE)</f>
        <v>259.29999400000008</v>
      </c>
      <c r="G14" s="1032">
        <f>VLOOKUP($B14,'[47]Pivot Data'!$B$4:$AS$15,35,FALSE)</f>
        <v>0</v>
      </c>
      <c r="H14" s="1032">
        <f>VLOOKUP($B14,'[47]Pivot Data'!$B$4:$AS$15,36,FALSE)</f>
        <v>24</v>
      </c>
      <c r="I14" s="1032">
        <f>VLOOKUP($B14,'[47]Pivot Data'!$B$4:$AS$15,37,FALSE)</f>
        <v>0</v>
      </c>
      <c r="J14" s="1031">
        <f>VLOOKUP($B14,'[47]Pivot Data'!$B$4:$AS$15,39,FALSE)</f>
        <v>28294.05</v>
      </c>
      <c r="K14" s="1032">
        <f>VLOOKUP($B14,'[47]Pivot Data'!$B$4:$AS$15,40,FALSE)</f>
        <v>7387.510000000002</v>
      </c>
      <c r="L14" s="1032">
        <f>VLOOKUP($B14,'[47]Pivot Data'!$B$4:$AS$15,41,FALSE)</f>
        <v>0</v>
      </c>
      <c r="M14" s="1032">
        <f>VLOOKUP($B14,'[47]Pivot Data'!$B$4:$AS$15,42,FALSE)</f>
        <v>448</v>
      </c>
      <c r="N14" s="1032">
        <f>VLOOKUP($B14,'[47]Pivot Data'!$B$4:$AS$15,43,FALSE)</f>
        <v>2000</v>
      </c>
      <c r="O14" s="1032">
        <f>VLOOKUP($B14,'[47]Pivot Data'!$B$4:$AS$15,44,FALSE)</f>
        <v>0</v>
      </c>
      <c r="P14" s="1035">
        <f>SUM(J14:O14)</f>
        <v>38129.56</v>
      </c>
      <c r="Q14" s="1063">
        <f>SUM(E14:I14)</f>
        <v>1803.4666619999998</v>
      </c>
      <c r="R14" s="1063">
        <f>G14+H14+I14</f>
        <v>24</v>
      </c>
      <c r="S14" s="1100">
        <f>Q14-R14</f>
        <v>1779.4666619999998</v>
      </c>
      <c r="T14" s="1101"/>
      <c r="U14" s="1102"/>
      <c r="V14" s="1103">
        <f>((SUM(J14,L14:M14)*(VALUE(VLOOKUP(B14,'[47]Raises 2025'!$A$4:$L$13,12,FALSE))/365)))</f>
        <v>16064.049863013699</v>
      </c>
      <c r="W14" s="1104">
        <f>VLOOKUP(B14,'[47]Raises 2025'!$A$4:$N$13,11,FALSE)</f>
        <v>42940</v>
      </c>
      <c r="X14" s="1105">
        <f>VLOOKUP(B14,'[47]Raises 2025'!$A$4:$N$13,14,FALSE)</f>
        <v>0.14285714285714285</v>
      </c>
      <c r="Y14" s="1103">
        <f>V14*X14</f>
        <v>2294.8642661448139</v>
      </c>
      <c r="Z14" s="1106"/>
      <c r="AA14" s="1072">
        <f>SUM(J14,L14:M14)+Y14</f>
        <v>31036.914266144813</v>
      </c>
      <c r="AB14" s="1104" t="str">
        <f>VLOOKUP(B14,'[47]Raises 2025'!$A$4:$Q$13,16,FALSE)</f>
        <v>N/A</v>
      </c>
      <c r="AC14" s="1105">
        <f>VLOOKUP(B14,'[47]Raises 2025'!$A$4:$Q$13,17,FALSE)</f>
        <v>0</v>
      </c>
      <c r="AD14" s="1103">
        <f>AA14*AC14</f>
        <v>0</v>
      </c>
      <c r="AH14" s="1107"/>
    </row>
    <row r="15" spans="1:41" ht="12.75" customHeight="1">
      <c r="A15" s="1030"/>
      <c r="B15" s="1208"/>
      <c r="C15" s="1062"/>
      <c r="D15" s="1030"/>
      <c r="E15" s="1033"/>
      <c r="F15" s="1034"/>
      <c r="G15" s="1034"/>
      <c r="H15" s="1034"/>
      <c r="I15" s="1035"/>
      <c r="J15" s="1034"/>
      <c r="K15" s="1034"/>
      <c r="L15" s="1034"/>
      <c r="M15" s="1034"/>
      <c r="N15" s="1034"/>
      <c r="O15" s="1034"/>
      <c r="P15" s="1035"/>
      <c r="S15" s="1100"/>
      <c r="T15" s="1101"/>
      <c r="U15" s="1102"/>
      <c r="V15" s="1108"/>
      <c r="W15" s="1104"/>
      <c r="X15" s="1109"/>
      <c r="Y15" s="1108"/>
      <c r="Z15" s="1106"/>
      <c r="AA15" s="1063"/>
      <c r="AB15" s="1110"/>
      <c r="AC15" s="1111"/>
      <c r="AD15" s="1108"/>
      <c r="AH15" s="1107"/>
    </row>
    <row r="16" spans="1:41" s="748" customFormat="1" ht="12.75" customHeight="1">
      <c r="A16" s="1209"/>
      <c r="B16" s="1210"/>
      <c r="C16" s="1211" t="s">
        <v>1199</v>
      </c>
      <c r="D16" s="1209"/>
      <c r="E16" s="1036">
        <f>+SUM(E11:E15)</f>
        <v>4868.9500019999996</v>
      </c>
      <c r="F16" s="1037">
        <f t="shared" ref="F16:P16" si="0">+SUM(F11:F15)</f>
        <v>983.31665699999996</v>
      </c>
      <c r="G16" s="1037">
        <f t="shared" si="0"/>
        <v>129.4</v>
      </c>
      <c r="H16" s="1037">
        <f t="shared" si="0"/>
        <v>104</v>
      </c>
      <c r="I16" s="1038">
        <f t="shared" si="0"/>
        <v>0</v>
      </c>
      <c r="J16" s="1037">
        <f t="shared" si="0"/>
        <v>95593.999999999985</v>
      </c>
      <c r="K16" s="1037">
        <f t="shared" si="0"/>
        <v>29257.630000000005</v>
      </c>
      <c r="L16" s="1037">
        <f t="shared" si="0"/>
        <v>2654.58</v>
      </c>
      <c r="M16" s="1037">
        <f t="shared" si="0"/>
        <v>2047.04</v>
      </c>
      <c r="N16" s="1037">
        <f t="shared" si="0"/>
        <v>2154.11</v>
      </c>
      <c r="O16" s="1037">
        <f t="shared" si="0"/>
        <v>296.95999999999998</v>
      </c>
      <c r="P16" s="1112">
        <f t="shared" si="0"/>
        <v>132004.32</v>
      </c>
      <c r="Q16" s="1113">
        <f>SUM(Q11:Q15)</f>
        <v>6085.6666589999995</v>
      </c>
      <c r="R16" s="1113">
        <f>SUM(R11:R15)</f>
        <v>233.4</v>
      </c>
      <c r="S16" s="1113">
        <f>SUM(S11:S15)</f>
        <v>5852.2666589999999</v>
      </c>
      <c r="T16" s="1113"/>
      <c r="U16" s="1113"/>
      <c r="V16" s="1113">
        <f>SUM(V11:V15)</f>
        <v>63842.200219178085</v>
      </c>
      <c r="W16" s="1113">
        <f>SUM(W11:W15)</f>
        <v>128918</v>
      </c>
      <c r="X16" s="1113">
        <f>SUM(X11:X15)</f>
        <v>0.50063230222751665</v>
      </c>
      <c r="Y16" s="1113">
        <f>SUM(Y11:Y15)</f>
        <v>9983.744881325425</v>
      </c>
      <c r="Z16" s="1113"/>
      <c r="AA16" s="1113">
        <f>SUM(AA11:AA15)</f>
        <v>110279.36488132541</v>
      </c>
      <c r="AB16" s="1113">
        <f>SUM(AB11:AB15)</f>
        <v>86504</v>
      </c>
      <c r="AC16" s="1113">
        <f>SUM(AC11:AC15)</f>
        <v>0.05</v>
      </c>
      <c r="AD16" s="1113">
        <f>SUM(AD11:AD15)</f>
        <v>1858.3712653795151</v>
      </c>
      <c r="AE16" s="1114"/>
      <c r="AF16" s="1114"/>
      <c r="AG16" s="1114"/>
      <c r="AH16" s="1115"/>
      <c r="AI16" s="1114"/>
      <c r="AJ16" s="1114"/>
      <c r="AK16" s="1114"/>
    </row>
    <row r="17" spans="1:37" s="688" customFormat="1" ht="12.75" customHeight="1" thickBot="1">
      <c r="A17" s="1030"/>
      <c r="B17" s="1208"/>
      <c r="C17" s="1062"/>
      <c r="D17" s="1030"/>
      <c r="E17" s="1033"/>
      <c r="F17" s="1034"/>
      <c r="G17" s="1034"/>
      <c r="H17" s="1034"/>
      <c r="I17" s="1034"/>
      <c r="J17" s="1033"/>
      <c r="K17" s="1034"/>
      <c r="L17" s="1034"/>
      <c r="M17" s="1034"/>
      <c r="N17" s="1034"/>
      <c r="O17" s="1034"/>
      <c r="P17" s="1035"/>
      <c r="Q17" s="1072"/>
      <c r="R17" s="1072"/>
      <c r="S17" s="1116"/>
      <c r="T17" s="1117"/>
      <c r="U17" s="1118"/>
      <c r="V17" s="1103"/>
      <c r="W17" s="1119"/>
      <c r="X17" s="1120"/>
      <c r="Y17" s="1103"/>
      <c r="Z17" s="1106"/>
      <c r="AA17" s="1072"/>
      <c r="AB17" s="1119"/>
      <c r="AC17" s="1121"/>
      <c r="AD17" s="1103"/>
      <c r="AE17" s="1062"/>
      <c r="AF17" s="1062"/>
      <c r="AG17" s="1062"/>
      <c r="AH17" s="1122"/>
      <c r="AI17" s="1062"/>
      <c r="AJ17" s="1062"/>
      <c r="AK17" s="1062"/>
    </row>
    <row r="18" spans="1:37" s="688" customFormat="1" ht="12.75" customHeight="1" thickTop="1" thickBot="1">
      <c r="A18" s="1212"/>
      <c r="B18" s="1212" t="s">
        <v>1198</v>
      </c>
      <c r="C18" s="1205"/>
      <c r="D18" s="1206"/>
      <c r="E18" s="1033"/>
      <c r="F18" s="1034"/>
      <c r="G18" s="1034"/>
      <c r="H18" s="1034"/>
      <c r="I18" s="1034"/>
      <c r="J18" s="1033"/>
      <c r="K18" s="1034"/>
      <c r="L18" s="1034"/>
      <c r="M18" s="1034"/>
      <c r="N18" s="1034"/>
      <c r="O18" s="1034"/>
      <c r="P18" s="1035"/>
      <c r="Q18" s="1072"/>
      <c r="R18" s="1072"/>
      <c r="S18" s="1116"/>
      <c r="T18" s="1117"/>
      <c r="U18" s="1118"/>
      <c r="V18" s="1103"/>
      <c r="W18" s="1119"/>
      <c r="X18" s="1120"/>
      <c r="Y18" s="1103"/>
      <c r="Z18" s="1106"/>
      <c r="AA18" s="1072"/>
      <c r="AB18" s="1119"/>
      <c r="AC18" s="1121"/>
      <c r="AD18" s="1103"/>
      <c r="AE18" s="1062"/>
      <c r="AF18" s="1062"/>
      <c r="AG18" s="1062"/>
      <c r="AH18" s="1123"/>
      <c r="AI18" s="1062"/>
      <c r="AJ18" s="1062"/>
      <c r="AK18" s="1062"/>
    </row>
    <row r="19" spans="1:37" ht="12.75" customHeight="1" thickTop="1">
      <c r="A19" s="1030">
        <v>2025</v>
      </c>
      <c r="B19" s="1207" t="s">
        <v>1197</v>
      </c>
      <c r="C19" s="1137" t="s">
        <v>1196</v>
      </c>
      <c r="D19" s="1030" t="str">
        <f>VLOOKUP(B19,'[47]EE Listing'!$A$1:$D$11,4,FALSE)</f>
        <v>Mechanic</v>
      </c>
      <c r="E19" s="1031">
        <f>VLOOKUP($B19,'[47]Pivot Data'!$B$4:$AS$15,33,FALSE)</f>
        <v>2060.1166670000002</v>
      </c>
      <c r="F19" s="1032">
        <f>VLOOKUP($B19,'[47]Pivot Data'!$B$4:$AS$15,34,FALSE)</f>
        <v>509.9666610000001</v>
      </c>
      <c r="G19" s="1032">
        <f>VLOOKUP($B19,'[47]Pivot Data'!$B$4:$AS$15,35,FALSE)</f>
        <v>32</v>
      </c>
      <c r="H19" s="1032">
        <f>VLOOKUP($B19,'[47]Pivot Data'!$B$4:$AS$15,36,FALSE)</f>
        <v>48</v>
      </c>
      <c r="I19" s="1032">
        <f>VLOOKUP($B19,'[47]Pivot Data'!$B$4:$AS$15,37,FALSE)</f>
        <v>0</v>
      </c>
      <c r="J19" s="1031">
        <f>VLOOKUP($B19,'[47]Pivot Data'!$B$4:$AS$15,39,FALSE)</f>
        <v>40783.599999999999</v>
      </c>
      <c r="K19" s="1032">
        <f>VLOOKUP($B19,'[47]Pivot Data'!$B$4:$AS$15,40,FALSE)</f>
        <v>15109.29</v>
      </c>
      <c r="L19" s="1032">
        <f>VLOOKUP($B19,'[47]Pivot Data'!$B$4:$AS$15,41,FALSE)</f>
        <v>579.20000000000005</v>
      </c>
      <c r="M19" s="1032">
        <f>VLOOKUP($B19,'[47]Pivot Data'!$B$4:$AS$15,42,FALSE)</f>
        <v>939.2</v>
      </c>
      <c r="N19" s="1032">
        <f>VLOOKUP($B19,'[47]Pivot Data'!$B$4:$AS$15,43,FALSE)</f>
        <v>1563.0999999999995</v>
      </c>
      <c r="O19" s="1032">
        <f>VLOOKUP($B19,'[47]Pivot Data'!$B$4:$AS$15,44,FALSE)</f>
        <v>0</v>
      </c>
      <c r="P19" s="1035">
        <f>SUM(J19:O19)</f>
        <v>58974.389999999992</v>
      </c>
      <c r="Q19" s="1063">
        <f>SUM(E19:I19)</f>
        <v>2650.0833280000002</v>
      </c>
      <c r="R19" s="1063">
        <f>G19+H19+I19</f>
        <v>80</v>
      </c>
      <c r="S19" s="1100">
        <f>Q19-R19</f>
        <v>2570.0833280000002</v>
      </c>
      <c r="T19" s="1101"/>
      <c r="U19" s="1102"/>
      <c r="V19" s="1103">
        <f>((SUM(J19,L19:M19)*(VALUE(VLOOKUP(B19,'[47]Raises 2025'!$A$4:$L$13,12,FALSE))/365)))</f>
        <v>35000.558904109588</v>
      </c>
      <c r="W19" s="1104">
        <f>VLOOKUP(B19,'[47]Raises 2025'!$A$4:$N$13,11,FALSE)</f>
        <v>43038</v>
      </c>
      <c r="X19" s="1105">
        <f>VLOOKUP(B19,'[47]Raises 2025'!$A$4:$N$13,14,FALSE)</f>
        <v>0.2885154061624649</v>
      </c>
      <c r="Y19" s="1103">
        <f>V19*X19</f>
        <v>10098.200468132456</v>
      </c>
      <c r="Z19" s="1106"/>
      <c r="AA19" s="1072">
        <f>SUM(J19,L19:M19)+Y19</f>
        <v>52400.200468132447</v>
      </c>
      <c r="AB19" s="1104">
        <f>VLOOKUP(B19,'[47]Raises 2025'!$A$4:$Q$13,16,FALSE)</f>
        <v>43252</v>
      </c>
      <c r="AC19" s="1105">
        <f>VLOOKUP(B19,'[47]Raises 2025'!$A$4:$Q$13,17,FALSE)</f>
        <v>2.5000000000000001E-2</v>
      </c>
      <c r="AD19" s="1103">
        <f>AA19*AC19</f>
        <v>1310.0050117033113</v>
      </c>
    </row>
    <row r="20" spans="1:37" ht="12.75" customHeight="1">
      <c r="A20" s="1030"/>
      <c r="B20" s="1208"/>
      <c r="C20" s="1062"/>
      <c r="D20" s="1030"/>
      <c r="E20" s="1033"/>
      <c r="F20" s="1034"/>
      <c r="G20" s="1034"/>
      <c r="H20" s="1034"/>
      <c r="I20" s="1034"/>
      <c r="J20" s="1033"/>
      <c r="K20" s="1034"/>
      <c r="L20" s="1034"/>
      <c r="M20" s="1034"/>
      <c r="N20" s="1034"/>
      <c r="O20" s="1034"/>
      <c r="P20" s="1035"/>
      <c r="S20" s="1100"/>
      <c r="T20" s="1101"/>
      <c r="U20" s="1102"/>
      <c r="V20" s="1108"/>
      <c r="W20" s="1110"/>
      <c r="X20" s="1109"/>
      <c r="Y20" s="1108"/>
      <c r="Z20" s="1106"/>
      <c r="AA20" s="1063"/>
      <c r="AB20" s="1110"/>
      <c r="AC20" s="1111"/>
      <c r="AD20" s="1108"/>
    </row>
    <row r="21" spans="1:37" s="689" customFormat="1" ht="12.75" customHeight="1">
      <c r="A21" s="1209"/>
      <c r="B21" s="1210"/>
      <c r="C21" s="1211" t="s">
        <v>1195</v>
      </c>
      <c r="D21" s="1209"/>
      <c r="E21" s="1036">
        <f t="shared" ref="E21:S21" si="1">+SUM(E19:E20)</f>
        <v>2060.1166670000002</v>
      </c>
      <c r="F21" s="1037">
        <f t="shared" si="1"/>
        <v>509.9666610000001</v>
      </c>
      <c r="G21" s="1037">
        <f t="shared" si="1"/>
        <v>32</v>
      </c>
      <c r="H21" s="1037">
        <f t="shared" si="1"/>
        <v>48</v>
      </c>
      <c r="I21" s="1038">
        <f t="shared" si="1"/>
        <v>0</v>
      </c>
      <c r="J21" s="1037">
        <f t="shared" si="1"/>
        <v>40783.599999999999</v>
      </c>
      <c r="K21" s="1037">
        <f t="shared" si="1"/>
        <v>15109.29</v>
      </c>
      <c r="L21" s="1037">
        <f t="shared" si="1"/>
        <v>579.20000000000005</v>
      </c>
      <c r="M21" s="1037">
        <f t="shared" si="1"/>
        <v>939.2</v>
      </c>
      <c r="N21" s="1037">
        <f t="shared" si="1"/>
        <v>1563.0999999999995</v>
      </c>
      <c r="O21" s="1037">
        <f t="shared" si="1"/>
        <v>0</v>
      </c>
      <c r="P21" s="1112">
        <f t="shared" si="1"/>
        <v>58974.389999999992</v>
      </c>
      <c r="Q21" s="1113">
        <f t="shared" si="1"/>
        <v>2650.0833280000002</v>
      </c>
      <c r="R21" s="1113">
        <f t="shared" si="1"/>
        <v>80</v>
      </c>
      <c r="S21" s="1113">
        <f t="shared" si="1"/>
        <v>2570.0833280000002</v>
      </c>
      <c r="T21" s="1113"/>
      <c r="U21" s="1113"/>
      <c r="V21" s="1113">
        <f>+SUM(V19:V20)</f>
        <v>35000.558904109588</v>
      </c>
      <c r="W21" s="1113"/>
      <c r="X21" s="1113">
        <f>+SUM(X19:X20)</f>
        <v>0.2885154061624649</v>
      </c>
      <c r="Y21" s="1113">
        <f>+SUM(Y19:Y20)</f>
        <v>10098.200468132456</v>
      </c>
      <c r="Z21" s="1113"/>
      <c r="AA21" s="1113">
        <f>+SUM(AA19:AA20)</f>
        <v>52400.200468132447</v>
      </c>
      <c r="AB21" s="1113">
        <f>+SUM(AB19:AB20)</f>
        <v>43252</v>
      </c>
      <c r="AC21" s="1113">
        <f>+SUM(AC19:AC20)</f>
        <v>2.5000000000000001E-2</v>
      </c>
      <c r="AD21" s="1113">
        <f>+SUM(AD19:AD20)</f>
        <v>1310.0050117033113</v>
      </c>
      <c r="AE21" s="1070"/>
      <c r="AF21" s="1070"/>
      <c r="AG21" s="1070"/>
      <c r="AH21" s="1070"/>
      <c r="AI21" s="1070"/>
      <c r="AJ21" s="1070"/>
      <c r="AK21" s="1070"/>
    </row>
    <row r="22" spans="1:37" s="688" customFormat="1" ht="12.75" customHeight="1" thickBot="1">
      <c r="A22" s="1030"/>
      <c r="B22" s="1208"/>
      <c r="C22" s="1062"/>
      <c r="D22" s="1030"/>
      <c r="E22" s="1033"/>
      <c r="F22" s="1034"/>
      <c r="G22" s="1034"/>
      <c r="H22" s="1034"/>
      <c r="I22" s="1034"/>
      <c r="J22" s="1033"/>
      <c r="K22" s="1034"/>
      <c r="L22" s="1034"/>
      <c r="M22" s="1034"/>
      <c r="N22" s="1034"/>
      <c r="O22" s="1034"/>
      <c r="P22" s="1035"/>
      <c r="Q22" s="1072"/>
      <c r="R22" s="1072"/>
      <c r="S22" s="1116"/>
      <c r="T22" s="1117"/>
      <c r="U22" s="1118"/>
      <c r="V22" s="1103"/>
      <c r="W22" s="1119"/>
      <c r="X22" s="1120"/>
      <c r="Y22" s="1103"/>
      <c r="Z22" s="1106"/>
      <c r="AA22" s="1072"/>
      <c r="AB22" s="1119"/>
      <c r="AC22" s="1121"/>
      <c r="AD22" s="1103"/>
      <c r="AE22" s="1062"/>
      <c r="AF22" s="1062"/>
      <c r="AG22" s="1062"/>
      <c r="AH22" s="1062"/>
      <c r="AI22" s="1062"/>
      <c r="AJ22" s="1062"/>
      <c r="AK22" s="1062"/>
    </row>
    <row r="23" spans="1:37" s="688" customFormat="1" ht="12.75" customHeight="1" thickTop="1" thickBot="1">
      <c r="A23" s="1212"/>
      <c r="B23" s="1212" t="s">
        <v>1194</v>
      </c>
      <c r="C23" s="1205"/>
      <c r="D23" s="1206"/>
      <c r="E23" s="1033"/>
      <c r="F23" s="1034"/>
      <c r="G23" s="1034"/>
      <c r="H23" s="1034"/>
      <c r="I23" s="1034"/>
      <c r="J23" s="1033"/>
      <c r="K23" s="1034"/>
      <c r="L23" s="1034"/>
      <c r="M23" s="1034"/>
      <c r="N23" s="1034"/>
      <c r="O23" s="1034"/>
      <c r="P23" s="1035"/>
      <c r="Q23" s="1072"/>
      <c r="R23" s="1072"/>
      <c r="S23" s="1116"/>
      <c r="T23" s="1117"/>
      <c r="U23" s="1118"/>
      <c r="V23" s="1103"/>
      <c r="W23" s="1119"/>
      <c r="X23" s="1120"/>
      <c r="Y23" s="1103"/>
      <c r="Z23" s="1106"/>
      <c r="AA23" s="1072"/>
      <c r="AB23" s="1119"/>
      <c r="AC23" s="1121"/>
      <c r="AD23" s="1103"/>
      <c r="AE23" s="1062"/>
      <c r="AF23" s="1062"/>
      <c r="AG23" s="1062"/>
      <c r="AH23" s="1062"/>
      <c r="AI23" s="1062"/>
      <c r="AJ23" s="1062"/>
      <c r="AK23" s="1062"/>
    </row>
    <row r="24" spans="1:37" ht="12.75" customHeight="1" thickTop="1">
      <c r="A24" s="1030">
        <v>2025</v>
      </c>
      <c r="B24" s="1208" t="s">
        <v>1193</v>
      </c>
      <c r="C24" s="1137" t="s">
        <v>1192</v>
      </c>
      <c r="D24" s="1030" t="str">
        <f>VLOOKUP(B24,'[47]EE Listing'!$A$1:$D$11,4,FALSE)</f>
        <v>CSR</v>
      </c>
      <c r="E24" s="1031">
        <f>VLOOKUP($B24,'[47]Pivot Data'!$B$4:$AS$15,33,FALSE)</f>
        <v>464.74999699999995</v>
      </c>
      <c r="F24" s="1032">
        <f>VLOOKUP($B24,'[47]Pivot Data'!$B$4:$AS$15,34,FALSE)</f>
        <v>25.100000999999999</v>
      </c>
      <c r="G24" s="1032">
        <f>VLOOKUP($B24,'[47]Pivot Data'!$B$4:$AS$15,35,FALSE)</f>
        <v>9.1999999999999993</v>
      </c>
      <c r="H24" s="1032">
        <f>VLOOKUP($B24,'[47]Pivot Data'!$B$4:$AS$15,36,FALSE)</f>
        <v>0</v>
      </c>
      <c r="I24" s="1032">
        <f>VLOOKUP($B24,'[47]Pivot Data'!$B$4:$AS$15,37,FALSE)</f>
        <v>0</v>
      </c>
      <c r="J24" s="1031">
        <f>VLOOKUP($B24,'[47]Pivot Data'!$B$4:$AS$15,39,FALSE)</f>
        <v>7436.02</v>
      </c>
      <c r="K24" s="1032">
        <f>VLOOKUP($B24,'[47]Pivot Data'!$B$4:$AS$15,40,FALSE)</f>
        <v>605.37999999999988</v>
      </c>
      <c r="L24" s="1032">
        <f>VLOOKUP($B24,'[47]Pivot Data'!$B$4:$AS$15,41,FALSE)</f>
        <v>147.19999999999999</v>
      </c>
      <c r="M24" s="1032">
        <f>VLOOKUP($B24,'[47]Pivot Data'!$B$4:$AS$15,42,FALSE)</f>
        <v>0</v>
      </c>
      <c r="N24" s="1032">
        <f>VLOOKUP($B24,'[47]Pivot Data'!$B$4:$AS$15,43,FALSE)</f>
        <v>145</v>
      </c>
      <c r="O24" s="1032">
        <f>VLOOKUP($B24,'[47]Pivot Data'!$B$4:$AS$15,44,FALSE)</f>
        <v>0</v>
      </c>
      <c r="P24" s="1035">
        <f>SUM(J24:O24)</f>
        <v>8333.6</v>
      </c>
      <c r="Q24" s="1063">
        <f>SUM(E24:I24)</f>
        <v>499.04999799999996</v>
      </c>
      <c r="R24" s="1063">
        <f>G24+H24+I24</f>
        <v>9.1999999999999993</v>
      </c>
      <c r="S24" s="1100">
        <f>Q24-R24</f>
        <v>489.84999799999997</v>
      </c>
      <c r="T24" s="1101"/>
      <c r="U24" s="1102"/>
      <c r="V24" s="1103">
        <f>((SUM(J24,L24:M24)*(VALUE(VLOOKUP(B24,'[47]Raises 2025'!$A$4:$L$13,12,FALSE))/365)))</f>
        <v>7583.22</v>
      </c>
      <c r="W24" s="1104"/>
      <c r="X24" s="1105">
        <f>VLOOKUP(B24,'[47]Raises 2025'!$A$4:$N$13,14,FALSE)</f>
        <v>0</v>
      </c>
      <c r="Y24" s="1108">
        <f>V24*X24</f>
        <v>0</v>
      </c>
      <c r="Z24" s="1124"/>
      <c r="AA24" s="1072">
        <f>SUM(J24,L24:M24)+Y24</f>
        <v>7583.22</v>
      </c>
      <c r="AB24" s="1104" t="str">
        <f>VLOOKUP(B24,'[47]Raises 2025'!$A$4:$Q$13,16,FALSE)</f>
        <v>N/A</v>
      </c>
      <c r="AC24" s="1105">
        <f>VLOOKUP(B24,'[47]Raises 2025'!$A$4:$Q$13,17,FALSE)</f>
        <v>0</v>
      </c>
      <c r="AD24" s="1108">
        <f>AA24*AC24</f>
        <v>0</v>
      </c>
    </row>
    <row r="25" spans="1:37" ht="12.75" customHeight="1">
      <c r="A25" s="1030">
        <v>2025</v>
      </c>
      <c r="B25" s="1208" t="s">
        <v>1191</v>
      </c>
      <c r="C25" s="1137" t="s">
        <v>1190</v>
      </c>
      <c r="D25" s="1030" t="str">
        <f>VLOOKUP(B25,'[47]EE Listing'!$A$1:$D$11,4,FALSE)</f>
        <v>CSR</v>
      </c>
      <c r="E25" s="1031">
        <f>VLOOKUP($B25,'[47]Pivot Data'!$B$4:$AS$15,33,FALSE)</f>
        <v>1220.2833370000001</v>
      </c>
      <c r="F25" s="1032">
        <f>VLOOKUP($B25,'[47]Pivot Data'!$B$4:$AS$15,34,FALSE)</f>
        <v>96.933341999999996</v>
      </c>
      <c r="G25" s="1032">
        <f>VLOOKUP($B25,'[47]Pivot Data'!$B$4:$AS$15,35,FALSE)</f>
        <v>111.7</v>
      </c>
      <c r="H25" s="1032">
        <f>VLOOKUP($B25,'[47]Pivot Data'!$B$4:$AS$15,36,FALSE)</f>
        <v>32</v>
      </c>
      <c r="I25" s="1032">
        <f>VLOOKUP($B25,'[47]Pivot Data'!$B$4:$AS$15,37,FALSE)</f>
        <v>0</v>
      </c>
      <c r="J25" s="1031">
        <f>VLOOKUP($B25,'[47]Pivot Data'!$B$4:$AS$15,39,FALSE)</f>
        <v>19114.150000000009</v>
      </c>
      <c r="K25" s="1032">
        <f>VLOOKUP($B25,'[47]Pivot Data'!$B$4:$AS$15,40,FALSE)</f>
        <v>2322.5800000000004</v>
      </c>
      <c r="L25" s="1032">
        <f>VLOOKUP($B25,'[47]Pivot Data'!$B$4:$AS$15,41,FALSE)</f>
        <v>2299.8900000000003</v>
      </c>
      <c r="M25" s="1032">
        <f>VLOOKUP($B25,'[47]Pivot Data'!$B$4:$AS$15,42,FALSE)</f>
        <v>500.15999999999997</v>
      </c>
      <c r="N25" s="1032">
        <f>VLOOKUP($B25,'[47]Pivot Data'!$B$4:$AS$15,43,FALSE)</f>
        <v>1770.0000000000005</v>
      </c>
      <c r="O25" s="1032">
        <f>VLOOKUP($B25,'[47]Pivot Data'!$B$4:$AS$15,44,FALSE)</f>
        <v>74.239999999999995</v>
      </c>
      <c r="P25" s="1035">
        <f>SUM(J25:O25)</f>
        <v>26081.020000000011</v>
      </c>
      <c r="Q25" s="1063">
        <f>SUM(E25:I25)</f>
        <v>1460.9166790000002</v>
      </c>
      <c r="R25" s="1063">
        <f>G25+H25+I25</f>
        <v>143.69999999999999</v>
      </c>
      <c r="S25" s="1100">
        <f>Q25-R25</f>
        <v>1317.2166790000001</v>
      </c>
      <c r="T25" s="1101"/>
      <c r="U25" s="1102"/>
      <c r="V25" s="1103">
        <f>((SUM(J25,L25:M25)*(VALUE(VLOOKUP(B25,'[47]Raises 2025'!$A$4:$L$13,12,FALSE))/365)))</f>
        <v>12247.93643835617</v>
      </c>
      <c r="W25" s="1104">
        <f>(VLOOKUP(B25,'[47]Raises 2025'!$A$4:$N$13,11,FALSE))</f>
        <v>42940</v>
      </c>
      <c r="X25" s="1105">
        <f>VLOOKUP(B25,'[47]Raises 2025'!$A$4:$N$13,14,FALSE)</f>
        <v>0.13003901170351093</v>
      </c>
      <c r="Y25" s="1108">
        <f>V25*X25</f>
        <v>1592.7095498512558</v>
      </c>
      <c r="Z25" s="1124"/>
      <c r="AA25" s="1072">
        <f>SUM(J25,L25:M25)+Y25</f>
        <v>23506.909549851265</v>
      </c>
      <c r="AB25" s="1104" t="str">
        <f>VLOOKUP(B25,'[47]Raises 2025'!$A$4:$Q$13,16,FALSE)</f>
        <v>N/A</v>
      </c>
      <c r="AC25" s="1105">
        <f>VLOOKUP(B25,'[47]Raises 2025'!$A$4:$Q$13,17,FALSE)</f>
        <v>0</v>
      </c>
      <c r="AD25" s="1108">
        <f>AA25*AC25</f>
        <v>0</v>
      </c>
    </row>
    <row r="26" spans="1:37" ht="12.75" customHeight="1">
      <c r="A26" s="1030">
        <v>2025</v>
      </c>
      <c r="B26" s="1208" t="s">
        <v>1189</v>
      </c>
      <c r="C26" s="1062" t="s">
        <v>1188</v>
      </c>
      <c r="D26" s="1030" t="str">
        <f>VLOOKUP(B26,'[47]EE Listing'!$A$1:$D$11,4,FALSE)</f>
        <v>Controller</v>
      </c>
      <c r="E26" s="1031">
        <f>VLOOKUP($B26,'[47]Pivot Data'!$B$4:$AS$15,33,FALSE)</f>
        <v>864</v>
      </c>
      <c r="F26" s="1032">
        <f>VLOOKUP($B26,'[47]Pivot Data'!$B$4:$AS$15,34,FALSE)</f>
        <v>0</v>
      </c>
      <c r="G26" s="1032">
        <f>VLOOKUP($B26,'[47]Pivot Data'!$B$4:$AS$15,35,FALSE)</f>
        <v>0</v>
      </c>
      <c r="H26" s="1032">
        <f>VLOOKUP($B26,'[47]Pivot Data'!$B$4:$AS$15,36,FALSE)</f>
        <v>16</v>
      </c>
      <c r="I26" s="1032">
        <f>VLOOKUP($B26,'[47]Pivot Data'!$B$4:$AS$15,37,FALSE)</f>
        <v>0</v>
      </c>
      <c r="J26" s="1031">
        <f>VLOOKUP($B26,'[47]Pivot Data'!$B$4:$AS$15,39,FALSE)</f>
        <v>29541.299999999996</v>
      </c>
      <c r="K26" s="1032">
        <f>VLOOKUP($B26,'[47]Pivot Data'!$B$4:$AS$15,40,FALSE)</f>
        <v>0</v>
      </c>
      <c r="L26" s="1032">
        <f>VLOOKUP($B26,'[47]Pivot Data'!$B$4:$AS$15,41,FALSE)</f>
        <v>0</v>
      </c>
      <c r="M26" s="1032">
        <f>VLOOKUP($B26,'[47]Pivot Data'!$B$4:$AS$15,42,FALSE)</f>
        <v>545.28</v>
      </c>
      <c r="N26" s="1032">
        <f>VLOOKUP($B26,'[47]Pivot Data'!$B$4:$AS$15,43,FALSE)</f>
        <v>0</v>
      </c>
      <c r="O26" s="1032">
        <f>VLOOKUP($B26,'[47]Pivot Data'!$B$4:$AS$15,44,FALSE)</f>
        <v>0</v>
      </c>
      <c r="P26" s="1035">
        <f>SUM(J26:O26)</f>
        <v>30086.579999999994</v>
      </c>
      <c r="Q26" s="1063">
        <f>SUM(E26:I26)</f>
        <v>880</v>
      </c>
      <c r="R26" s="1063">
        <f>G26+H26+I26</f>
        <v>16</v>
      </c>
      <c r="S26" s="1100">
        <f>Q26-R26</f>
        <v>864</v>
      </c>
      <c r="T26" s="1101"/>
      <c r="U26" s="1102"/>
      <c r="V26" s="1103">
        <f>((SUM(J26,L26:M26)*(VALUE(VLOOKUP(B26,'[47]Raises 2025'!$A$4:$L$13,12,FALSE))/365)))</f>
        <v>21431.536438356161</v>
      </c>
      <c r="W26" s="1104">
        <f>(VLOOKUP(B26,'[47]Raises 2025'!$A$4:$N$13,11,FALSE))</f>
        <v>42996</v>
      </c>
      <c r="X26" s="1105">
        <f>VLOOKUP(B26,'[47]Raises 2025'!$A$4:$N$13,14,FALSE)</f>
        <v>2.5000000000000001E-2</v>
      </c>
      <c r="Y26" s="1108">
        <f>V26*X26</f>
        <v>535.78841095890402</v>
      </c>
      <c r="Z26" s="1124"/>
      <c r="AA26" s="1072">
        <f>SUM(J26,L26:M26)+Y26</f>
        <v>30622.368410958898</v>
      </c>
      <c r="AB26" s="1104">
        <f>VLOOKUP(B26,'[47]Raises 2025'!$A$4:$Q$13,16,FALSE)</f>
        <v>43361</v>
      </c>
      <c r="AC26" s="1105">
        <f>VLOOKUP(B26,'[47]Raises 2025'!$A$4:$Q$13,17,FALSE)</f>
        <v>2.5000000000000001E-2</v>
      </c>
      <c r="AD26" s="1108"/>
    </row>
    <row r="27" spans="1:37" s="689" customFormat="1" ht="12.75" customHeight="1">
      <c r="A27" s="1030">
        <v>2025</v>
      </c>
      <c r="B27" s="1208" t="s">
        <v>1187</v>
      </c>
      <c r="C27" s="1062" t="s">
        <v>1186</v>
      </c>
      <c r="D27" s="1030" t="str">
        <f>VLOOKUP(B27,'[47]EE Listing'!$A$1:$D$11,4,FALSE)</f>
        <v>Office Manager</v>
      </c>
      <c r="E27" s="1031">
        <f>VLOOKUP($B27,'[47]Pivot Data'!$B$4:$AS$15,33,FALSE)</f>
        <v>680</v>
      </c>
      <c r="F27" s="1032">
        <f>VLOOKUP($B27,'[47]Pivot Data'!$B$4:$AS$15,34,FALSE)</f>
        <v>0</v>
      </c>
      <c r="G27" s="1032">
        <f>VLOOKUP($B27,'[47]Pivot Data'!$B$4:$AS$15,35,FALSE)</f>
        <v>72</v>
      </c>
      <c r="H27" s="1032">
        <f>VLOOKUP($B27,'[47]Pivot Data'!$B$4:$AS$15,36,FALSE)</f>
        <v>16</v>
      </c>
      <c r="I27" s="1032">
        <f>VLOOKUP($B27,'[47]Pivot Data'!$B$4:$AS$15,37,FALSE)</f>
        <v>0</v>
      </c>
      <c r="J27" s="1031">
        <f>VLOOKUP($B27,'[47]Pivot Data'!$B$4:$AS$15,39,FALSE)</f>
        <v>16231.97</v>
      </c>
      <c r="K27" s="1032">
        <f>VLOOKUP($B27,'[47]Pivot Data'!$B$4:$AS$15,40,FALSE)</f>
        <v>0</v>
      </c>
      <c r="L27" s="1032">
        <f>VLOOKUP($B27,'[47]Pivot Data'!$B$4:$AS$15,41,FALSE)</f>
        <v>1719.36</v>
      </c>
      <c r="M27" s="1032">
        <f>VLOOKUP($B27,'[47]Pivot Data'!$B$4:$AS$15,42,FALSE)</f>
        <v>382.08</v>
      </c>
      <c r="N27" s="1032">
        <f>VLOOKUP($B27,'[47]Pivot Data'!$B$4:$AS$15,43,FALSE)</f>
        <v>0</v>
      </c>
      <c r="O27" s="1032">
        <f>VLOOKUP($B27,'[47]Pivot Data'!$B$4:$AS$15,44,FALSE)</f>
        <v>1550.79</v>
      </c>
      <c r="P27" s="1035">
        <f>SUM(J27:O27)</f>
        <v>19884.2</v>
      </c>
      <c r="Q27" s="1063">
        <f>SUM(E27:I27)</f>
        <v>768</v>
      </c>
      <c r="R27" s="1063">
        <f>G27+H27+I27</f>
        <v>88</v>
      </c>
      <c r="S27" s="1100">
        <f>Q27-R27</f>
        <v>680</v>
      </c>
      <c r="T27" s="1101"/>
      <c r="U27" s="1102"/>
      <c r="V27" s="1103">
        <f>((SUM(J27,L27:M27)*(VALUE(VLOOKUP(B27,'[47]Raises 2025'!$A$4:$L$13,12,FALSE))/365)))</f>
        <v>18333.41</v>
      </c>
      <c r="W27" s="1104"/>
      <c r="X27" s="1105">
        <f>VLOOKUP(B27,'[47]Raises 2025'!$A$4:$N$13,14,FALSE)</f>
        <v>0</v>
      </c>
      <c r="Y27" s="1108">
        <f>V27*X27</f>
        <v>0</v>
      </c>
      <c r="Z27" s="1125"/>
      <c r="AA27" s="1072">
        <f>SUM(J27,L27:M27)+Y27</f>
        <v>18333.41</v>
      </c>
      <c r="AB27" s="1104">
        <f>VLOOKUP(B27,'[47]Raises 2025'!$A$4:$Q$13,16,FALSE)</f>
        <v>43122</v>
      </c>
      <c r="AC27" s="1105">
        <f>VLOOKUP(B27,'[47]Raises 2025'!$A$4:$Q$13,17,FALSE)</f>
        <v>2.5000000000000001E-2</v>
      </c>
      <c r="AD27" s="1108">
        <f>AA27*AC27</f>
        <v>458.33525000000003</v>
      </c>
      <c r="AE27" s="1070"/>
      <c r="AF27" s="1070"/>
      <c r="AG27" s="1070"/>
      <c r="AH27" s="1070"/>
      <c r="AI27" s="1070"/>
      <c r="AJ27" s="1070"/>
      <c r="AK27" s="1070"/>
    </row>
    <row r="28" spans="1:37" ht="12.75" customHeight="1">
      <c r="A28" s="1030"/>
      <c r="B28" s="1208"/>
      <c r="C28" s="1062"/>
      <c r="D28" s="1030"/>
      <c r="E28" s="1033"/>
      <c r="F28" s="1034"/>
      <c r="G28" s="1034"/>
      <c r="H28" s="1034"/>
      <c r="I28" s="1034"/>
      <c r="J28" s="1033"/>
      <c r="K28" s="1034"/>
      <c r="L28" s="1034"/>
      <c r="M28" s="1034"/>
      <c r="N28" s="1034"/>
      <c r="O28" s="1034"/>
      <c r="P28" s="1035"/>
      <c r="S28" s="1100"/>
      <c r="T28" s="1101"/>
      <c r="U28" s="1102"/>
      <c r="V28" s="1108"/>
      <c r="W28" s="1110"/>
      <c r="X28" s="1109"/>
      <c r="Y28" s="1108"/>
      <c r="Z28" s="1124"/>
      <c r="AA28" s="1063"/>
      <c r="AB28" s="1110"/>
      <c r="AC28" s="1111"/>
      <c r="AD28" s="1108"/>
    </row>
    <row r="29" spans="1:37" s="689" customFormat="1" ht="12.75" customHeight="1">
      <c r="A29" s="1209"/>
      <c r="B29" s="1210"/>
      <c r="C29" s="1211" t="s">
        <v>1185</v>
      </c>
      <c r="D29" s="1209"/>
      <c r="E29" s="1036">
        <f t="shared" ref="E29:S29" si="2">+SUM(E24:E28)</f>
        <v>3229.0333339999997</v>
      </c>
      <c r="F29" s="1037">
        <f t="shared" si="2"/>
        <v>122.033343</v>
      </c>
      <c r="G29" s="1037">
        <f t="shared" si="2"/>
        <v>192.9</v>
      </c>
      <c r="H29" s="1037">
        <f t="shared" si="2"/>
        <v>64</v>
      </c>
      <c r="I29" s="1037">
        <f t="shared" si="2"/>
        <v>0</v>
      </c>
      <c r="J29" s="1036">
        <f t="shared" si="2"/>
        <v>72323.44</v>
      </c>
      <c r="K29" s="1037">
        <f t="shared" si="2"/>
        <v>2927.96</v>
      </c>
      <c r="L29" s="1037">
        <f t="shared" si="2"/>
        <v>4166.45</v>
      </c>
      <c r="M29" s="1037">
        <f t="shared" si="2"/>
        <v>1427.52</v>
      </c>
      <c r="N29" s="1037">
        <f t="shared" si="2"/>
        <v>1915.0000000000005</v>
      </c>
      <c r="O29" s="1037">
        <f t="shared" si="2"/>
        <v>1625.03</v>
      </c>
      <c r="P29" s="1112">
        <f t="shared" si="2"/>
        <v>84385.400000000009</v>
      </c>
      <c r="Q29" s="1113">
        <f t="shared" si="2"/>
        <v>3607.9666770000003</v>
      </c>
      <c r="R29" s="1113">
        <f t="shared" si="2"/>
        <v>256.89999999999998</v>
      </c>
      <c r="S29" s="1113">
        <f t="shared" si="2"/>
        <v>3351.0666769999998</v>
      </c>
      <c r="T29" s="1113"/>
      <c r="U29" s="1113"/>
      <c r="V29" s="1113">
        <f>+SUM(V24:V28)</f>
        <v>59596.102876712335</v>
      </c>
      <c r="W29" s="1113"/>
      <c r="X29" s="1113">
        <f>+SUM(X24:X28)</f>
        <v>0.15503901170351092</v>
      </c>
      <c r="Y29" s="1113">
        <f>+SUM(Y24:Y28)</f>
        <v>2128.4979608101598</v>
      </c>
      <c r="Z29" s="1113"/>
      <c r="AA29" s="1113">
        <f>+SUM(AA24:AA28)</f>
        <v>80045.90796081016</v>
      </c>
      <c r="AB29" s="1113">
        <f>+SUM(AB24:AB28)</f>
        <v>86483</v>
      </c>
      <c r="AC29" s="1113">
        <f>+SUM(AC24:AC28)</f>
        <v>0.05</v>
      </c>
      <c r="AD29" s="1113">
        <f>+SUM(AD24:AD28)</f>
        <v>458.33525000000003</v>
      </c>
      <c r="AE29" s="1070"/>
      <c r="AF29" s="1070"/>
      <c r="AG29" s="1070"/>
      <c r="AH29" s="1070"/>
      <c r="AI29" s="1070"/>
      <c r="AJ29" s="1070"/>
      <c r="AK29" s="1070"/>
    </row>
    <row r="30" spans="1:37" s="688" customFormat="1" ht="12.75" customHeight="1" thickBot="1">
      <c r="A30" s="1030"/>
      <c r="B30" s="1208"/>
      <c r="C30" s="1062"/>
      <c r="D30" s="1030"/>
      <c r="E30" s="1033"/>
      <c r="F30" s="1034"/>
      <c r="G30" s="1034"/>
      <c r="H30" s="1034"/>
      <c r="I30" s="1034"/>
      <c r="J30" s="1033"/>
      <c r="K30" s="1034"/>
      <c r="L30" s="1034"/>
      <c r="M30" s="1034"/>
      <c r="N30" s="1034"/>
      <c r="O30" s="1034"/>
      <c r="P30" s="1035"/>
      <c r="Q30" s="1072"/>
      <c r="R30" s="1072"/>
      <c r="S30" s="1116"/>
      <c r="T30" s="1117"/>
      <c r="U30" s="1118"/>
      <c r="V30" s="1103"/>
      <c r="W30" s="1119"/>
      <c r="X30" s="1120"/>
      <c r="Y30" s="1103"/>
      <c r="Z30" s="1106"/>
      <c r="AA30" s="1072"/>
      <c r="AB30" s="1119"/>
      <c r="AC30" s="1121"/>
      <c r="AD30" s="1103"/>
      <c r="AE30" s="1062"/>
      <c r="AF30" s="1062"/>
      <c r="AG30" s="1062"/>
      <c r="AH30" s="1062"/>
      <c r="AI30" s="1062"/>
      <c r="AJ30" s="1062"/>
      <c r="AK30" s="1062"/>
    </row>
    <row r="31" spans="1:37" s="688" customFormat="1" ht="12.75" customHeight="1" thickTop="1">
      <c r="A31" s="1213"/>
      <c r="B31" s="1214"/>
      <c r="C31" s="1215" t="s">
        <v>1184</v>
      </c>
      <c r="D31" s="1216"/>
      <c r="E31" s="1033"/>
      <c r="F31" s="1034"/>
      <c r="G31" s="1034"/>
      <c r="H31" s="1034"/>
      <c r="I31" s="1034"/>
      <c r="J31" s="1033"/>
      <c r="K31" s="1034"/>
      <c r="L31" s="1034"/>
      <c r="M31" s="1034"/>
      <c r="N31" s="1034"/>
      <c r="O31" s="1034"/>
      <c r="P31" s="1035"/>
      <c r="Q31" s="1072"/>
      <c r="R31" s="1072"/>
      <c r="S31" s="1116"/>
      <c r="T31" s="1117"/>
      <c r="U31" s="1118"/>
      <c r="V31" s="1103"/>
      <c r="W31" s="1119"/>
      <c r="X31" s="1120"/>
      <c r="Y31" s="1103"/>
      <c r="Z31" s="1106"/>
      <c r="AA31" s="1072"/>
      <c r="AB31" s="1119"/>
      <c r="AC31" s="1121"/>
      <c r="AD31" s="1103"/>
      <c r="AE31" s="1062"/>
      <c r="AF31" s="1062"/>
      <c r="AG31" s="1062"/>
      <c r="AH31" s="1062"/>
      <c r="AI31" s="1062"/>
      <c r="AJ31" s="1062"/>
      <c r="AK31" s="1062"/>
    </row>
    <row r="32" spans="1:37" ht="12.75" customHeight="1">
      <c r="A32" s="1030">
        <v>2025</v>
      </c>
      <c r="B32" s="1208">
        <v>154987</v>
      </c>
      <c r="C32" s="1137" t="s">
        <v>1183</v>
      </c>
      <c r="D32" s="1030" t="str">
        <f>VLOOKUP(B32,'[47]EE Listing'!$A$1:$D$12,4,FALSE)</f>
        <v>Ops Supervisor</v>
      </c>
      <c r="E32" s="1031">
        <f>VLOOKUP($B32,'[47]Pivot Data'!$B$4:$AS$15,33,FALSE)</f>
        <v>1288</v>
      </c>
      <c r="F32" s="1032">
        <f>VLOOKUP($B32,'[47]Pivot Data'!$B$4:$AS$15,34,FALSE)</f>
        <v>0</v>
      </c>
      <c r="G32" s="1032">
        <f>VLOOKUP($B32,'[47]Pivot Data'!$B$4:$AS$15,35,FALSE)</f>
        <v>40</v>
      </c>
      <c r="H32" s="1032">
        <f>VLOOKUP($B32,'[47]Pivot Data'!$B$4:$AS$15,36,FALSE)</f>
        <v>32</v>
      </c>
      <c r="I32" s="1032">
        <f>VLOOKUP($B32,'[47]Pivot Data'!$B$4:$AS$15,37,FALSE)</f>
        <v>0</v>
      </c>
      <c r="J32" s="1031">
        <f>VLOOKUP($B32,'[47]Pivot Data'!$B$4:$AS$15,39,FALSE)</f>
        <v>39577.339999999997</v>
      </c>
      <c r="K32" s="1032">
        <f>VLOOKUP($B32,'[47]Pivot Data'!$B$4:$AS$15,40,FALSE)</f>
        <v>0</v>
      </c>
      <c r="L32" s="1032">
        <f>VLOOKUP($B32,'[47]Pivot Data'!$B$4:$AS$15,41,FALSE)</f>
        <v>1313.6</v>
      </c>
      <c r="M32" s="1032">
        <f>VLOOKUP($B32,'[47]Pivot Data'!$B$4:$AS$15,42,FALSE)</f>
        <v>1038.08</v>
      </c>
      <c r="N32" s="1032">
        <f>VLOOKUP($B32,'[47]Pivot Data'!$B$4:$AS$15,43,FALSE)</f>
        <v>0</v>
      </c>
      <c r="O32" s="1032">
        <f>VLOOKUP($B32,'[47]Pivot Data'!$B$4:$AS$15,44,FALSE)</f>
        <v>342.97</v>
      </c>
      <c r="P32" s="1035">
        <f>SUM(J32:O32)</f>
        <v>42271.99</v>
      </c>
      <c r="Q32" s="1063">
        <f>SUM(E32:I32)</f>
        <v>1360</v>
      </c>
      <c r="R32" s="1063">
        <f>G32+H32+I32</f>
        <v>72</v>
      </c>
      <c r="S32" s="1100">
        <f>Q32-R32</f>
        <v>1288</v>
      </c>
      <c r="T32" s="1101"/>
      <c r="U32" s="1102"/>
      <c r="V32" s="1103">
        <f>((SUM(J32,L32:M32)*(VALUE(VLOOKUP(B32,'[47]Raises 2025'!$A$4:$L$13,12,FALSE))/365)))</f>
        <v>1723.1104109589039</v>
      </c>
      <c r="W32" s="1104">
        <f>(VLOOKUP(B32,'[47]Raises 2025'!$A$4:$N$13,11,FALSE))</f>
        <v>42751</v>
      </c>
      <c r="X32" s="1105">
        <f>VLOOKUP(B32,'[47]Raises 2025'!$A$4:$N$13,14,FALSE)</f>
        <v>2.5000075046904387E-2</v>
      </c>
      <c r="Y32" s="1103">
        <f>V32*X32</f>
        <v>43.077889588074854</v>
      </c>
      <c r="Z32" s="1106"/>
      <c r="AA32" s="1072">
        <f>SUM(J32,L32:M32)+Y32</f>
        <v>41972.097889588069</v>
      </c>
      <c r="AB32" s="1104">
        <f>VLOOKUP(B32,'[47]Raises 2025'!$A$4:$Q$13,16,FALSE)</f>
        <v>43122</v>
      </c>
      <c r="AC32" s="1105">
        <f>VLOOKUP(B32,'[47]Raises 2025'!$A$4:$Q$13,17,FALSE)</f>
        <v>2.5000000000000001E-2</v>
      </c>
      <c r="AD32" s="1108">
        <f>AA32*AC32</f>
        <v>1049.3024472397017</v>
      </c>
    </row>
    <row r="33" spans="1:37" ht="12.75" customHeight="1">
      <c r="A33" s="1202"/>
      <c r="B33" s="1202"/>
      <c r="C33" s="1202"/>
      <c r="D33" s="1202"/>
      <c r="E33" s="1029"/>
      <c r="F33" s="1030"/>
      <c r="G33" s="1030"/>
      <c r="H33" s="1030"/>
      <c r="I33" s="1030"/>
      <c r="J33" s="1029"/>
      <c r="K33" s="1030"/>
      <c r="L33" s="1030"/>
      <c r="M33" s="1030"/>
      <c r="N33" s="1030"/>
      <c r="O33" s="1030"/>
      <c r="P33" s="1093"/>
      <c r="Q33" s="1088"/>
      <c r="R33" s="1088"/>
      <c r="S33" s="1089"/>
      <c r="T33" s="1089"/>
      <c r="V33" s="1094"/>
      <c r="W33" s="1095"/>
      <c r="X33" s="1096"/>
      <c r="Y33" s="1097"/>
      <c r="Z33" s="1097"/>
      <c r="AA33" s="1094"/>
      <c r="AB33" s="1098"/>
      <c r="AC33" s="1094"/>
      <c r="AD33" s="1094"/>
    </row>
    <row r="34" spans="1:37" s="689" customFormat="1" ht="12.75" customHeight="1">
      <c r="A34" s="1217"/>
      <c r="B34" s="1217"/>
      <c r="C34" s="1211" t="s">
        <v>1182</v>
      </c>
      <c r="D34" s="1217"/>
      <c r="E34" s="1039">
        <f t="shared" ref="E34:P34" si="3">+SUM(E32:E33)</f>
        <v>1288</v>
      </c>
      <c r="F34" s="1040">
        <f t="shared" si="3"/>
        <v>0</v>
      </c>
      <c r="G34" s="1040">
        <f t="shared" si="3"/>
        <v>40</v>
      </c>
      <c r="H34" s="1040">
        <f t="shared" si="3"/>
        <v>32</v>
      </c>
      <c r="I34" s="1040">
        <f t="shared" si="3"/>
        <v>0</v>
      </c>
      <c r="J34" s="1040">
        <f t="shared" si="3"/>
        <v>39577.339999999997</v>
      </c>
      <c r="K34" s="1040">
        <f t="shared" si="3"/>
        <v>0</v>
      </c>
      <c r="L34" s="1040">
        <f t="shared" si="3"/>
        <v>1313.6</v>
      </c>
      <c r="M34" s="1040">
        <f t="shared" si="3"/>
        <v>1038.08</v>
      </c>
      <c r="N34" s="1040">
        <f t="shared" si="3"/>
        <v>0</v>
      </c>
      <c r="O34" s="1040">
        <f t="shared" si="3"/>
        <v>342.97</v>
      </c>
      <c r="P34" s="1126">
        <f t="shared" si="3"/>
        <v>42271.99</v>
      </c>
      <c r="Q34" s="1127">
        <f>+SUM(Q25:Q33)</f>
        <v>8076.8833560000003</v>
      </c>
      <c r="R34" s="1127">
        <f>+SUM(R25:R33)</f>
        <v>576.59999999999991</v>
      </c>
      <c r="S34" s="1127">
        <f>+SUM(S25:S33)</f>
        <v>7500.2833559999999</v>
      </c>
      <c r="T34" s="1127"/>
      <c r="U34" s="1127"/>
      <c r="V34" s="1127">
        <f>+SUM(V32:V33)</f>
        <v>1723.1104109589039</v>
      </c>
      <c r="W34" s="1127">
        <f>+SUM(W32:W33)</f>
        <v>42751</v>
      </c>
      <c r="X34" s="1127">
        <f>+SUM(X32:X33)</f>
        <v>2.5000075046904387E-2</v>
      </c>
      <c r="Y34" s="1127">
        <f>+SUM(Y32:Y33)</f>
        <v>43.077889588074854</v>
      </c>
      <c r="Z34" s="1127"/>
      <c r="AA34" s="1127">
        <f>+SUM(AA32:AA33)</f>
        <v>41972.097889588069</v>
      </c>
      <c r="AB34" s="1127">
        <f>+SUM(AB32:AB33)</f>
        <v>43122</v>
      </c>
      <c r="AC34" s="1127">
        <f>+SUM(AC32:AC33)</f>
        <v>2.5000000000000001E-2</v>
      </c>
      <c r="AD34" s="1127">
        <f>+SUM(AD32:AD33)</f>
        <v>1049.3024472397017</v>
      </c>
      <c r="AE34" s="1070"/>
      <c r="AF34" s="1070"/>
      <c r="AG34" s="1070"/>
      <c r="AH34" s="1070"/>
      <c r="AI34" s="1070"/>
      <c r="AJ34" s="1070"/>
      <c r="AK34" s="1070"/>
    </row>
    <row r="35" spans="1:37" ht="12.75" customHeight="1">
      <c r="A35" s="1202"/>
      <c r="B35" s="1202"/>
      <c r="C35" s="1202"/>
      <c r="D35" s="1202"/>
      <c r="E35" s="1029"/>
      <c r="F35" s="1030"/>
      <c r="G35" s="1030"/>
      <c r="H35" s="1030"/>
      <c r="I35" s="1030"/>
      <c r="J35" s="1029"/>
      <c r="K35" s="1030"/>
      <c r="L35" s="1030"/>
      <c r="M35" s="1030"/>
      <c r="N35" s="1030"/>
      <c r="O35" s="1030"/>
      <c r="P35" s="1093"/>
      <c r="Q35" s="1088"/>
      <c r="R35" s="1088"/>
      <c r="S35" s="1089"/>
      <c r="T35" s="1089"/>
      <c r="V35" s="1094"/>
      <c r="W35" s="1095"/>
      <c r="X35" s="1096"/>
      <c r="Y35" s="1097"/>
      <c r="Z35" s="1097"/>
      <c r="AA35" s="1094"/>
      <c r="AB35" s="1098"/>
      <c r="AC35" s="1094"/>
      <c r="AD35" s="1094"/>
    </row>
    <row r="36" spans="1:37" s="689" customFormat="1" ht="12.75" customHeight="1">
      <c r="A36" s="1217"/>
      <c r="B36" s="1217"/>
      <c r="C36" s="1211" t="s">
        <v>1181</v>
      </c>
      <c r="D36" s="1217"/>
      <c r="E36" s="1041">
        <f t="shared" ref="E36:S36" si="4">+E34+E29+E21+E16</f>
        <v>11446.100003</v>
      </c>
      <c r="F36" s="1042">
        <f t="shared" si="4"/>
        <v>1615.3166610000001</v>
      </c>
      <c r="G36" s="1042">
        <f t="shared" si="4"/>
        <v>394.29999999999995</v>
      </c>
      <c r="H36" s="1042">
        <f t="shared" si="4"/>
        <v>248</v>
      </c>
      <c r="I36" s="1042">
        <f t="shared" si="4"/>
        <v>0</v>
      </c>
      <c r="J36" s="1042">
        <f t="shared" si="4"/>
        <v>248278.38</v>
      </c>
      <c r="K36" s="1042">
        <f t="shared" si="4"/>
        <v>47294.880000000005</v>
      </c>
      <c r="L36" s="1042">
        <f t="shared" si="4"/>
        <v>8713.8299999999981</v>
      </c>
      <c r="M36" s="1042">
        <f t="shared" si="4"/>
        <v>5451.84</v>
      </c>
      <c r="N36" s="1042">
        <f t="shared" si="4"/>
        <v>5632.21</v>
      </c>
      <c r="O36" s="1042">
        <f t="shared" si="4"/>
        <v>2264.96</v>
      </c>
      <c r="P36" s="1112">
        <f t="shared" si="4"/>
        <v>317636.09999999998</v>
      </c>
      <c r="Q36" s="1042">
        <f t="shared" si="4"/>
        <v>20420.600020000002</v>
      </c>
      <c r="R36" s="1042">
        <f t="shared" si="4"/>
        <v>1146.8999999999999</v>
      </c>
      <c r="S36" s="1042">
        <f t="shared" si="4"/>
        <v>19273.70002</v>
      </c>
      <c r="T36" s="1042"/>
      <c r="U36" s="1042"/>
      <c r="V36" s="1042">
        <f>+V34+V29+V21+V16</f>
        <v>160161.9724109589</v>
      </c>
      <c r="W36" s="1042"/>
      <c r="X36" s="1042">
        <f>+X34+X29+X21+X16</f>
        <v>0.96918679514039685</v>
      </c>
      <c r="Y36" s="1042">
        <f>+Y34+Y29+Y21+Y16</f>
        <v>22253.521199856114</v>
      </c>
      <c r="Z36" s="1042"/>
      <c r="AA36" s="1042">
        <f>+AA34+AA29+AA21+AA16</f>
        <v>284697.57119985606</v>
      </c>
      <c r="AB36" s="1042">
        <f>+AB34+AB29+AB21+AB16</f>
        <v>259361</v>
      </c>
      <c r="AC36" s="1042">
        <f>+AC34+AC29+AC21+AC16</f>
        <v>0.15000000000000002</v>
      </c>
      <c r="AD36" s="1042">
        <f>+AD34+AD29+AD21+AD16</f>
        <v>4676.0139743225282</v>
      </c>
      <c r="AE36" s="1070"/>
      <c r="AF36" s="1070"/>
      <c r="AG36" s="1070"/>
      <c r="AH36" s="1070"/>
      <c r="AI36" s="1070"/>
      <c r="AJ36" s="1070"/>
      <c r="AK36" s="1070"/>
    </row>
    <row r="37" spans="1:37" ht="12.75" customHeight="1" thickBot="1">
      <c r="A37" s="1202"/>
      <c r="B37" s="1202"/>
      <c r="C37" s="1202"/>
      <c r="D37" s="1218" t="s">
        <v>1180</v>
      </c>
      <c r="E37" s="1043">
        <f>E36-'[47]Pivot Data'!AH16</f>
        <v>0</v>
      </c>
      <c r="F37" s="1044">
        <f>F36-'[47]Pivot Data'!AI16</f>
        <v>0</v>
      </c>
      <c r="G37" s="1044">
        <f>G36-'[47]Pivot Data'!AJ16</f>
        <v>0</v>
      </c>
      <c r="H37" s="1044">
        <f>H36-'[47]Pivot Data'!AK16</f>
        <v>0</v>
      </c>
      <c r="I37" s="1044">
        <f>I36-'[47]Pivot Data'!AL16</f>
        <v>0</v>
      </c>
      <c r="J37" s="1044">
        <f>J36-'[47]Pivot Data'!AN16</f>
        <v>0</v>
      </c>
      <c r="K37" s="1044">
        <f>K36-'[47]Pivot Data'!AO16</f>
        <v>0</v>
      </c>
      <c r="L37" s="1044">
        <f>L36-'[47]Pivot Data'!AP16</f>
        <v>0</v>
      </c>
      <c r="M37" s="1044">
        <f>M36-'[47]Pivot Data'!AQ16</f>
        <v>0</v>
      </c>
      <c r="N37" s="1044">
        <f>N36-'[47]Pivot Data'!AR16</f>
        <v>0</v>
      </c>
      <c r="O37" s="1044">
        <f>O36-'[47]Pivot Data'!AS16</f>
        <v>0</v>
      </c>
      <c r="P37" s="1128"/>
      <c r="Q37" s="1088"/>
      <c r="R37" s="1088"/>
      <c r="S37" s="1089"/>
      <c r="T37" s="1089"/>
      <c r="V37" s="1094"/>
      <c r="W37" s="1095"/>
      <c r="X37" s="1096"/>
      <c r="Y37" s="1097"/>
      <c r="Z37" s="1097"/>
      <c r="AA37" s="1094"/>
      <c r="AB37" s="1098"/>
      <c r="AC37" s="1094"/>
      <c r="AD37" s="1094"/>
    </row>
    <row r="38" spans="1:37" ht="12.75" customHeight="1">
      <c r="J38" s="1045"/>
      <c r="K38" s="1046"/>
      <c r="L38" s="1046"/>
      <c r="M38" s="1046"/>
      <c r="N38" s="1046"/>
      <c r="O38" s="1046"/>
      <c r="V38" s="1317"/>
      <c r="W38" s="1317"/>
      <c r="X38" s="1317"/>
      <c r="Y38" s="1317"/>
      <c r="Z38" s="1317"/>
      <c r="AA38" s="1317"/>
      <c r="AB38" s="1317"/>
      <c r="AC38" s="1317"/>
      <c r="AD38" s="1317"/>
      <c r="AE38" s="1129"/>
      <c r="AH38" s="1063"/>
      <c r="AI38" s="1063"/>
    </row>
    <row r="39" spans="1:37" ht="12.75" customHeight="1">
      <c r="J39" s="1045"/>
      <c r="K39" s="1046"/>
      <c r="L39" s="1046"/>
      <c r="M39" s="1046"/>
      <c r="N39" s="1046"/>
      <c r="O39" s="1046"/>
      <c r="Q39" s="1130"/>
      <c r="R39" s="1130"/>
      <c r="V39" s="1318"/>
      <c r="W39" s="1318"/>
      <c r="X39" s="1318"/>
      <c r="Y39" s="1318"/>
      <c r="Z39" s="1318"/>
      <c r="AA39" s="1318"/>
      <c r="AB39" s="1318"/>
      <c r="AC39" s="1318"/>
      <c r="AD39" s="1318"/>
      <c r="AE39" s="1129"/>
      <c r="AH39" s="1063"/>
      <c r="AI39" s="1063"/>
    </row>
    <row r="40" spans="1:37" ht="12.75" customHeight="1">
      <c r="A40" s="1319" t="s">
        <v>1179</v>
      </c>
      <c r="B40" s="1319"/>
      <c r="C40" s="1319"/>
      <c r="D40" s="1319"/>
      <c r="E40" s="1047"/>
      <c r="F40" s="1047"/>
      <c r="G40" s="1047"/>
      <c r="H40" s="1047"/>
      <c r="I40" s="1047"/>
      <c r="J40" s="1048"/>
      <c r="K40" s="1047"/>
      <c r="L40" s="1047"/>
      <c r="M40" s="1047"/>
      <c r="N40" s="1047"/>
      <c r="O40" s="1047"/>
      <c r="P40" s="1047"/>
      <c r="Q40" s="1072"/>
      <c r="R40" s="1072"/>
      <c r="S40" s="1072"/>
      <c r="AE40" s="1129"/>
      <c r="AH40" s="1063"/>
      <c r="AI40" s="1063"/>
    </row>
    <row r="41" spans="1:37" ht="6" customHeight="1">
      <c r="J41" s="1049"/>
      <c r="R41" s="1131"/>
      <c r="S41" s="1132"/>
      <c r="AE41" s="1129"/>
      <c r="AH41" s="1063"/>
      <c r="AI41" s="1063"/>
    </row>
    <row r="42" spans="1:37">
      <c r="A42" s="1219"/>
      <c r="B42" s="1219"/>
      <c r="C42" s="1220" t="s">
        <v>1178</v>
      </c>
      <c r="D42" s="1050"/>
      <c r="E42" s="1050"/>
      <c r="F42" s="1050"/>
      <c r="G42" s="1050"/>
      <c r="H42" s="1050"/>
      <c r="I42" s="1050"/>
      <c r="J42" s="1050"/>
      <c r="K42" s="1050"/>
      <c r="L42" s="1050"/>
      <c r="M42" s="1050"/>
      <c r="N42" s="1050"/>
      <c r="O42" s="1050"/>
      <c r="P42" s="1133">
        <f>+P16</f>
        <v>132004.32</v>
      </c>
      <c r="Q42" s="1134"/>
      <c r="R42" s="1135"/>
      <c r="S42" s="1034"/>
      <c r="T42" s="1136"/>
      <c r="U42" s="1137"/>
      <c r="V42" s="1137"/>
      <c r="W42" s="1138"/>
      <c r="X42" s="1139"/>
      <c r="Y42" s="1140"/>
      <c r="Z42" s="1136"/>
      <c r="AA42" s="1137"/>
      <c r="AB42" s="1141"/>
      <c r="AC42" s="1137"/>
      <c r="AE42" s="1142"/>
    </row>
    <row r="43" spans="1:37" ht="6" customHeight="1">
      <c r="Q43" s="1034"/>
      <c r="R43" s="1320"/>
      <c r="S43" s="1320"/>
      <c r="T43" s="1320"/>
      <c r="U43" s="1320"/>
      <c r="V43" s="1320"/>
      <c r="W43" s="1320"/>
      <c r="X43" s="1320"/>
      <c r="Y43" s="1320"/>
      <c r="Z43" s="1320"/>
      <c r="AA43" s="1320"/>
      <c r="AB43" s="1143"/>
      <c r="AC43" s="1143"/>
      <c r="AE43" s="1142"/>
    </row>
    <row r="44" spans="1:37">
      <c r="D44" s="1221" t="s">
        <v>1177</v>
      </c>
      <c r="P44" s="1144">
        <f>'[47]Payroll Schedule'!$P$44</f>
        <v>1768.4400000000007</v>
      </c>
      <c r="Q44" s="1034"/>
      <c r="R44" s="1137"/>
      <c r="S44" s="1030"/>
      <c r="T44" s="1145"/>
      <c r="U44" s="1145"/>
      <c r="V44" s="1137"/>
      <c r="W44" s="1030"/>
      <c r="X44" s="1146"/>
      <c r="Y44" s="1030"/>
      <c r="Z44" s="1136"/>
      <c r="AA44" s="1030"/>
      <c r="AB44" s="1141"/>
      <c r="AC44" s="1137"/>
      <c r="AE44" s="1142"/>
    </row>
    <row r="45" spans="1:37">
      <c r="D45" s="1222" t="s">
        <v>1176</v>
      </c>
      <c r="Q45" s="1034"/>
      <c r="R45" s="1147"/>
      <c r="S45" s="1034"/>
      <c r="T45" s="1034"/>
      <c r="U45" s="1034"/>
      <c r="V45" s="1137"/>
      <c r="W45" s="1034"/>
      <c r="X45" s="1148"/>
      <c r="Y45" s="1140"/>
      <c r="Z45" s="1136"/>
      <c r="AA45" s="1034"/>
      <c r="AB45" s="1141"/>
      <c r="AC45" s="1149"/>
      <c r="AE45" s="1142"/>
    </row>
    <row r="46" spans="1:37">
      <c r="D46" s="1221" t="s">
        <v>1154</v>
      </c>
      <c r="P46" s="1150"/>
      <c r="Q46" s="1034"/>
      <c r="R46" s="1147"/>
      <c r="S46" s="1034"/>
      <c r="T46" s="1034"/>
      <c r="U46" s="1034"/>
      <c r="V46" s="1137"/>
      <c r="W46" s="1138"/>
      <c r="X46" s="1139"/>
      <c r="Y46" s="1140"/>
      <c r="Z46" s="1136"/>
      <c r="AA46" s="1034"/>
      <c r="AB46" s="1141"/>
      <c r="AC46" s="1149"/>
      <c r="AE46" s="1142"/>
    </row>
    <row r="47" spans="1:37" ht="6" customHeight="1">
      <c r="D47" s="1221"/>
      <c r="F47" s="1051"/>
      <c r="G47" s="1051"/>
      <c r="Q47" s="1034"/>
      <c r="R47" s="1151"/>
      <c r="S47" s="1034"/>
      <c r="T47" s="1034"/>
      <c r="U47" s="1034"/>
      <c r="V47" s="1137"/>
      <c r="W47" s="1138"/>
      <c r="X47" s="1139"/>
      <c r="Y47" s="1140"/>
      <c r="Z47" s="1136"/>
      <c r="AA47" s="1034"/>
      <c r="AB47" s="1141"/>
      <c r="AC47" s="1149"/>
      <c r="AE47" s="1142"/>
    </row>
    <row r="48" spans="1:37" ht="11.25" customHeight="1">
      <c r="D48" s="1060"/>
      <c r="E48" s="1022"/>
      <c r="F48" s="1051"/>
      <c r="G48" s="1051"/>
      <c r="H48" s="1022"/>
      <c r="I48" s="1022"/>
      <c r="J48" s="1022"/>
      <c r="K48" s="1022"/>
      <c r="L48" s="1022"/>
      <c r="M48" s="1022"/>
      <c r="N48" s="1022"/>
      <c r="O48" s="1022"/>
      <c r="P48" s="1152" t="s">
        <v>1153</v>
      </c>
      <c r="Q48" s="1034"/>
      <c r="R48" s="1153"/>
      <c r="S48" s="1034"/>
      <c r="T48" s="1034"/>
      <c r="U48" s="1034"/>
      <c r="V48" s="1137"/>
      <c r="W48" s="1136"/>
      <c r="X48" s="1148"/>
      <c r="Y48" s="1153"/>
      <c r="Z48" s="1137"/>
      <c r="AC48" s="1149"/>
      <c r="AE48" s="1154"/>
    </row>
    <row r="49" spans="1:37">
      <c r="C49" s="1223">
        <v>50020</v>
      </c>
      <c r="D49" s="1223" t="s">
        <v>34</v>
      </c>
      <c r="E49" s="1052"/>
      <c r="F49" s="1051"/>
      <c r="G49" s="1051"/>
      <c r="H49" s="1052"/>
      <c r="I49" s="1052"/>
      <c r="J49" s="1052"/>
      <c r="K49" s="1052"/>
      <c r="L49" s="1052"/>
      <c r="M49" s="1052"/>
      <c r="N49" s="1052"/>
      <c r="O49" s="1052"/>
      <c r="P49" s="1155">
        <f>IFERROR(VLOOKUP(C49,'2025 IS'!D13:$AH$268,31,FALSE),0)</f>
        <v>101488.26</v>
      </c>
      <c r="Q49" s="1034"/>
      <c r="R49" s="1153"/>
      <c r="S49" s="1034"/>
      <c r="T49" s="1034"/>
      <c r="U49" s="1034"/>
      <c r="V49" s="1137"/>
      <c r="W49" s="1136"/>
      <c r="X49" s="1148"/>
      <c r="Y49" s="1153"/>
      <c r="Z49" s="1137"/>
      <c r="AC49" s="1156"/>
      <c r="AE49" s="1154"/>
    </row>
    <row r="50" spans="1:37">
      <c r="C50" s="1223">
        <v>50025</v>
      </c>
      <c r="D50" s="1223" t="s">
        <v>35</v>
      </c>
      <c r="E50" s="1052"/>
      <c r="F50" s="1051"/>
      <c r="G50" s="1051"/>
      <c r="H50" s="1052"/>
      <c r="I50" s="1052"/>
      <c r="J50" s="1052"/>
      <c r="K50" s="1052"/>
      <c r="L50" s="1052"/>
      <c r="M50" s="1052"/>
      <c r="N50" s="1052"/>
      <c r="O50" s="1052"/>
      <c r="P50" s="1157">
        <f>IFERROR(VLOOKUP(C50,'2025 IS'!D14:$AH$268,31,FALSE),0)</f>
        <v>29497.24</v>
      </c>
      <c r="Q50" s="1034"/>
      <c r="R50" s="1153"/>
      <c r="S50" s="1034"/>
      <c r="T50" s="1034"/>
      <c r="U50" s="1034"/>
      <c r="V50" s="1137"/>
      <c r="W50" s="1137"/>
      <c r="X50" s="1148"/>
      <c r="Y50" s="1153"/>
      <c r="Z50" s="1137"/>
      <c r="AC50" s="1137"/>
      <c r="AE50" s="1154"/>
    </row>
    <row r="51" spans="1:37">
      <c r="C51" s="1223">
        <v>50035</v>
      </c>
      <c r="D51" s="1224" t="s">
        <v>36</v>
      </c>
      <c r="E51" s="1052"/>
      <c r="F51" s="1051"/>
      <c r="G51" s="1051"/>
      <c r="H51" s="1052"/>
      <c r="I51" s="1052"/>
      <c r="J51" s="1052"/>
      <c r="K51" s="1052"/>
      <c r="L51" s="1052"/>
      <c r="M51" s="1052"/>
      <c r="N51" s="1052"/>
      <c r="O51" s="1052"/>
      <c r="P51" s="1157">
        <f>IFERROR(VLOOKUP(C51,'2025 IS'!D15:$AH$268,31,FALSE),0)</f>
        <v>-236.5</v>
      </c>
      <c r="Q51" s="1034"/>
      <c r="R51" s="1147"/>
      <c r="S51" s="1034"/>
      <c r="T51" s="1034"/>
      <c r="U51" s="1034"/>
      <c r="V51" s="1137"/>
      <c r="W51" s="1136"/>
      <c r="X51" s="1148"/>
      <c r="Y51" s="1153"/>
      <c r="Z51" s="1137"/>
      <c r="AC51" s="1137"/>
      <c r="AE51" s="1129"/>
    </row>
    <row r="52" spans="1:37">
      <c r="C52" s="1223">
        <v>50036</v>
      </c>
      <c r="D52" s="1224" t="s">
        <v>1172</v>
      </c>
      <c r="E52" s="1052"/>
      <c r="F52" s="1051"/>
      <c r="G52" s="1051"/>
      <c r="H52" s="1052"/>
      <c r="I52" s="1052"/>
      <c r="J52" s="1052"/>
      <c r="K52" s="1052"/>
      <c r="L52" s="1052"/>
      <c r="M52" s="1052"/>
      <c r="N52" s="1052"/>
      <c r="O52" s="1052"/>
      <c r="P52" s="1157">
        <f>IFERROR(VLOOKUP(C52,'2025 IS'!D16:$AH$268,31,FALSE),0)</f>
        <v>3557.26</v>
      </c>
      <c r="Q52" s="1034"/>
      <c r="R52" s="1147"/>
      <c r="S52" s="1136"/>
      <c r="T52" s="1136"/>
      <c r="U52" s="1034"/>
      <c r="V52" s="1137"/>
      <c r="W52" s="1136"/>
      <c r="X52" s="1148"/>
      <c r="Y52" s="1153"/>
      <c r="Z52" s="1137"/>
      <c r="AC52" s="1137"/>
      <c r="AE52" s="1142"/>
    </row>
    <row r="53" spans="1:37">
      <c r="C53" s="1223">
        <v>50065</v>
      </c>
      <c r="D53" s="1223" t="s">
        <v>31</v>
      </c>
      <c r="E53" s="1052"/>
      <c r="F53" s="1051"/>
      <c r="G53" s="1051"/>
      <c r="H53" s="1052"/>
      <c r="I53" s="1052"/>
      <c r="J53" s="1052"/>
      <c r="K53" s="1052"/>
      <c r="L53" s="1052"/>
      <c r="M53" s="1052"/>
      <c r="N53" s="1052"/>
      <c r="O53" s="1052"/>
      <c r="P53" s="1157">
        <f>IFERROR(VLOOKUP(C53,'2025 IS'!D23:$AH$268,31,FALSE),0)</f>
        <v>3193.8500000000004</v>
      </c>
      <c r="Q53" s="1034"/>
      <c r="R53" s="1147"/>
      <c r="S53" s="1134"/>
      <c r="T53" s="1134"/>
      <c r="U53" s="1134"/>
      <c r="V53" s="1134"/>
      <c r="W53" s="1134"/>
      <c r="X53" s="1158"/>
      <c r="Y53" s="1134"/>
      <c r="Z53" s="1137"/>
      <c r="AA53" s="1134"/>
      <c r="AB53" s="1141"/>
      <c r="AC53" s="1137"/>
      <c r="AE53" s="1142"/>
    </row>
    <row r="54" spans="1:37">
      <c r="C54" s="1223">
        <v>50070</v>
      </c>
      <c r="D54" s="1223" t="s">
        <v>32</v>
      </c>
      <c r="E54" s="1052"/>
      <c r="F54" s="1051"/>
      <c r="G54" s="1051"/>
      <c r="H54" s="1052"/>
      <c r="I54" s="1052"/>
      <c r="J54" s="1052"/>
      <c r="K54" s="1052"/>
      <c r="L54" s="1052"/>
      <c r="M54" s="1052"/>
      <c r="N54" s="1052"/>
      <c r="O54" s="1052"/>
      <c r="P54" s="1159">
        <f>IFERROR(VLOOKUP(C54,'2025 IS'!D23:$AH$268,31,FALSE),0)</f>
        <v>0</v>
      </c>
      <c r="Q54" s="1034"/>
      <c r="R54" s="1034"/>
      <c r="S54" s="1034"/>
      <c r="T54" s="1136"/>
      <c r="U54" s="1137"/>
      <c r="V54" s="1137"/>
      <c r="W54" s="1138"/>
      <c r="X54" s="1139"/>
      <c r="Y54" s="1153"/>
      <c r="Z54" s="1137"/>
      <c r="AA54" s="1160"/>
      <c r="AB54" s="1141"/>
      <c r="AC54" s="1137"/>
      <c r="AE54" s="1142"/>
    </row>
    <row r="55" spans="1:37">
      <c r="C55" s="1055"/>
      <c r="D55" s="1055"/>
      <c r="E55" s="1052"/>
      <c r="F55" s="1051"/>
      <c r="G55" s="1051"/>
      <c r="H55" s="1052"/>
      <c r="I55" s="1052"/>
      <c r="J55" s="1052"/>
      <c r="K55" s="1052"/>
      <c r="L55" s="1052"/>
      <c r="M55" s="1052"/>
      <c r="N55" s="1052"/>
      <c r="O55" s="1052"/>
      <c r="P55" s="1034">
        <f>SUM(P49:P54)</f>
        <v>137500.11000000002</v>
      </c>
      <c r="Q55" s="1034"/>
      <c r="R55" s="1153"/>
      <c r="S55" s="1136"/>
      <c r="T55" s="1161"/>
      <c r="U55" s="1136"/>
      <c r="V55" s="1136"/>
      <c r="W55" s="1138"/>
      <c r="X55" s="1139"/>
      <c r="Y55" s="1140"/>
      <c r="Z55" s="1136"/>
      <c r="AA55" s="1160"/>
      <c r="AB55" s="1141"/>
      <c r="AC55" s="1137"/>
      <c r="AE55" s="1142"/>
    </row>
    <row r="56" spans="1:37" ht="8.25" customHeight="1">
      <c r="C56" s="1055"/>
      <c r="D56" s="1055"/>
      <c r="E56" s="1052"/>
      <c r="F56" s="1052"/>
      <c r="G56" s="1052"/>
      <c r="H56" s="1052"/>
      <c r="I56" s="1052"/>
      <c r="J56" s="1052"/>
      <c r="K56" s="1052"/>
      <c r="L56" s="1052"/>
      <c r="M56" s="1052"/>
      <c r="N56" s="1052"/>
      <c r="O56" s="1052"/>
      <c r="P56" s="1162"/>
      <c r="Q56" s="1034"/>
      <c r="R56" s="1153"/>
      <c r="S56" s="1030"/>
      <c r="T56" s="1145"/>
      <c r="U56" s="1145"/>
      <c r="V56" s="1145"/>
      <c r="W56" s="1030"/>
      <c r="X56" s="1146"/>
      <c r="Y56" s="1030"/>
      <c r="Z56" s="1136"/>
      <c r="AA56" s="1163"/>
      <c r="AB56" s="1141"/>
      <c r="AC56" s="1137"/>
      <c r="AE56" s="1142"/>
    </row>
    <row r="57" spans="1:37">
      <c r="C57" s="1055"/>
      <c r="D57" s="1224" t="s">
        <v>333</v>
      </c>
      <c r="E57" s="1053"/>
      <c r="F57" s="1053"/>
      <c r="G57" s="1053"/>
      <c r="H57" s="1053"/>
      <c r="I57" s="1053"/>
      <c r="J57" s="1053"/>
      <c r="K57" s="1053"/>
      <c r="L57" s="1053"/>
      <c r="M57" s="1053"/>
      <c r="N57" s="1053"/>
      <c r="P57" s="1162">
        <f>P42+P44-P55+P46</f>
        <v>-3727.3500000000058</v>
      </c>
      <c r="R57" s="1153"/>
      <c r="S57" s="1149"/>
      <c r="T57" s="1164"/>
      <c r="U57" s="1164"/>
      <c r="V57" s="1164"/>
      <c r="W57" s="1034"/>
      <c r="X57" s="1148"/>
      <c r="Y57" s="1140"/>
      <c r="Z57" s="1136"/>
      <c r="AA57" s="1034"/>
      <c r="AB57" s="1141"/>
      <c r="AC57" s="1137"/>
      <c r="AE57" s="1142"/>
      <c r="AF57" s="1111"/>
    </row>
    <row r="58" spans="1:37" s="687" customFormat="1">
      <c r="A58" s="1166"/>
      <c r="B58" s="1060"/>
      <c r="C58" s="1060"/>
      <c r="D58" s="1021"/>
      <c r="E58" s="1021"/>
      <c r="F58" s="1021"/>
      <c r="G58" s="1021"/>
      <c r="H58" s="1021"/>
      <c r="I58" s="1021"/>
      <c r="J58" s="1021"/>
      <c r="K58" s="1021"/>
      <c r="L58" s="1021"/>
      <c r="M58" s="1021"/>
      <c r="N58" s="1021"/>
      <c r="O58" s="1021"/>
      <c r="P58" s="1149">
        <f>P57/P55</f>
        <v>-2.7107978313617387E-2</v>
      </c>
      <c r="Q58" s="1034"/>
      <c r="R58" s="1153"/>
      <c r="S58" s="1165"/>
      <c r="T58" s="1164"/>
      <c r="U58" s="1164"/>
      <c r="V58" s="1164"/>
      <c r="W58" s="1138"/>
      <c r="X58" s="1148"/>
      <c r="Y58" s="1140"/>
      <c r="Z58" s="1136"/>
      <c r="AA58" s="1034"/>
      <c r="AB58" s="1136"/>
      <c r="AC58" s="1136"/>
      <c r="AD58" s="1142"/>
      <c r="AE58" s="1142"/>
      <c r="AF58" s="1166"/>
      <c r="AG58" s="1166"/>
      <c r="AH58" s="1166"/>
      <c r="AI58" s="1166"/>
      <c r="AJ58" s="1166"/>
      <c r="AK58" s="1166"/>
    </row>
    <row r="59" spans="1:37" ht="12" customHeight="1">
      <c r="P59" s="1167" t="s">
        <v>1151</v>
      </c>
      <c r="Q59" s="1034"/>
      <c r="R59" s="1153"/>
      <c r="S59" s="1164"/>
      <c r="T59" s="1164"/>
      <c r="U59" s="1164"/>
      <c r="V59" s="1164"/>
      <c r="W59" s="1138"/>
      <c r="X59" s="1148"/>
      <c r="Y59" s="1140"/>
      <c r="Z59" s="1136"/>
      <c r="AA59" s="1034"/>
      <c r="AB59" s="1136"/>
      <c r="AC59" s="1136"/>
      <c r="AD59" s="1142"/>
      <c r="AE59" s="1142"/>
    </row>
    <row r="60" spans="1:37">
      <c r="A60" s="1219"/>
      <c r="B60" s="1219"/>
      <c r="C60" s="1220" t="s">
        <v>1175</v>
      </c>
      <c r="D60" s="1050"/>
      <c r="E60" s="1050"/>
      <c r="F60" s="1050"/>
      <c r="G60" s="1050"/>
      <c r="H60" s="1050"/>
      <c r="I60" s="1050"/>
      <c r="J60" s="1050"/>
      <c r="K60" s="1050"/>
      <c r="L60" s="1050"/>
      <c r="M60" s="1050"/>
      <c r="N60" s="1050"/>
      <c r="O60" s="1050"/>
      <c r="P60" s="1168">
        <f>+P21</f>
        <v>58974.389999999992</v>
      </c>
      <c r="Q60" s="1169"/>
      <c r="R60" s="1170"/>
      <c r="S60" s="1164"/>
      <c r="T60" s="1164"/>
      <c r="U60" s="1164"/>
      <c r="V60" s="1164"/>
      <c r="W60" s="1034"/>
      <c r="X60" s="1148"/>
      <c r="Y60" s="1140"/>
      <c r="Z60" s="1136"/>
      <c r="AA60" s="1034"/>
      <c r="AB60" s="1136"/>
      <c r="AC60" s="1136"/>
      <c r="AD60" s="1142"/>
      <c r="AE60" s="1142"/>
    </row>
    <row r="61" spans="1:37" ht="4.5" customHeight="1">
      <c r="D61" s="1060"/>
      <c r="Q61" s="1034"/>
      <c r="R61" s="1153"/>
      <c r="S61" s="1164"/>
      <c r="T61" s="1164"/>
      <c r="U61" s="1164"/>
      <c r="V61" s="1164"/>
      <c r="W61" s="1136"/>
      <c r="X61" s="1148"/>
      <c r="Y61" s="1171"/>
      <c r="Z61" s="1138"/>
      <c r="AA61" s="1034"/>
      <c r="AB61" s="1136"/>
      <c r="AC61" s="1136"/>
      <c r="AD61" s="1142"/>
      <c r="AE61" s="1142"/>
    </row>
    <row r="62" spans="1:37">
      <c r="D62" s="1221" t="s">
        <v>1174</v>
      </c>
      <c r="P62" s="1144">
        <f>'[47]Payroll Schedule'!$P$62</f>
        <v>1321.3899999999994</v>
      </c>
      <c r="Q62" s="1034"/>
      <c r="R62" s="1153"/>
      <c r="S62" s="1164"/>
      <c r="T62" s="1164"/>
      <c r="U62" s="1164"/>
      <c r="V62" s="1164"/>
      <c r="W62" s="1136"/>
      <c r="X62" s="1148"/>
      <c r="Y62" s="1171"/>
      <c r="Z62" s="1138"/>
      <c r="AA62" s="1034"/>
      <c r="AB62" s="1136"/>
      <c r="AC62" s="1136"/>
      <c r="AD62" s="1142"/>
      <c r="AE62" s="1142"/>
    </row>
    <row r="63" spans="1:37">
      <c r="D63" s="1221" t="s">
        <v>1173</v>
      </c>
      <c r="Q63" s="1034"/>
      <c r="R63" s="1153"/>
      <c r="S63" s="1164"/>
      <c r="T63" s="1164"/>
      <c r="U63" s="1164"/>
      <c r="V63" s="1164"/>
      <c r="W63" s="1136"/>
      <c r="X63" s="1148"/>
      <c r="Y63" s="1171"/>
      <c r="Z63" s="1138"/>
      <c r="AA63" s="1034"/>
      <c r="AB63" s="1136"/>
      <c r="AC63" s="1136"/>
      <c r="AD63" s="1142"/>
      <c r="AE63" s="1142"/>
    </row>
    <row r="64" spans="1:37" ht="5.25" customHeight="1">
      <c r="D64" s="1221"/>
      <c r="Q64" s="1034"/>
      <c r="R64" s="1153"/>
      <c r="S64" s="1164"/>
      <c r="T64" s="1164"/>
      <c r="U64" s="1164"/>
      <c r="V64" s="1164"/>
      <c r="W64" s="1137"/>
      <c r="X64" s="1148"/>
      <c r="Y64" s="1171"/>
      <c r="Z64" s="1138"/>
      <c r="AA64" s="1034"/>
      <c r="AB64" s="1136"/>
      <c r="AC64" s="1137"/>
      <c r="AD64" s="1068"/>
    </row>
    <row r="65" spans="1:37">
      <c r="D65" s="1060"/>
      <c r="E65" s="1022"/>
      <c r="F65" s="1022"/>
      <c r="G65" s="1022"/>
      <c r="H65" s="1022"/>
      <c r="I65" s="1022"/>
      <c r="J65" s="1022"/>
      <c r="K65" s="1022"/>
      <c r="L65" s="1022"/>
      <c r="M65" s="1022"/>
      <c r="N65" s="1022"/>
      <c r="O65" s="1022"/>
      <c r="P65" s="1152" t="s">
        <v>1153</v>
      </c>
      <c r="Q65" s="1034"/>
      <c r="R65" s="1034"/>
      <c r="S65" s="1034"/>
      <c r="T65" s="1034"/>
      <c r="U65" s="1034"/>
      <c r="V65" s="1034"/>
      <c r="W65" s="1034"/>
      <c r="X65" s="1148"/>
      <c r="Y65" s="1034"/>
      <c r="Z65" s="1034"/>
      <c r="AA65" s="1034"/>
      <c r="AB65" s="1141"/>
      <c r="AC65" s="1137"/>
    </row>
    <row r="66" spans="1:37">
      <c r="C66" s="1223">
        <v>52020</v>
      </c>
      <c r="D66" s="1223" t="s">
        <v>34</v>
      </c>
      <c r="E66" s="1052"/>
      <c r="F66" s="1052"/>
      <c r="G66" s="1052"/>
      <c r="H66" s="1052"/>
      <c r="I66" s="1052"/>
      <c r="J66" s="1052"/>
      <c r="K66" s="1052"/>
      <c r="L66" s="1052"/>
      <c r="M66" s="1052"/>
      <c r="N66" s="1052"/>
      <c r="O66" s="1052"/>
      <c r="P66" s="1155">
        <f>IFERROR(VLOOKUP(C66,'2025 IS'!D30:$AH$268,31,FALSE),0)</f>
        <v>41928.799999999996</v>
      </c>
      <c r="Q66" s="1034"/>
      <c r="R66" s="1034"/>
      <c r="S66" s="1034"/>
      <c r="T66" s="1136"/>
      <c r="U66" s="1137"/>
      <c r="V66" s="1137"/>
      <c r="W66" s="1138"/>
      <c r="X66" s="1139"/>
      <c r="Y66" s="1140"/>
      <c r="Z66" s="1136"/>
      <c r="AA66" s="1137"/>
      <c r="AB66" s="1141"/>
      <c r="AC66" s="1137"/>
    </row>
    <row r="67" spans="1:37">
      <c r="C67" s="1223">
        <v>52025</v>
      </c>
      <c r="D67" s="1223" t="s">
        <v>35</v>
      </c>
      <c r="E67" s="1052"/>
      <c r="F67" s="1052"/>
      <c r="G67" s="1052"/>
      <c r="H67" s="1052"/>
      <c r="I67" s="1052"/>
      <c r="J67" s="1052"/>
      <c r="K67" s="1052"/>
      <c r="L67" s="1052"/>
      <c r="M67" s="1052"/>
      <c r="N67" s="1052"/>
      <c r="O67" s="1052"/>
      <c r="P67" s="1157">
        <f>IFERROR(VLOOKUP(C67,'2025 IS'!D31:$AH$268,31,FALSE),0)</f>
        <v>14852.9</v>
      </c>
      <c r="Q67" s="1034"/>
    </row>
    <row r="68" spans="1:37">
      <c r="C68" s="1223">
        <v>52035</v>
      </c>
      <c r="D68" s="1224" t="s">
        <v>36</v>
      </c>
      <c r="E68" s="1052"/>
      <c r="F68" s="1052"/>
      <c r="G68" s="1052"/>
      <c r="H68" s="1052"/>
      <c r="I68" s="1052"/>
      <c r="J68" s="1052"/>
      <c r="K68" s="1052"/>
      <c r="L68" s="1052"/>
      <c r="M68" s="1052"/>
      <c r="N68" s="1052"/>
      <c r="O68" s="1052"/>
      <c r="P68" s="1157">
        <f>IFERROR(VLOOKUP(C68,'2025 IS'!D32:$AH$268,31,FALSE),0)</f>
        <v>1505.38</v>
      </c>
      <c r="Q68" s="1034"/>
      <c r="R68" s="1034"/>
    </row>
    <row r="69" spans="1:37">
      <c r="C69" s="1223">
        <v>52036</v>
      </c>
      <c r="D69" s="1224" t="s">
        <v>1172</v>
      </c>
      <c r="E69" s="1052"/>
      <c r="F69" s="1052"/>
      <c r="G69" s="1052"/>
      <c r="H69" s="1052"/>
      <c r="I69" s="1052"/>
      <c r="J69" s="1052"/>
      <c r="K69" s="1052"/>
      <c r="L69" s="1052"/>
      <c r="M69" s="1052"/>
      <c r="N69" s="1052"/>
      <c r="O69" s="1052"/>
      <c r="P69" s="1157">
        <f>IFERROR(VLOOKUP(C69,'2025 IS'!D33:$AH$268,31,FALSE),0)</f>
        <v>0</v>
      </c>
      <c r="Q69" s="1034"/>
      <c r="R69" s="1034"/>
    </row>
    <row r="70" spans="1:37">
      <c r="C70" s="1223">
        <v>52065</v>
      </c>
      <c r="D70" s="1223" t="s">
        <v>31</v>
      </c>
      <c r="E70" s="1052"/>
      <c r="F70" s="1052"/>
      <c r="G70" s="1052"/>
      <c r="H70" s="1052"/>
      <c r="I70" s="1052"/>
      <c r="J70" s="1052"/>
      <c r="K70" s="1052"/>
      <c r="L70" s="1052"/>
      <c r="M70" s="1052"/>
      <c r="N70" s="1052"/>
      <c r="O70" s="1052"/>
      <c r="P70" s="1157">
        <f>IFERROR(VLOOKUP(C70,'2025 IS'!D34:$AH$268,31,FALSE),0)</f>
        <v>2428.91</v>
      </c>
      <c r="Q70" s="1034"/>
      <c r="R70" s="1034"/>
    </row>
    <row r="71" spans="1:37">
      <c r="C71" s="1223">
        <v>52070</v>
      </c>
      <c r="D71" s="1223" t="s">
        <v>32</v>
      </c>
      <c r="E71" s="1052"/>
      <c r="F71" s="1052"/>
      <c r="G71" s="1052"/>
      <c r="H71" s="1052"/>
      <c r="I71" s="1052"/>
      <c r="J71" s="1052"/>
      <c r="K71" s="1052"/>
      <c r="L71" s="1052"/>
      <c r="M71" s="1052"/>
      <c r="N71" s="1052"/>
      <c r="O71" s="1052"/>
      <c r="P71" s="1159">
        <f>IFERROR(VLOOKUP(C71,'2025 IS'!D35:$AH$268,31,FALSE),0)</f>
        <v>150.80000000000001</v>
      </c>
      <c r="Q71" s="1034"/>
      <c r="R71" s="1034"/>
    </row>
    <row r="72" spans="1:37">
      <c r="C72" s="1055"/>
      <c r="D72" s="1055"/>
      <c r="E72" s="1052"/>
      <c r="F72" s="1052"/>
      <c r="G72" s="1052"/>
      <c r="H72" s="1052"/>
      <c r="I72" s="1052"/>
      <c r="J72" s="1052"/>
      <c r="K72" s="1052"/>
      <c r="L72" s="1052"/>
      <c r="M72" s="1052"/>
      <c r="N72" s="1052"/>
      <c r="O72" s="1052"/>
      <c r="P72" s="1034">
        <f>SUM(P66:P71)</f>
        <v>60866.789999999994</v>
      </c>
      <c r="Q72" s="1034"/>
      <c r="R72" s="1034"/>
    </row>
    <row r="73" spans="1:37" ht="5.25" customHeight="1">
      <c r="C73" s="1055"/>
      <c r="D73" s="1055"/>
      <c r="E73" s="1052"/>
      <c r="F73" s="1052"/>
      <c r="G73" s="1052"/>
      <c r="H73" s="1052"/>
      <c r="I73" s="1052"/>
      <c r="J73" s="1052"/>
      <c r="K73" s="1052"/>
      <c r="L73" s="1052"/>
      <c r="M73" s="1052"/>
      <c r="N73" s="1052"/>
      <c r="O73" s="1052"/>
      <c r="P73" s="1162"/>
      <c r="Q73" s="1034"/>
      <c r="R73" s="1034"/>
    </row>
    <row r="74" spans="1:37">
      <c r="C74" s="1055"/>
      <c r="D74" s="1224" t="s">
        <v>333</v>
      </c>
      <c r="E74" s="1053"/>
      <c r="F74" s="1053"/>
      <c r="G74" s="1053"/>
      <c r="H74" s="1053"/>
      <c r="I74" s="1053"/>
      <c r="J74" s="1053"/>
      <c r="K74" s="1053"/>
      <c r="L74" s="1053"/>
      <c r="M74" s="1053"/>
      <c r="N74" s="1053"/>
      <c r="P74" s="1162">
        <f>P60+P62-P72</f>
        <v>-571.01000000000204</v>
      </c>
      <c r="R74" s="1172"/>
      <c r="AG74" s="1069"/>
    </row>
    <row r="75" spans="1:37" s="687" customFormat="1">
      <c r="A75" s="1166"/>
      <c r="B75" s="1060"/>
      <c r="C75" s="1060"/>
      <c r="D75" s="1021"/>
      <c r="E75" s="1021"/>
      <c r="F75" s="1021"/>
      <c r="G75" s="1021"/>
      <c r="H75" s="1021"/>
      <c r="I75" s="1021"/>
      <c r="J75" s="1021"/>
      <c r="K75" s="1021"/>
      <c r="L75" s="1021"/>
      <c r="M75" s="1021"/>
      <c r="N75" s="1021"/>
      <c r="O75" s="1021"/>
      <c r="P75" s="1149">
        <f>P74/P72</f>
        <v>-9.3813062919861894E-3</v>
      </c>
      <c r="Q75" s="1034"/>
      <c r="R75" s="1034"/>
      <c r="S75" s="1034"/>
      <c r="T75" s="1136"/>
      <c r="U75" s="1137"/>
      <c r="V75" s="1137"/>
      <c r="W75" s="1065"/>
      <c r="X75" s="1066"/>
      <c r="Y75" s="1067"/>
      <c r="Z75" s="1064"/>
      <c r="AA75" s="1060"/>
      <c r="AB75" s="1068"/>
      <c r="AC75" s="1060"/>
      <c r="AD75" s="1060"/>
      <c r="AE75" s="1142"/>
      <c r="AF75" s="1166"/>
      <c r="AG75" s="1166"/>
      <c r="AH75" s="1166"/>
      <c r="AI75" s="1166"/>
      <c r="AJ75" s="1166"/>
      <c r="AK75" s="1166"/>
    </row>
    <row r="76" spans="1:37" s="687" customFormat="1">
      <c r="A76" s="1166"/>
      <c r="B76" s="1060"/>
      <c r="C76" s="1060"/>
      <c r="D76" s="1021"/>
      <c r="E76" s="1021"/>
      <c r="F76" s="1021"/>
      <c r="G76" s="1021"/>
      <c r="H76" s="1021"/>
      <c r="I76" s="1021"/>
      <c r="J76" s="1021"/>
      <c r="K76" s="1021"/>
      <c r="L76" s="1021"/>
      <c r="M76" s="1021"/>
      <c r="N76" s="1021"/>
      <c r="O76" s="1021"/>
      <c r="P76" s="1167" t="s">
        <v>1151</v>
      </c>
      <c r="Q76" s="1034"/>
      <c r="R76" s="1034"/>
      <c r="S76" s="1034"/>
      <c r="T76" s="1136"/>
      <c r="U76" s="1137"/>
      <c r="V76" s="1137"/>
      <c r="W76" s="1065"/>
      <c r="X76" s="1066"/>
      <c r="Y76" s="1067"/>
      <c r="Z76" s="1064"/>
      <c r="AA76" s="1060"/>
      <c r="AB76" s="1068"/>
      <c r="AC76" s="1060"/>
      <c r="AD76" s="1060"/>
      <c r="AE76" s="1142"/>
      <c r="AF76" s="1166"/>
      <c r="AG76" s="1166"/>
      <c r="AH76" s="1166"/>
      <c r="AI76" s="1166"/>
      <c r="AJ76" s="1166"/>
      <c r="AK76" s="1166"/>
    </row>
    <row r="77" spans="1:37" ht="12" hidden="1" customHeight="1">
      <c r="A77" s="1225"/>
      <c r="B77" s="1225"/>
      <c r="C77" s="1226" t="s">
        <v>1171</v>
      </c>
      <c r="D77" s="1054"/>
      <c r="E77" s="1054"/>
      <c r="F77" s="1054"/>
      <c r="G77" s="1054"/>
      <c r="H77" s="1054"/>
      <c r="I77" s="1054"/>
      <c r="J77" s="1054"/>
      <c r="K77" s="1054"/>
      <c r="L77" s="1054"/>
      <c r="M77" s="1054"/>
      <c r="N77" s="1054"/>
      <c r="O77" s="1054"/>
      <c r="P77" s="1173"/>
      <c r="Q77" s="1169"/>
      <c r="R77" s="1169"/>
      <c r="S77" s="1169"/>
      <c r="T77" s="1174"/>
      <c r="U77" s="1175"/>
      <c r="V77" s="1175"/>
      <c r="W77" s="1166"/>
      <c r="X77" s="1176"/>
      <c r="Y77" s="1177"/>
      <c r="Z77" s="1178"/>
      <c r="AA77" s="1142"/>
      <c r="AB77" s="1142"/>
      <c r="AC77" s="1142"/>
      <c r="AD77" s="1142"/>
      <c r="AE77" s="1142"/>
    </row>
    <row r="78" spans="1:37" hidden="1">
      <c r="Q78" s="1034"/>
      <c r="R78" s="1034"/>
      <c r="S78" s="1034"/>
      <c r="T78" s="1136"/>
      <c r="U78" s="1137"/>
      <c r="V78" s="1137"/>
      <c r="X78" s="1176"/>
      <c r="Y78" s="1177"/>
      <c r="Z78" s="1178"/>
      <c r="AA78" s="1142"/>
      <c r="AB78" s="1142"/>
      <c r="AC78" s="1142"/>
      <c r="AD78" s="1142"/>
      <c r="AE78" s="1142"/>
    </row>
    <row r="79" spans="1:37" hidden="1">
      <c r="C79" s="1221" t="s">
        <v>1170</v>
      </c>
      <c r="Q79" s="1034"/>
      <c r="R79" s="1034"/>
      <c r="S79" s="1034"/>
      <c r="T79" s="1136"/>
      <c r="U79" s="1137"/>
      <c r="V79" s="1137"/>
      <c r="X79" s="1176"/>
      <c r="Y79" s="1177"/>
      <c r="Z79" s="1178"/>
      <c r="AA79" s="1142"/>
      <c r="AB79" s="1142"/>
      <c r="AC79" s="1142"/>
      <c r="AD79" s="1142"/>
      <c r="AE79" s="1142"/>
    </row>
    <row r="80" spans="1:37" hidden="1">
      <c r="C80" s="1221" t="s">
        <v>1169</v>
      </c>
      <c r="Q80" s="1034"/>
      <c r="R80" s="1034"/>
      <c r="S80" s="1034"/>
      <c r="T80" s="1136"/>
      <c r="U80" s="1137"/>
      <c r="V80" s="1137"/>
      <c r="X80" s="1176"/>
      <c r="Y80" s="1177"/>
      <c r="Z80" s="1178"/>
      <c r="AA80" s="1142"/>
      <c r="AB80" s="1142"/>
      <c r="AC80" s="1142"/>
      <c r="AD80" s="1142"/>
      <c r="AE80" s="1142"/>
    </row>
    <row r="81" spans="2:31" hidden="1">
      <c r="C81" s="1221" t="s">
        <v>1168</v>
      </c>
      <c r="Q81" s="1034"/>
      <c r="R81" s="1034"/>
      <c r="S81" s="1034"/>
      <c r="T81" s="1136"/>
      <c r="U81" s="1137"/>
      <c r="V81" s="1137"/>
      <c r="X81" s="1176"/>
      <c r="Y81" s="1177"/>
      <c r="Z81" s="1178"/>
      <c r="AA81" s="1142"/>
      <c r="AB81" s="1142"/>
      <c r="AC81" s="1142"/>
      <c r="AD81" s="1142"/>
      <c r="AE81" s="1142"/>
    </row>
    <row r="82" spans="2:31" hidden="1">
      <c r="C82" s="1221" t="s">
        <v>1167</v>
      </c>
      <c r="Q82" s="1034"/>
      <c r="R82" s="1034"/>
      <c r="S82" s="1034"/>
      <c r="T82" s="1136"/>
      <c r="U82" s="1137"/>
      <c r="V82" s="1137"/>
      <c r="X82" s="1176"/>
      <c r="Y82" s="1177"/>
      <c r="Z82" s="1178"/>
      <c r="AA82" s="1142"/>
      <c r="AB82" s="1142"/>
      <c r="AC82" s="1142"/>
      <c r="AD82" s="1142"/>
      <c r="AE82" s="1142"/>
    </row>
    <row r="83" spans="2:31" hidden="1">
      <c r="C83" s="1221" t="s">
        <v>1166</v>
      </c>
      <c r="Q83" s="1034"/>
      <c r="R83" s="1034"/>
      <c r="S83" s="1034"/>
      <c r="T83" s="1136"/>
      <c r="U83" s="1137"/>
      <c r="V83" s="1137"/>
      <c r="X83" s="1176"/>
      <c r="Y83" s="1177"/>
      <c r="Z83" s="1178"/>
      <c r="AA83" s="1142"/>
      <c r="AB83" s="1142"/>
      <c r="AC83" s="1142"/>
      <c r="AD83" s="1142"/>
    </row>
    <row r="84" spans="2:31" hidden="1">
      <c r="C84" s="1221" t="s">
        <v>1165</v>
      </c>
      <c r="Q84" s="1034"/>
      <c r="R84" s="1034"/>
      <c r="S84" s="1034"/>
      <c r="T84" s="1136"/>
      <c r="U84" s="1137"/>
      <c r="V84" s="1137"/>
      <c r="X84" s="1176"/>
      <c r="Y84" s="1177"/>
      <c r="Z84" s="1178"/>
      <c r="AA84" s="1142"/>
      <c r="AB84" s="1142"/>
      <c r="AC84" s="1142"/>
      <c r="AD84" s="1142"/>
    </row>
    <row r="85" spans="2:31" hidden="1">
      <c r="C85" s="1221" t="s">
        <v>1164</v>
      </c>
      <c r="Q85" s="1034"/>
      <c r="R85" s="1034"/>
      <c r="S85" s="1034"/>
      <c r="T85" s="1136"/>
      <c r="U85" s="1137"/>
      <c r="V85" s="1137"/>
      <c r="Y85" s="1179"/>
      <c r="Z85" s="1065"/>
      <c r="AA85" s="1068"/>
      <c r="AB85" s="1064"/>
      <c r="AE85" s="1068"/>
    </row>
    <row r="86" spans="2:31" hidden="1">
      <c r="C86" s="1221" t="s">
        <v>1163</v>
      </c>
      <c r="Q86" s="1034"/>
      <c r="R86" s="1034"/>
      <c r="S86" s="1034"/>
      <c r="T86" s="1136"/>
      <c r="U86" s="1137"/>
      <c r="V86" s="1137"/>
      <c r="Y86" s="1179"/>
      <c r="Z86" s="1065"/>
      <c r="AA86" s="1068"/>
      <c r="AB86" s="1064"/>
    </row>
    <row r="87" spans="2:31" hidden="1">
      <c r="C87" s="1221" t="s">
        <v>1162</v>
      </c>
      <c r="Q87" s="1034"/>
      <c r="R87" s="1034"/>
      <c r="S87" s="1034"/>
      <c r="T87" s="1136"/>
      <c r="U87" s="1137"/>
      <c r="V87" s="1137"/>
      <c r="Y87" s="1179"/>
      <c r="Z87" s="1065"/>
      <c r="AA87" s="1068"/>
      <c r="AB87" s="1064"/>
      <c r="AD87" s="1068"/>
    </row>
    <row r="88" spans="2:31" hidden="1">
      <c r="C88" s="1221" t="s">
        <v>1161</v>
      </c>
      <c r="Q88" s="1034"/>
      <c r="R88" s="1034"/>
      <c r="S88" s="1034"/>
      <c r="T88" s="1136"/>
      <c r="U88" s="1137"/>
      <c r="V88" s="1137"/>
    </row>
    <row r="89" spans="2:31" hidden="1">
      <c r="Q89" s="1034"/>
      <c r="R89" s="1034"/>
      <c r="S89" s="1034"/>
      <c r="T89" s="1136"/>
      <c r="U89" s="1137"/>
      <c r="V89" s="1137"/>
    </row>
    <row r="90" spans="2:31" hidden="1">
      <c r="Q90" s="1034"/>
      <c r="R90" s="1034"/>
      <c r="S90" s="1034"/>
      <c r="T90" s="1136"/>
      <c r="U90" s="1137"/>
      <c r="V90" s="1137"/>
    </row>
    <row r="91" spans="2:31" hidden="1">
      <c r="B91" s="1223">
        <v>55020</v>
      </c>
      <c r="C91" s="1223" t="s">
        <v>34</v>
      </c>
      <c r="D91" s="1055"/>
      <c r="E91" s="1055"/>
      <c r="F91" s="1055"/>
      <c r="G91" s="1055"/>
      <c r="H91" s="1055"/>
      <c r="I91" s="1055"/>
      <c r="J91" s="1055"/>
      <c r="K91" s="1055"/>
      <c r="L91" s="1055"/>
      <c r="M91" s="1055"/>
      <c r="N91" s="1055"/>
      <c r="O91" s="1055"/>
      <c r="P91" s="1180"/>
      <c r="Q91" s="1034"/>
      <c r="R91" s="1034"/>
      <c r="S91" s="1034"/>
      <c r="T91" s="1136"/>
      <c r="U91" s="1137"/>
      <c r="V91" s="1137"/>
    </row>
    <row r="92" spans="2:31" hidden="1">
      <c r="B92" s="1223">
        <v>55025</v>
      </c>
      <c r="C92" s="1223" t="s">
        <v>35</v>
      </c>
      <c r="D92" s="1055"/>
      <c r="E92" s="1055"/>
      <c r="F92" s="1055"/>
      <c r="G92" s="1055"/>
      <c r="H92" s="1055"/>
      <c r="I92" s="1055"/>
      <c r="J92" s="1055"/>
      <c r="K92" s="1055"/>
      <c r="L92" s="1055"/>
      <c r="M92" s="1055"/>
      <c r="N92" s="1055"/>
      <c r="O92" s="1055"/>
      <c r="P92" s="1180"/>
      <c r="Q92" s="1034"/>
      <c r="R92" s="1034"/>
      <c r="S92" s="1034"/>
      <c r="T92" s="1136"/>
      <c r="U92" s="1137"/>
      <c r="V92" s="1137"/>
    </row>
    <row r="93" spans="2:31" hidden="1">
      <c r="B93" s="1223">
        <v>55035</v>
      </c>
      <c r="C93" s="1224" t="s">
        <v>29</v>
      </c>
      <c r="D93" s="1055"/>
      <c r="E93" s="1055"/>
      <c r="F93" s="1055"/>
      <c r="G93" s="1055"/>
      <c r="H93" s="1055"/>
      <c r="I93" s="1055"/>
      <c r="J93" s="1055"/>
      <c r="K93" s="1055"/>
      <c r="L93" s="1055"/>
      <c r="M93" s="1055"/>
      <c r="N93" s="1055"/>
      <c r="O93" s="1055"/>
      <c r="P93" s="1180"/>
      <c r="Q93" s="1034"/>
      <c r="R93" s="1034"/>
      <c r="S93" s="1034"/>
      <c r="T93" s="1136"/>
      <c r="U93" s="1137"/>
      <c r="V93" s="1137"/>
    </row>
    <row r="94" spans="2:31" hidden="1">
      <c r="B94" s="1223">
        <v>50065</v>
      </c>
      <c r="C94" s="1223" t="s">
        <v>31</v>
      </c>
      <c r="D94" s="1055"/>
      <c r="E94" s="1055"/>
      <c r="F94" s="1055"/>
      <c r="G94" s="1055"/>
      <c r="H94" s="1055"/>
      <c r="I94" s="1055"/>
      <c r="J94" s="1055"/>
      <c r="K94" s="1055"/>
      <c r="L94" s="1055"/>
      <c r="M94" s="1055"/>
      <c r="N94" s="1055"/>
      <c r="O94" s="1055"/>
      <c r="P94" s="1180"/>
      <c r="Q94" s="1034"/>
      <c r="R94" s="1034"/>
      <c r="S94" s="1034"/>
      <c r="T94" s="1136"/>
      <c r="U94" s="1137"/>
      <c r="V94" s="1137"/>
    </row>
    <row r="95" spans="2:31" hidden="1">
      <c r="B95" s="1223">
        <v>55070</v>
      </c>
      <c r="C95" s="1223" t="s">
        <v>32</v>
      </c>
      <c r="D95" s="1055"/>
      <c r="E95" s="1055"/>
      <c r="F95" s="1055"/>
      <c r="G95" s="1055"/>
      <c r="H95" s="1055"/>
      <c r="I95" s="1055"/>
      <c r="J95" s="1055"/>
      <c r="K95" s="1055"/>
      <c r="L95" s="1055"/>
      <c r="M95" s="1055"/>
      <c r="N95" s="1055"/>
      <c r="O95" s="1055"/>
      <c r="P95" s="1180"/>
      <c r="Q95" s="1034"/>
      <c r="R95" s="1034"/>
      <c r="S95" s="1034"/>
      <c r="T95" s="1136"/>
      <c r="U95" s="1137"/>
      <c r="V95" s="1137"/>
    </row>
    <row r="96" spans="2:31" hidden="1">
      <c r="B96" s="1055"/>
      <c r="C96" s="1055"/>
      <c r="D96" s="1055"/>
      <c r="E96" s="1055"/>
      <c r="F96" s="1055"/>
      <c r="G96" s="1055"/>
      <c r="H96" s="1055"/>
      <c r="I96" s="1055"/>
      <c r="J96" s="1055"/>
      <c r="K96" s="1055"/>
      <c r="L96" s="1055"/>
      <c r="M96" s="1055"/>
      <c r="N96" s="1055"/>
      <c r="O96" s="1055"/>
      <c r="P96" s="1180"/>
      <c r="Q96" s="1034"/>
      <c r="R96" s="1034"/>
      <c r="S96" s="1034"/>
      <c r="T96" s="1136"/>
      <c r="U96" s="1137"/>
      <c r="V96" s="1137"/>
    </row>
    <row r="97" spans="1:40" hidden="1">
      <c r="B97" s="1055"/>
      <c r="C97" s="1055"/>
      <c r="D97" s="1055"/>
      <c r="E97" s="1055"/>
      <c r="F97" s="1055"/>
      <c r="G97" s="1055"/>
      <c r="H97" s="1055"/>
      <c r="I97" s="1055"/>
      <c r="J97" s="1055"/>
      <c r="K97" s="1055"/>
      <c r="L97" s="1055"/>
      <c r="M97" s="1055"/>
      <c r="N97" s="1055"/>
      <c r="O97" s="1055"/>
      <c r="P97" s="1180"/>
      <c r="Q97" s="1034"/>
      <c r="R97" s="1034"/>
      <c r="S97" s="1034"/>
      <c r="T97" s="1136"/>
      <c r="U97" s="1137"/>
      <c r="V97" s="1137"/>
    </row>
    <row r="98" spans="1:40" hidden="1">
      <c r="B98" s="1055"/>
      <c r="C98" s="1056" t="s">
        <v>333</v>
      </c>
      <c r="D98" s="1056"/>
      <c r="E98" s="1056"/>
      <c r="F98" s="1056"/>
      <c r="G98" s="1056"/>
      <c r="H98" s="1056"/>
      <c r="I98" s="1056"/>
      <c r="J98" s="1056"/>
      <c r="K98" s="1056"/>
      <c r="L98" s="1056"/>
      <c r="M98" s="1056"/>
      <c r="N98" s="1056"/>
      <c r="O98" s="1056"/>
      <c r="P98" s="1181"/>
      <c r="Q98" s="1034"/>
      <c r="R98" s="1134"/>
      <c r="S98" s="1034"/>
      <c r="T98" s="1136"/>
      <c r="U98" s="1137"/>
      <c r="V98" s="1137"/>
      <c r="AE98" s="1062"/>
      <c r="AF98" s="1062"/>
      <c r="AG98" s="1062"/>
      <c r="AH98" s="1062"/>
      <c r="AI98" s="1062"/>
      <c r="AJ98" s="1062"/>
      <c r="AK98" s="1062"/>
      <c r="AL98" s="688"/>
      <c r="AM98" s="688"/>
      <c r="AN98" s="688"/>
    </row>
    <row r="99" spans="1:40" s="694" customFormat="1" hidden="1">
      <c r="A99" s="1060"/>
      <c r="B99" s="1060"/>
      <c r="C99" s="1060"/>
      <c r="D99" s="1021"/>
      <c r="E99" s="1021"/>
      <c r="F99" s="1021"/>
      <c r="G99" s="1021"/>
      <c r="H99" s="1021"/>
      <c r="I99" s="1021"/>
      <c r="J99" s="1021"/>
      <c r="K99" s="1021"/>
      <c r="L99" s="1021"/>
      <c r="M99" s="1021"/>
      <c r="N99" s="1021"/>
      <c r="O99" s="1021"/>
      <c r="P99" s="1058"/>
      <c r="Q99" s="1034"/>
      <c r="R99" s="1034"/>
      <c r="S99" s="1034"/>
      <c r="T99" s="1136"/>
      <c r="U99" s="1137"/>
      <c r="V99" s="1137"/>
      <c r="W99" s="1065"/>
      <c r="X99" s="1066"/>
      <c r="Y99" s="1067"/>
      <c r="Z99" s="1064"/>
      <c r="AA99" s="1060"/>
      <c r="AB99" s="1068"/>
      <c r="AC99" s="1060"/>
      <c r="AD99" s="1060"/>
      <c r="AE99" s="1062"/>
      <c r="AF99" s="1062"/>
      <c r="AG99" s="1062"/>
      <c r="AH99" s="1062"/>
      <c r="AI99" s="1062"/>
      <c r="AJ99" s="1062"/>
      <c r="AK99" s="1062"/>
      <c r="AL99" s="688"/>
      <c r="AM99" s="688"/>
      <c r="AN99" s="688"/>
    </row>
    <row r="100" spans="1:40" hidden="1">
      <c r="Q100" s="1034"/>
      <c r="R100" s="1034"/>
      <c r="S100" s="1034"/>
      <c r="T100" s="1136"/>
      <c r="U100" s="1137"/>
      <c r="V100" s="1137"/>
      <c r="W100" s="1074"/>
      <c r="X100" s="1075"/>
      <c r="Y100" s="1076"/>
      <c r="Z100" s="1073"/>
      <c r="AA100" s="1062"/>
      <c r="AB100" s="1077"/>
      <c r="AC100" s="1062"/>
      <c r="AD100" s="1062"/>
      <c r="AE100" s="1062"/>
      <c r="AF100" s="1062"/>
      <c r="AG100" s="1062"/>
      <c r="AH100" s="1062"/>
      <c r="AI100" s="1062"/>
      <c r="AJ100" s="1062"/>
      <c r="AK100" s="1062"/>
      <c r="AL100" s="688"/>
      <c r="AM100" s="688"/>
      <c r="AN100" s="688"/>
    </row>
    <row r="101" spans="1:40">
      <c r="A101" s="1227"/>
      <c r="B101" s="1227"/>
      <c r="C101" s="1228" t="s">
        <v>1160</v>
      </c>
      <c r="D101" s="1057"/>
      <c r="E101" s="1057"/>
      <c r="F101" s="1057"/>
      <c r="G101" s="1057"/>
      <c r="H101" s="1057"/>
      <c r="I101" s="1057"/>
      <c r="J101" s="1057"/>
      <c r="K101" s="1057"/>
      <c r="L101" s="1057"/>
      <c r="M101" s="1057"/>
      <c r="N101" s="1057"/>
      <c r="O101" s="1057"/>
      <c r="P101" s="1133">
        <f>+P34</f>
        <v>42271.99</v>
      </c>
      <c r="Q101" s="1134"/>
      <c r="R101" s="1134"/>
      <c r="S101" s="1164"/>
      <c r="T101" s="1182"/>
      <c r="U101" s="1137"/>
      <c r="V101" s="1137"/>
      <c r="W101" s="1074"/>
      <c r="X101" s="1075"/>
      <c r="Y101" s="1076"/>
      <c r="Z101" s="1073"/>
      <c r="AA101" s="1062"/>
      <c r="AB101" s="1077"/>
      <c r="AC101" s="1062"/>
      <c r="AD101" s="1062"/>
      <c r="AE101" s="1062"/>
      <c r="AF101" s="1062"/>
      <c r="AG101" s="1062"/>
      <c r="AH101" s="1062"/>
      <c r="AI101" s="1062"/>
      <c r="AJ101" s="1062"/>
      <c r="AK101" s="1062"/>
      <c r="AL101" s="688"/>
      <c r="AM101" s="688"/>
      <c r="AN101" s="688"/>
    </row>
    <row r="102" spans="1:40" ht="6" customHeight="1">
      <c r="B102" s="1062"/>
      <c r="C102" s="1229"/>
      <c r="D102" s="1058"/>
      <c r="E102" s="1058"/>
      <c r="F102" s="1058"/>
      <c r="G102" s="1058"/>
      <c r="H102" s="1058"/>
      <c r="I102" s="1058"/>
      <c r="J102" s="1058"/>
      <c r="K102" s="1058"/>
      <c r="L102" s="1058"/>
      <c r="M102" s="1058"/>
      <c r="N102" s="1058"/>
      <c r="O102" s="1058"/>
      <c r="Q102" s="1134"/>
      <c r="R102" s="1134"/>
      <c r="S102" s="1134"/>
      <c r="T102" s="1182"/>
      <c r="U102" s="1137"/>
      <c r="V102" s="1137"/>
      <c r="W102" s="1074"/>
      <c r="X102" s="1075"/>
      <c r="Y102" s="1076"/>
      <c r="Z102" s="1073"/>
      <c r="AA102" s="1062"/>
      <c r="AB102" s="1077"/>
      <c r="AC102" s="1062"/>
      <c r="AD102" s="1062"/>
      <c r="AE102" s="1062"/>
      <c r="AF102" s="1062"/>
      <c r="AG102" s="1062"/>
      <c r="AH102" s="1062"/>
      <c r="AI102" s="1062"/>
      <c r="AJ102" s="1062"/>
      <c r="AK102" s="1062"/>
      <c r="AL102" s="688"/>
      <c r="AM102" s="688"/>
      <c r="AN102" s="688"/>
    </row>
    <row r="103" spans="1:40">
      <c r="D103" s="1221" t="s">
        <v>1159</v>
      </c>
      <c r="P103" s="1144">
        <f>'[47]Payroll Schedule'!$P$102</f>
        <v>8006.68</v>
      </c>
      <c r="Q103" s="1034"/>
      <c r="R103" s="1034"/>
      <c r="S103" s="1034"/>
      <c r="T103" s="1136"/>
      <c r="U103" s="1137"/>
      <c r="V103" s="1137"/>
      <c r="W103" s="1074"/>
      <c r="X103" s="1075"/>
      <c r="Y103" s="1076"/>
      <c r="Z103" s="1073"/>
      <c r="AA103" s="1062"/>
      <c r="AB103" s="1077"/>
      <c r="AC103" s="1062"/>
      <c r="AD103" s="1062"/>
      <c r="AE103" s="1062"/>
      <c r="AF103" s="1062"/>
      <c r="AG103" s="1062"/>
      <c r="AH103" s="1062"/>
      <c r="AI103" s="1062"/>
      <c r="AJ103" s="1062"/>
      <c r="AK103" s="1062"/>
      <c r="AL103" s="688"/>
      <c r="AM103" s="688"/>
      <c r="AN103" s="688"/>
    </row>
    <row r="104" spans="1:40" ht="9.75" customHeight="1">
      <c r="D104" s="1222" t="s">
        <v>1158</v>
      </c>
      <c r="Q104" s="1034"/>
      <c r="R104" s="1034"/>
      <c r="S104" s="1034"/>
      <c r="T104" s="1136"/>
      <c r="U104" s="1137"/>
      <c r="V104" s="1137"/>
      <c r="W104" s="1074"/>
      <c r="X104" s="1075"/>
      <c r="Y104" s="1076"/>
      <c r="Z104" s="1073"/>
      <c r="AA104" s="1062"/>
      <c r="AB104" s="1077"/>
      <c r="AC104" s="1062"/>
      <c r="AD104" s="1062"/>
      <c r="AE104" s="1062"/>
      <c r="AF104" s="1062"/>
      <c r="AG104" s="1062"/>
      <c r="AH104" s="1062"/>
      <c r="AI104" s="1062"/>
      <c r="AJ104" s="1062"/>
      <c r="AK104" s="1062"/>
      <c r="AL104" s="688"/>
      <c r="AM104" s="688"/>
      <c r="AN104" s="688"/>
    </row>
    <row r="105" spans="1:40" ht="6" customHeight="1">
      <c r="D105" s="1221"/>
      <c r="Q105" s="1034"/>
      <c r="R105" s="1034"/>
      <c r="S105" s="1034"/>
      <c r="T105" s="1136"/>
      <c r="U105" s="1137"/>
      <c r="V105" s="1137"/>
      <c r="W105" s="1074"/>
      <c r="X105" s="1075"/>
      <c r="Y105" s="1076"/>
      <c r="Z105" s="1073"/>
      <c r="AA105" s="1062"/>
      <c r="AB105" s="1077"/>
      <c r="AC105" s="1062"/>
      <c r="AD105" s="1062"/>
      <c r="AE105" s="1062"/>
      <c r="AF105" s="1062"/>
      <c r="AG105" s="1062"/>
      <c r="AH105" s="1062"/>
      <c r="AI105" s="1062"/>
      <c r="AJ105" s="1062"/>
      <c r="AK105" s="1062"/>
      <c r="AL105" s="688"/>
      <c r="AM105" s="688"/>
      <c r="AN105" s="688"/>
    </row>
    <row r="106" spans="1:40">
      <c r="B106" s="1191"/>
      <c r="D106" s="1191"/>
      <c r="P106" s="1152" t="s">
        <v>1153</v>
      </c>
      <c r="Q106" s="1116"/>
      <c r="R106" s="1116"/>
      <c r="S106" s="1116"/>
      <c r="T106" s="1183"/>
      <c r="U106" s="1184"/>
      <c r="V106" s="1184"/>
      <c r="W106" s="1185"/>
      <c r="X106" s="1186"/>
      <c r="Y106" s="1076"/>
      <c r="Z106" s="1187"/>
      <c r="AA106" s="1188"/>
      <c r="AB106" s="1189"/>
      <c r="AC106" s="1188"/>
      <c r="AD106" s="1188"/>
      <c r="AE106" s="1062"/>
      <c r="AF106" s="1062"/>
      <c r="AG106" s="1062"/>
      <c r="AH106" s="1062"/>
      <c r="AI106" s="1062"/>
      <c r="AJ106" s="1062"/>
      <c r="AK106" s="1062"/>
      <c r="AL106" s="688"/>
      <c r="AM106" s="688"/>
      <c r="AN106" s="688"/>
    </row>
    <row r="107" spans="1:40">
      <c r="C107" s="1221">
        <v>56010</v>
      </c>
      <c r="D107" s="1221" t="s">
        <v>26</v>
      </c>
      <c r="E107" s="1022"/>
      <c r="F107" s="1022"/>
      <c r="G107" s="1022"/>
      <c r="H107" s="1022"/>
      <c r="I107" s="1022"/>
      <c r="J107" s="1022"/>
      <c r="K107" s="1022"/>
      <c r="L107" s="1022"/>
      <c r="M107" s="1022"/>
      <c r="N107" s="1022"/>
      <c r="O107" s="1022"/>
      <c r="P107" s="1155">
        <f>IFERROR(VLOOKUP(C107,'2025 IS'!D70:$AH$268,31,FALSE),0)</f>
        <v>48334.17</v>
      </c>
      <c r="Q107" s="1116"/>
      <c r="R107" s="1116"/>
      <c r="S107" s="1116"/>
      <c r="T107" s="1183"/>
      <c r="U107" s="1184"/>
      <c r="V107" s="1184"/>
      <c r="W107" s="1185"/>
      <c r="X107" s="1186"/>
      <c r="Y107" s="1076"/>
      <c r="Z107" s="1187"/>
      <c r="AA107" s="1188"/>
      <c r="AB107" s="1189"/>
      <c r="AC107" s="1188"/>
      <c r="AD107" s="1188"/>
      <c r="AE107" s="1062"/>
      <c r="AF107" s="1062"/>
      <c r="AG107" s="1062"/>
      <c r="AH107" s="1062"/>
      <c r="AI107" s="1062"/>
      <c r="AJ107" s="1062"/>
      <c r="AK107" s="1062"/>
      <c r="AL107" s="688"/>
      <c r="AM107" s="688"/>
      <c r="AN107" s="688"/>
    </row>
    <row r="108" spans="1:40">
      <c r="C108" s="1221">
        <v>56036</v>
      </c>
      <c r="D108" s="1224" t="s">
        <v>30</v>
      </c>
      <c r="E108" s="1022"/>
      <c r="F108" s="1022"/>
      <c r="G108" s="1022"/>
      <c r="H108" s="1022"/>
      <c r="I108" s="1022"/>
      <c r="J108" s="1022"/>
      <c r="K108" s="1022"/>
      <c r="L108" s="1022"/>
      <c r="M108" s="1022"/>
      <c r="N108" s="1022"/>
      <c r="O108" s="1022"/>
      <c r="P108" s="1157">
        <f>IFERROR(VLOOKUP(C108,'2025 IS'!D71:$AH$268,31,FALSE),0)</f>
        <v>142.97</v>
      </c>
      <c r="Q108" s="1034"/>
      <c r="R108" s="1034"/>
      <c r="S108" s="1034"/>
      <c r="T108" s="1136"/>
      <c r="U108" s="1137"/>
      <c r="V108" s="1137"/>
      <c r="W108" s="1074"/>
      <c r="X108" s="1075"/>
      <c r="Y108" s="1076"/>
      <c r="Z108" s="1073"/>
      <c r="AA108" s="1062"/>
      <c r="AB108" s="1077"/>
      <c r="AC108" s="1062"/>
      <c r="AD108" s="1062"/>
      <c r="AE108" s="1062"/>
      <c r="AF108" s="1062"/>
      <c r="AG108" s="1062"/>
      <c r="AH108" s="1062"/>
      <c r="AI108" s="1062"/>
      <c r="AJ108" s="1062"/>
      <c r="AK108" s="1062"/>
      <c r="AL108" s="688"/>
      <c r="AM108" s="688"/>
      <c r="AN108" s="688"/>
    </row>
    <row r="109" spans="1:40">
      <c r="C109" s="1221">
        <v>56065</v>
      </c>
      <c r="D109" s="1224" t="s">
        <v>31</v>
      </c>
      <c r="E109" s="1022"/>
      <c r="F109" s="1022"/>
      <c r="G109" s="1022"/>
      <c r="H109" s="1022"/>
      <c r="I109" s="1022"/>
      <c r="J109" s="1022"/>
      <c r="K109" s="1022"/>
      <c r="L109" s="1022"/>
      <c r="M109" s="1022"/>
      <c r="N109" s="1022"/>
      <c r="O109" s="1022"/>
      <c r="P109" s="1159">
        <f>IFERROR(VLOOKUP(C109,'2025 IS'!D72:$AH$268,31,FALSE),0)</f>
        <v>1601.5300000000002</v>
      </c>
      <c r="Q109" s="1034"/>
      <c r="R109" s="1034"/>
      <c r="S109" s="1034"/>
      <c r="T109" s="1136"/>
      <c r="U109" s="1137"/>
      <c r="V109" s="1137"/>
      <c r="W109" s="1074"/>
      <c r="X109" s="1075"/>
      <c r="Y109" s="1076"/>
      <c r="Z109" s="1073"/>
      <c r="AA109" s="1062"/>
      <c r="AB109" s="1077"/>
      <c r="AC109" s="1062"/>
      <c r="AD109" s="1062"/>
      <c r="AE109" s="1062"/>
      <c r="AF109" s="1062"/>
      <c r="AG109" s="1062"/>
      <c r="AH109" s="1062"/>
      <c r="AI109" s="1062"/>
      <c r="AJ109" s="1062"/>
      <c r="AK109" s="1062"/>
      <c r="AL109" s="688"/>
      <c r="AM109" s="688"/>
      <c r="AN109" s="688"/>
    </row>
    <row r="110" spans="1:40">
      <c r="D110" s="1060"/>
      <c r="P110" s="1034">
        <f>SUM(P107:P109)</f>
        <v>50078.67</v>
      </c>
      <c r="Q110" s="1134"/>
      <c r="R110" s="1190"/>
      <c r="S110" s="1034"/>
      <c r="T110" s="1136"/>
      <c r="U110" s="1137"/>
      <c r="V110" s="1137"/>
      <c r="W110" s="1074"/>
      <c r="X110" s="1075"/>
      <c r="Y110" s="1076"/>
      <c r="Z110" s="1073"/>
      <c r="AA110" s="1062"/>
      <c r="AB110" s="1077"/>
      <c r="AC110" s="1062"/>
      <c r="AD110" s="1062"/>
      <c r="AE110" s="1062"/>
      <c r="AF110" s="1062"/>
      <c r="AG110" s="1062"/>
      <c r="AH110" s="1062"/>
      <c r="AI110" s="1062"/>
      <c r="AJ110" s="1062"/>
      <c r="AK110" s="1062"/>
      <c r="AL110" s="688"/>
      <c r="AM110" s="688"/>
      <c r="AN110" s="688"/>
    </row>
    <row r="111" spans="1:40" s="694" customFormat="1" ht="6" customHeight="1">
      <c r="A111" s="1062"/>
      <c r="B111" s="1060"/>
      <c r="C111" s="1062"/>
      <c r="D111" s="1060"/>
      <c r="E111" s="1021"/>
      <c r="F111" s="1021"/>
      <c r="G111" s="1021"/>
      <c r="H111" s="1021"/>
      <c r="I111" s="1021"/>
      <c r="J111" s="1021"/>
      <c r="K111" s="1021"/>
      <c r="L111" s="1021"/>
      <c r="M111" s="1021"/>
      <c r="N111" s="1021"/>
      <c r="O111" s="1021"/>
      <c r="P111" s="1162"/>
      <c r="Q111" s="1034"/>
      <c r="R111" s="1034"/>
      <c r="S111" s="1034"/>
      <c r="T111" s="1136"/>
      <c r="U111" s="1137"/>
      <c r="V111" s="1137"/>
      <c r="W111" s="1074"/>
      <c r="X111" s="1075"/>
      <c r="Y111" s="1076"/>
      <c r="Z111" s="1073"/>
      <c r="AA111" s="1062"/>
      <c r="AB111" s="1077"/>
      <c r="AC111" s="1062"/>
      <c r="AD111" s="1062"/>
      <c r="AE111" s="1062"/>
      <c r="AF111" s="1062"/>
      <c r="AG111" s="1062"/>
      <c r="AH111" s="1062"/>
      <c r="AI111" s="1062"/>
      <c r="AJ111" s="1062"/>
      <c r="AK111" s="1062"/>
      <c r="AL111" s="688"/>
      <c r="AM111" s="688"/>
      <c r="AN111" s="688"/>
    </row>
    <row r="112" spans="1:40">
      <c r="D112" s="1221" t="s">
        <v>333</v>
      </c>
      <c r="O112" s="1059"/>
      <c r="P112" s="1162">
        <f>P101+P103-P110</f>
        <v>200</v>
      </c>
      <c r="Q112" s="1060"/>
      <c r="R112" s="1034"/>
      <c r="S112" s="1034"/>
      <c r="T112" s="1136"/>
      <c r="U112" s="1137"/>
      <c r="V112" s="1137"/>
      <c r="W112" s="1074"/>
      <c r="X112" s="1075"/>
      <c r="Y112" s="1076"/>
      <c r="Z112" s="1073"/>
      <c r="AA112" s="1062"/>
      <c r="AB112" s="1077"/>
      <c r="AC112" s="1062"/>
      <c r="AD112" s="1062"/>
      <c r="AE112" s="1062"/>
      <c r="AF112" s="1062"/>
      <c r="AG112" s="1062"/>
      <c r="AH112" s="1062"/>
      <c r="AI112" s="1062"/>
      <c r="AJ112" s="1062"/>
      <c r="AK112" s="1062"/>
      <c r="AL112" s="688"/>
      <c r="AM112" s="688"/>
      <c r="AN112" s="688"/>
    </row>
    <row r="113" spans="1:40">
      <c r="D113" s="1221"/>
      <c r="O113" s="1059"/>
      <c r="P113" s="1149">
        <f>P112/P110</f>
        <v>3.9937162867943578E-3</v>
      </c>
      <c r="Q113" s="1149"/>
      <c r="R113" s="1034"/>
      <c r="S113" s="1034"/>
      <c r="T113" s="1136"/>
      <c r="U113" s="1137"/>
      <c r="V113" s="1137"/>
      <c r="W113" s="1074"/>
      <c r="X113" s="1075"/>
      <c r="Y113" s="1076"/>
      <c r="Z113" s="1073"/>
      <c r="AA113" s="1062"/>
      <c r="AB113" s="1077"/>
      <c r="AC113" s="1062"/>
      <c r="AD113" s="1062"/>
      <c r="AE113" s="1062"/>
      <c r="AF113" s="1062"/>
      <c r="AG113" s="1062"/>
      <c r="AH113" s="1062"/>
      <c r="AI113" s="1062"/>
      <c r="AJ113" s="1062"/>
      <c r="AK113" s="1062"/>
      <c r="AL113" s="688"/>
      <c r="AM113" s="688"/>
      <c r="AN113" s="688"/>
    </row>
    <row r="114" spans="1:40" ht="11.25" customHeight="1">
      <c r="C114" s="1221"/>
      <c r="P114" s="1167" t="s">
        <v>1151</v>
      </c>
      <c r="Q114" s="1034"/>
      <c r="R114" s="1034"/>
      <c r="S114" s="1034"/>
      <c r="T114" s="1136"/>
      <c r="U114" s="1137"/>
      <c r="V114" s="1137"/>
      <c r="W114" s="1074"/>
      <c r="X114" s="1075"/>
      <c r="Y114" s="1076"/>
      <c r="Z114" s="1073"/>
      <c r="AA114" s="1062"/>
      <c r="AB114" s="1077"/>
      <c r="AC114" s="1062"/>
      <c r="AD114" s="1062"/>
      <c r="AE114" s="1062"/>
      <c r="AF114" s="1062"/>
      <c r="AG114" s="1062"/>
      <c r="AH114" s="1062"/>
      <c r="AI114" s="1062"/>
      <c r="AJ114" s="1062"/>
      <c r="AK114" s="1062"/>
      <c r="AL114" s="688"/>
      <c r="AM114" s="688"/>
      <c r="AN114" s="688"/>
    </row>
    <row r="115" spans="1:40">
      <c r="A115" s="1227"/>
      <c r="B115" s="1227"/>
      <c r="C115" s="1228" t="s">
        <v>1157</v>
      </c>
      <c r="D115" s="1057"/>
      <c r="E115" s="1057"/>
      <c r="F115" s="1057"/>
      <c r="G115" s="1057"/>
      <c r="H115" s="1057"/>
      <c r="I115" s="1057"/>
      <c r="J115" s="1057"/>
      <c r="K115" s="1057"/>
      <c r="L115" s="1057"/>
      <c r="M115" s="1057"/>
      <c r="N115" s="1057"/>
      <c r="O115" s="1057"/>
      <c r="P115" s="1133">
        <f>+P29</f>
        <v>84385.400000000009</v>
      </c>
      <c r="Q115" s="1134"/>
      <c r="R115" s="1134"/>
      <c r="S115" s="1164"/>
      <c r="T115" s="1182"/>
      <c r="U115" s="1137"/>
      <c r="V115" s="1137"/>
      <c r="W115" s="1074"/>
      <c r="X115" s="1075"/>
      <c r="Y115" s="1076"/>
      <c r="Z115" s="1073"/>
      <c r="AA115" s="1062"/>
      <c r="AB115" s="1077"/>
      <c r="AC115" s="1062"/>
      <c r="AD115" s="1062"/>
      <c r="AE115" s="1062"/>
      <c r="AF115" s="1062"/>
      <c r="AG115" s="1062"/>
      <c r="AH115" s="1062"/>
      <c r="AI115" s="1062"/>
      <c r="AJ115" s="1062"/>
      <c r="AK115" s="1062"/>
      <c r="AL115" s="688"/>
      <c r="AM115" s="688"/>
      <c r="AN115" s="688"/>
    </row>
    <row r="116" spans="1:40" ht="5.25" customHeight="1">
      <c r="B116" s="1062"/>
      <c r="C116" s="1229"/>
      <c r="D116" s="1058"/>
      <c r="E116" s="1058"/>
      <c r="F116" s="1058"/>
      <c r="G116" s="1058"/>
      <c r="H116" s="1058"/>
      <c r="I116" s="1058"/>
      <c r="J116" s="1058"/>
      <c r="K116" s="1058"/>
      <c r="L116" s="1058"/>
      <c r="M116" s="1058"/>
      <c r="N116" s="1058"/>
      <c r="O116" s="1058"/>
      <c r="Q116" s="1134"/>
      <c r="R116" s="1134"/>
      <c r="S116" s="1134"/>
      <c r="T116" s="1182"/>
      <c r="U116" s="1137"/>
      <c r="V116" s="1137"/>
      <c r="W116" s="1074"/>
      <c r="X116" s="1075"/>
      <c r="Y116" s="1076"/>
      <c r="Z116" s="1073"/>
      <c r="AA116" s="1062"/>
      <c r="AB116" s="1077"/>
      <c r="AC116" s="1062"/>
      <c r="AD116" s="1062"/>
      <c r="AE116" s="1062"/>
      <c r="AF116" s="1062"/>
      <c r="AG116" s="1062"/>
      <c r="AH116" s="1062"/>
      <c r="AI116" s="1062"/>
      <c r="AJ116" s="1062"/>
      <c r="AK116" s="1062"/>
      <c r="AL116" s="688"/>
      <c r="AM116" s="688"/>
      <c r="AN116" s="688"/>
    </row>
    <row r="117" spans="1:40">
      <c r="D117" s="693" t="s">
        <v>1156</v>
      </c>
      <c r="P117" s="1144">
        <f>'[47]Payroll Schedule'!$P$116</f>
        <v>-5469.51</v>
      </c>
      <c r="Q117" s="1034"/>
      <c r="R117" s="1034"/>
      <c r="S117" s="1034"/>
      <c r="T117" s="1136"/>
      <c r="U117" s="1137"/>
      <c r="V117" s="1137"/>
      <c r="W117" s="1074"/>
      <c r="X117" s="1075"/>
      <c r="Y117" s="1076"/>
      <c r="Z117" s="1073"/>
      <c r="AA117" s="1062"/>
      <c r="AB117" s="1077"/>
      <c r="AC117" s="1062"/>
      <c r="AD117" s="1062"/>
      <c r="AE117" s="1062"/>
      <c r="AF117" s="1062"/>
      <c r="AG117" s="1062"/>
      <c r="AH117" s="1062"/>
      <c r="AI117" s="1062"/>
      <c r="AJ117" s="1062"/>
      <c r="AK117" s="1062"/>
      <c r="AL117" s="688"/>
      <c r="AM117" s="688"/>
      <c r="AN117" s="688"/>
    </row>
    <row r="118" spans="1:40">
      <c r="D118" s="1222" t="s">
        <v>1155</v>
      </c>
      <c r="Q118" s="1034"/>
      <c r="R118" s="1034"/>
      <c r="S118" s="1034"/>
      <c r="T118" s="1136"/>
      <c r="U118" s="1137"/>
      <c r="V118" s="1137"/>
      <c r="W118" s="1074"/>
      <c r="X118" s="1075"/>
      <c r="Y118" s="1076"/>
      <c r="Z118" s="1073"/>
      <c r="AA118" s="1062"/>
      <c r="AB118" s="1077"/>
      <c r="AC118" s="1062"/>
      <c r="AD118" s="1062"/>
      <c r="AE118" s="1062"/>
      <c r="AF118" s="1062"/>
      <c r="AG118" s="1062"/>
      <c r="AH118" s="1062"/>
      <c r="AI118" s="1062"/>
      <c r="AJ118" s="1062"/>
      <c r="AK118" s="1062"/>
      <c r="AL118" s="688"/>
      <c r="AM118" s="688"/>
      <c r="AN118" s="688"/>
    </row>
    <row r="119" spans="1:40">
      <c r="C119" s="1221"/>
      <c r="D119" s="1221" t="s">
        <v>1154</v>
      </c>
      <c r="P119" s="1150"/>
      <c r="Q119" s="1034"/>
      <c r="R119" s="1034"/>
      <c r="S119" s="1034"/>
      <c r="T119" s="1136"/>
      <c r="U119" s="1137"/>
      <c r="V119" s="1137"/>
      <c r="W119" s="1074"/>
      <c r="X119" s="1075"/>
      <c r="Y119" s="1076"/>
      <c r="Z119" s="1073"/>
      <c r="AA119" s="1062"/>
      <c r="AB119" s="1077"/>
      <c r="AC119" s="1062"/>
      <c r="AD119" s="1062"/>
      <c r="AE119" s="1062"/>
      <c r="AF119" s="1062"/>
      <c r="AG119" s="1062"/>
      <c r="AH119" s="1062"/>
      <c r="AI119" s="1062"/>
      <c r="AJ119" s="1062"/>
      <c r="AK119" s="1062"/>
      <c r="AL119" s="688"/>
      <c r="AM119" s="688"/>
      <c r="AN119" s="688"/>
    </row>
    <row r="120" spans="1:40" ht="5.25" customHeight="1">
      <c r="C120" s="1221"/>
      <c r="D120" s="1221"/>
      <c r="P120" s="1150"/>
      <c r="Q120" s="1034"/>
      <c r="R120" s="1034"/>
      <c r="S120" s="1034"/>
      <c r="T120" s="1136"/>
      <c r="U120" s="1137"/>
      <c r="V120" s="1137"/>
      <c r="W120" s="1074"/>
      <c r="X120" s="1075"/>
      <c r="Y120" s="1076"/>
      <c r="Z120" s="1073"/>
      <c r="AA120" s="1062"/>
      <c r="AB120" s="1077"/>
      <c r="AC120" s="1062"/>
      <c r="AD120" s="1062"/>
      <c r="AE120" s="1062"/>
      <c r="AF120" s="1062"/>
      <c r="AG120" s="1062"/>
      <c r="AH120" s="1062"/>
      <c r="AI120" s="1062"/>
      <c r="AJ120" s="1062"/>
      <c r="AK120" s="1062"/>
      <c r="AL120" s="688"/>
      <c r="AM120" s="688"/>
      <c r="AN120" s="688"/>
    </row>
    <row r="121" spans="1:40" s="695" customFormat="1">
      <c r="A121" s="1191"/>
      <c r="B121" s="1191"/>
      <c r="C121" s="1191"/>
      <c r="D121" s="1021"/>
      <c r="E121" s="1021"/>
      <c r="F121" s="1021"/>
      <c r="G121" s="1021"/>
      <c r="H121" s="1021"/>
      <c r="I121" s="1021"/>
      <c r="J121" s="1021"/>
      <c r="K121" s="1021"/>
      <c r="L121" s="1021"/>
      <c r="M121" s="1021"/>
      <c r="N121" s="1021"/>
      <c r="O121" s="1021"/>
      <c r="P121" s="1152" t="s">
        <v>1153</v>
      </c>
      <c r="Q121" s="1191"/>
      <c r="R121" s="1116"/>
      <c r="S121" s="1116"/>
      <c r="T121" s="1183"/>
      <c r="U121" s="1184"/>
      <c r="V121" s="1184"/>
      <c r="W121" s="1185"/>
      <c r="X121" s="1186"/>
      <c r="Y121" s="1076"/>
      <c r="Z121" s="1187"/>
      <c r="AA121" s="1188"/>
      <c r="AB121" s="1189"/>
      <c r="AC121" s="1188"/>
      <c r="AD121" s="1188"/>
      <c r="AE121" s="1188"/>
      <c r="AF121" s="1188"/>
      <c r="AG121" s="1188"/>
      <c r="AH121" s="1188"/>
      <c r="AI121" s="1188"/>
      <c r="AJ121" s="1188"/>
      <c r="AK121" s="1188"/>
      <c r="AL121" s="692"/>
      <c r="AM121" s="692"/>
      <c r="AN121" s="692"/>
    </row>
    <row r="122" spans="1:40">
      <c r="C122" s="1223">
        <v>70010</v>
      </c>
      <c r="D122" s="1221" t="s">
        <v>26</v>
      </c>
      <c r="E122" s="1022"/>
      <c r="F122" s="1022"/>
      <c r="G122" s="1022"/>
      <c r="H122" s="1022"/>
      <c r="I122" s="1022"/>
      <c r="J122" s="1022"/>
      <c r="K122" s="1022"/>
      <c r="L122" s="1022"/>
      <c r="M122" s="1022"/>
      <c r="N122" s="1022"/>
      <c r="O122" s="1022"/>
      <c r="P122" s="1155">
        <f>IFERROR(VLOOKUP(C122,'2025 IS'!D93:$AH$268,31,FALSE),0)</f>
        <v>44192.149999999994</v>
      </c>
      <c r="R122" s="1034"/>
      <c r="S122" s="1034"/>
      <c r="T122" s="1136"/>
      <c r="U122" s="1137"/>
      <c r="V122" s="1137"/>
      <c r="W122" s="1074"/>
      <c r="X122" s="1075"/>
      <c r="Y122" s="1076"/>
      <c r="Z122" s="1073"/>
      <c r="AA122" s="1062"/>
      <c r="AB122" s="1077"/>
      <c r="AC122" s="1062"/>
      <c r="AD122" s="1062"/>
      <c r="AE122" s="1062"/>
      <c r="AF122" s="1062"/>
      <c r="AG122" s="1062"/>
      <c r="AH122" s="1062"/>
      <c r="AI122" s="1062"/>
      <c r="AJ122" s="1062"/>
      <c r="AK122" s="1062"/>
      <c r="AL122" s="688"/>
      <c r="AM122" s="688"/>
      <c r="AN122" s="688"/>
    </row>
    <row r="123" spans="1:40">
      <c r="C123" s="1223">
        <v>70020</v>
      </c>
      <c r="D123" s="1223" t="s">
        <v>34</v>
      </c>
      <c r="E123" s="1022"/>
      <c r="F123" s="1022"/>
      <c r="G123" s="1022"/>
      <c r="H123" s="1022"/>
      <c r="I123" s="1022"/>
      <c r="J123" s="1022"/>
      <c r="K123" s="1022"/>
      <c r="L123" s="1022"/>
      <c r="M123" s="1022"/>
      <c r="N123" s="1022"/>
      <c r="O123" s="1022"/>
      <c r="P123" s="1157">
        <f>IFERROR(VLOOKUP(C123,'2025 IS'!D93:$AH$268,31,FALSE),0)</f>
        <v>26646.870000000003</v>
      </c>
      <c r="R123" s="1034"/>
      <c r="S123" s="1034"/>
      <c r="T123" s="1136"/>
      <c r="U123" s="1137"/>
      <c r="V123" s="1137"/>
      <c r="W123" s="1074"/>
      <c r="X123" s="1075"/>
      <c r="Y123" s="1076"/>
      <c r="Z123" s="1073"/>
      <c r="AA123" s="1062"/>
      <c r="AB123" s="1077"/>
      <c r="AC123" s="1062"/>
      <c r="AD123" s="1062"/>
      <c r="AE123" s="1062"/>
      <c r="AF123" s="1062"/>
      <c r="AG123" s="1062"/>
      <c r="AH123" s="1062"/>
      <c r="AI123" s="1062"/>
      <c r="AJ123" s="1062"/>
      <c r="AK123" s="1062"/>
      <c r="AL123" s="688"/>
      <c r="AM123" s="688"/>
      <c r="AN123" s="688"/>
    </row>
    <row r="124" spans="1:40">
      <c r="C124" s="1223">
        <v>70025</v>
      </c>
      <c r="D124" s="1223" t="s">
        <v>35</v>
      </c>
      <c r="E124" s="1022"/>
      <c r="F124" s="1022"/>
      <c r="G124" s="1022"/>
      <c r="H124" s="1022"/>
      <c r="I124" s="1022"/>
      <c r="J124" s="1022"/>
      <c r="K124" s="1022"/>
      <c r="L124" s="1022"/>
      <c r="M124" s="1022"/>
      <c r="N124" s="1022"/>
      <c r="O124" s="1022"/>
      <c r="P124" s="1157">
        <f>IFERROR(VLOOKUP(C124,'2025 IS'!D93:$AH$268,31,FALSE),0)</f>
        <v>2907.61</v>
      </c>
      <c r="R124" s="1034"/>
      <c r="S124" s="1034"/>
      <c r="T124" s="1136"/>
      <c r="U124" s="1137"/>
      <c r="V124" s="1137"/>
      <c r="W124" s="1074"/>
      <c r="X124" s="1075"/>
      <c r="Y124" s="1076"/>
      <c r="Z124" s="1073"/>
      <c r="AA124" s="1062"/>
      <c r="AB124" s="1077"/>
      <c r="AC124" s="1062"/>
      <c r="AD124" s="1062"/>
      <c r="AE124" s="1062"/>
      <c r="AF124" s="1062"/>
      <c r="AG124" s="1062"/>
      <c r="AH124" s="1062"/>
      <c r="AI124" s="1062"/>
      <c r="AJ124" s="1062"/>
      <c r="AK124" s="1062"/>
      <c r="AL124" s="688"/>
      <c r="AM124" s="688"/>
      <c r="AN124" s="688"/>
    </row>
    <row r="125" spans="1:40">
      <c r="C125" s="1223">
        <v>70036</v>
      </c>
      <c r="D125" s="1224" t="s">
        <v>1152</v>
      </c>
      <c r="E125" s="1022"/>
      <c r="F125" s="1022"/>
      <c r="G125" s="1022"/>
      <c r="H125" s="1022"/>
      <c r="I125" s="1022"/>
      <c r="J125" s="1022"/>
      <c r="K125" s="1022"/>
      <c r="L125" s="1022"/>
      <c r="M125" s="1022"/>
      <c r="N125" s="1022"/>
      <c r="O125" s="1022"/>
      <c r="P125" s="1157">
        <f>IFERROR(VLOOKUP(C125,'2025 IS'!D93:$AH$268,31,FALSE),0)</f>
        <v>2634.27</v>
      </c>
      <c r="R125" s="1034"/>
      <c r="S125" s="1034"/>
      <c r="T125" s="1136"/>
      <c r="U125" s="1137"/>
      <c r="V125" s="1137"/>
      <c r="W125" s="1074"/>
      <c r="X125" s="1075"/>
      <c r="Y125" s="1076"/>
      <c r="Z125" s="1073"/>
      <c r="AA125" s="1062"/>
      <c r="AB125" s="1077"/>
      <c r="AC125" s="1062"/>
      <c r="AD125" s="1062"/>
      <c r="AE125" s="1062"/>
      <c r="AF125" s="1062"/>
      <c r="AG125" s="1062"/>
      <c r="AH125" s="1062"/>
      <c r="AI125" s="1062"/>
      <c r="AJ125" s="1062"/>
      <c r="AK125" s="1062"/>
      <c r="AL125" s="688"/>
      <c r="AM125" s="688"/>
      <c r="AN125" s="688"/>
    </row>
    <row r="126" spans="1:40">
      <c r="C126" s="1223">
        <v>70065</v>
      </c>
      <c r="D126" s="1223" t="s">
        <v>31</v>
      </c>
      <c r="E126" s="1022"/>
      <c r="F126" s="1022"/>
      <c r="G126" s="1022"/>
      <c r="H126" s="1022"/>
      <c r="I126" s="1022"/>
      <c r="J126" s="1022"/>
      <c r="K126" s="1022"/>
      <c r="L126" s="1022"/>
      <c r="M126" s="1022"/>
      <c r="N126" s="1022"/>
      <c r="O126" s="1022"/>
      <c r="P126" s="1157">
        <f>IFERROR(VLOOKUP(C126,'2025 IS'!D93:$AH$268,31,FALSE),0)</f>
        <v>1627.82</v>
      </c>
      <c r="R126" s="1192"/>
      <c r="S126" s="1034"/>
      <c r="T126" s="1136"/>
      <c r="U126" s="1137"/>
      <c r="V126" s="1137"/>
      <c r="W126" s="1074"/>
      <c r="X126" s="1075"/>
      <c r="Y126" s="1076"/>
      <c r="Z126" s="1073"/>
      <c r="AA126" s="1062"/>
      <c r="AB126" s="1077"/>
      <c r="AC126" s="1062"/>
      <c r="AD126" s="1062"/>
      <c r="AE126" s="1062"/>
      <c r="AF126" s="1062"/>
      <c r="AG126" s="1062"/>
      <c r="AH126" s="1062"/>
      <c r="AI126" s="1062"/>
      <c r="AJ126" s="1062"/>
      <c r="AK126" s="1062"/>
      <c r="AL126" s="688"/>
      <c r="AM126" s="688"/>
      <c r="AN126" s="688"/>
    </row>
    <row r="127" spans="1:40">
      <c r="C127" s="1223">
        <v>70070</v>
      </c>
      <c r="D127" s="1223" t="s">
        <v>32</v>
      </c>
      <c r="E127" s="1022"/>
      <c r="F127" s="1022"/>
      <c r="G127" s="1022"/>
      <c r="H127" s="1022"/>
      <c r="I127" s="1022"/>
      <c r="J127" s="1022"/>
      <c r="K127" s="1022"/>
      <c r="L127" s="1022"/>
      <c r="M127" s="1022"/>
      <c r="N127" s="1022"/>
      <c r="O127" s="1022"/>
      <c r="P127" s="1159">
        <f>IFERROR(VLOOKUP(C127,'2025 IS'!D93:$AH$268,31,FALSE),0)</f>
        <v>905.64999999999986</v>
      </c>
      <c r="R127" s="1034"/>
      <c r="S127" s="1034"/>
      <c r="T127" s="1136"/>
      <c r="U127" s="1137"/>
      <c r="V127" s="1137"/>
      <c r="W127" s="1074"/>
      <c r="X127" s="1075"/>
      <c r="Y127" s="1076"/>
      <c r="Z127" s="1073"/>
      <c r="AA127" s="1062"/>
      <c r="AB127" s="1077"/>
      <c r="AC127" s="1062"/>
      <c r="AD127" s="1062"/>
      <c r="AE127" s="1062"/>
      <c r="AF127" s="1062"/>
      <c r="AG127" s="1062"/>
      <c r="AH127" s="1062"/>
      <c r="AI127" s="1062"/>
      <c r="AJ127" s="1062"/>
      <c r="AK127" s="1062"/>
      <c r="AL127" s="688"/>
      <c r="AM127" s="688"/>
      <c r="AN127" s="688"/>
    </row>
    <row r="128" spans="1:40">
      <c r="D128" s="1060"/>
      <c r="E128" s="1022"/>
      <c r="F128" s="1022"/>
      <c r="G128" s="1022"/>
      <c r="H128" s="1022"/>
      <c r="I128" s="1022"/>
      <c r="J128" s="1022"/>
      <c r="K128" s="1022"/>
      <c r="L128" s="1022"/>
      <c r="M128" s="1022"/>
      <c r="N128" s="1022"/>
      <c r="O128" s="1022"/>
      <c r="P128" s="1034">
        <f>SUM(P122:P127)</f>
        <v>78914.37</v>
      </c>
      <c r="R128" s="1034"/>
      <c r="S128" s="1034"/>
      <c r="T128" s="1136"/>
      <c r="U128" s="1137"/>
      <c r="V128" s="1137"/>
      <c r="W128" s="1074"/>
      <c r="X128" s="1075"/>
      <c r="Y128" s="1076"/>
      <c r="Z128" s="1073"/>
      <c r="AA128" s="1062"/>
      <c r="AB128" s="1077"/>
      <c r="AC128" s="1062"/>
      <c r="AD128" s="1062"/>
      <c r="AE128" s="1062"/>
      <c r="AF128" s="1062"/>
      <c r="AG128" s="1062"/>
      <c r="AH128" s="1062"/>
      <c r="AI128" s="1062"/>
      <c r="AJ128" s="1062"/>
      <c r="AK128" s="1062"/>
      <c r="AL128" s="688"/>
      <c r="AM128" s="688"/>
      <c r="AN128" s="688"/>
    </row>
    <row r="129" spans="1:40" ht="6" customHeight="1">
      <c r="D129" s="1221"/>
      <c r="E129" s="1022"/>
      <c r="F129" s="1022"/>
      <c r="G129" s="1022"/>
      <c r="H129" s="1022"/>
      <c r="I129" s="1022"/>
      <c r="J129" s="1022"/>
      <c r="K129" s="1022"/>
      <c r="L129" s="1022"/>
      <c r="M129" s="1022"/>
      <c r="N129" s="1022"/>
      <c r="O129" s="1022"/>
      <c r="P129" s="1071"/>
      <c r="Q129" s="1034"/>
      <c r="R129" s="1034"/>
      <c r="S129" s="1034"/>
      <c r="T129" s="1136"/>
      <c r="U129" s="1137"/>
      <c r="V129" s="1137"/>
      <c r="W129" s="1074"/>
      <c r="X129" s="1075"/>
      <c r="Y129" s="1076"/>
      <c r="Z129" s="1073"/>
      <c r="AA129" s="1062"/>
      <c r="AB129" s="1077"/>
      <c r="AC129" s="1062"/>
      <c r="AD129" s="1062"/>
      <c r="AE129" s="1062"/>
      <c r="AF129" s="1062"/>
      <c r="AG129" s="1062"/>
      <c r="AH129" s="1062"/>
      <c r="AI129" s="1062"/>
      <c r="AJ129" s="1062"/>
      <c r="AK129" s="1062"/>
      <c r="AL129" s="688"/>
      <c r="AM129" s="688"/>
      <c r="AN129" s="688"/>
    </row>
    <row r="130" spans="1:40">
      <c r="D130" s="1221" t="s">
        <v>333</v>
      </c>
      <c r="O130" s="1059"/>
      <c r="P130" s="1150">
        <f>P115+P117-P128+P119</f>
        <v>1.5200000000186265</v>
      </c>
      <c r="Q130" s="1060"/>
      <c r="R130" s="1134"/>
      <c r="S130" s="1034"/>
      <c r="T130" s="1136"/>
      <c r="U130" s="1137"/>
      <c r="V130" s="1137"/>
      <c r="W130" s="1074"/>
      <c r="X130" s="1075"/>
      <c r="Y130" s="1076"/>
      <c r="Z130" s="1073"/>
      <c r="AA130" s="1062"/>
      <c r="AB130" s="1077"/>
      <c r="AC130" s="1062"/>
      <c r="AD130" s="1062"/>
      <c r="AE130" s="1062"/>
      <c r="AF130" s="1062"/>
      <c r="AG130" s="1062"/>
      <c r="AH130" s="1062"/>
      <c r="AI130" s="1062"/>
      <c r="AJ130" s="1062"/>
      <c r="AK130" s="1062"/>
      <c r="AL130" s="688"/>
      <c r="AM130" s="688"/>
      <c r="AN130" s="688"/>
    </row>
    <row r="131" spans="1:40">
      <c r="P131" s="1149">
        <f>P130/P128</f>
        <v>1.9261384206940088E-5</v>
      </c>
      <c r="Q131" s="1034"/>
      <c r="R131" s="1034"/>
      <c r="S131" s="1034"/>
      <c r="T131" s="1136"/>
      <c r="U131" s="1137"/>
      <c r="V131" s="1137"/>
      <c r="W131" s="1074"/>
      <c r="X131" s="1075"/>
      <c r="Y131" s="1076"/>
      <c r="Z131" s="1073"/>
      <c r="AA131" s="1062"/>
      <c r="AB131" s="1077"/>
      <c r="AC131" s="1062"/>
      <c r="AD131" s="1062"/>
      <c r="AE131" s="1062"/>
      <c r="AF131" s="1062"/>
      <c r="AG131" s="1062"/>
      <c r="AH131" s="1062"/>
      <c r="AI131" s="1062"/>
      <c r="AJ131" s="1062"/>
      <c r="AK131" s="1062"/>
      <c r="AL131" s="688"/>
      <c r="AM131" s="688"/>
      <c r="AN131" s="688"/>
    </row>
    <row r="132" spans="1:40" ht="10.5" customHeight="1">
      <c r="D132" s="1060"/>
      <c r="E132" s="1060"/>
      <c r="F132" s="1060"/>
      <c r="G132" s="1060"/>
      <c r="H132" s="1060"/>
      <c r="I132" s="1060"/>
      <c r="J132" s="1060"/>
      <c r="K132" s="1060"/>
      <c r="L132" s="1060"/>
      <c r="M132" s="1060"/>
      <c r="N132" s="1060"/>
      <c r="O132" s="1060"/>
      <c r="P132" s="1167" t="s">
        <v>1151</v>
      </c>
      <c r="Q132" s="1034"/>
      <c r="W132" s="1074"/>
      <c r="X132" s="1075"/>
      <c r="Y132" s="1076"/>
      <c r="Z132" s="1073"/>
      <c r="AA132" s="1062"/>
      <c r="AB132" s="1077"/>
      <c r="AC132" s="1062"/>
      <c r="AD132" s="1062"/>
      <c r="AE132" s="1062"/>
      <c r="AF132" s="1062"/>
      <c r="AG132" s="1062"/>
      <c r="AH132" s="1062"/>
      <c r="AI132" s="1062"/>
      <c r="AJ132" s="1062"/>
      <c r="AK132" s="1062"/>
      <c r="AL132" s="688"/>
      <c r="AM132" s="688"/>
      <c r="AN132" s="688"/>
    </row>
    <row r="133" spans="1:40" ht="5.25" customHeight="1">
      <c r="D133" s="1060"/>
      <c r="E133" s="1060"/>
      <c r="F133" s="1060"/>
      <c r="G133" s="1060"/>
      <c r="H133" s="1060"/>
      <c r="I133" s="1060"/>
      <c r="J133" s="1060"/>
      <c r="K133" s="1060"/>
      <c r="L133" s="1060"/>
      <c r="M133" s="1060"/>
      <c r="N133" s="1060"/>
      <c r="O133" s="1060"/>
      <c r="P133" s="1062"/>
      <c r="W133" s="1074"/>
      <c r="X133" s="1075"/>
      <c r="Y133" s="1076"/>
      <c r="Z133" s="1073"/>
      <c r="AA133" s="1062"/>
      <c r="AB133" s="1077"/>
      <c r="AC133" s="1062"/>
      <c r="AD133" s="1062"/>
      <c r="AE133" s="1062"/>
      <c r="AF133" s="1062"/>
      <c r="AG133" s="1062"/>
      <c r="AH133" s="1062"/>
      <c r="AI133" s="1062"/>
      <c r="AJ133" s="1062"/>
      <c r="AK133" s="1062"/>
      <c r="AL133" s="688"/>
      <c r="AM133" s="688"/>
      <c r="AN133" s="688"/>
    </row>
    <row r="134" spans="1:40">
      <c r="D134" s="1060"/>
      <c r="E134" s="1060"/>
      <c r="F134" s="1060"/>
      <c r="G134" s="1060"/>
      <c r="H134" s="1060"/>
      <c r="I134" s="1060"/>
      <c r="J134" s="1060"/>
      <c r="K134" s="1060"/>
      <c r="L134" s="1060"/>
      <c r="M134" s="1060"/>
      <c r="N134" s="1060"/>
      <c r="O134" s="1061" t="s">
        <v>1150</v>
      </c>
      <c r="P134" s="1193">
        <f>+P130+P112+P74+P57</f>
        <v>-4096.8399999999892</v>
      </c>
      <c r="W134" s="1074"/>
      <c r="X134" s="1075"/>
      <c r="Y134" s="1076"/>
      <c r="Z134" s="1073"/>
      <c r="AA134" s="1062"/>
      <c r="AB134" s="1077"/>
      <c r="AC134" s="1062"/>
      <c r="AD134" s="1062"/>
      <c r="AE134" s="1062"/>
      <c r="AF134" s="1062"/>
      <c r="AG134" s="1062"/>
      <c r="AH134" s="1062"/>
      <c r="AI134" s="1062"/>
      <c r="AJ134" s="1062"/>
      <c r="AK134" s="1062"/>
      <c r="AL134" s="688"/>
      <c r="AM134" s="688"/>
      <c r="AN134" s="688"/>
    </row>
    <row r="135" spans="1:40">
      <c r="D135" s="1060"/>
      <c r="E135" s="1060"/>
      <c r="F135" s="1060"/>
      <c r="G135" s="1060"/>
      <c r="H135" s="1060"/>
      <c r="I135" s="1060"/>
      <c r="J135" s="1060"/>
      <c r="K135" s="1060"/>
      <c r="L135" s="1060"/>
      <c r="M135" s="1060"/>
      <c r="N135" s="1060"/>
      <c r="O135" s="1060"/>
      <c r="P135" s="1194">
        <f>+P134/P36</f>
        <v>-1.2897904236955401E-2</v>
      </c>
      <c r="W135" s="1074"/>
      <c r="X135" s="1075"/>
      <c r="Y135" s="1076"/>
      <c r="Z135" s="1073"/>
      <c r="AA135" s="1062"/>
      <c r="AB135" s="1077"/>
      <c r="AC135" s="1062"/>
      <c r="AD135" s="1062"/>
      <c r="AE135" s="1062"/>
      <c r="AF135" s="1062"/>
      <c r="AG135" s="1062"/>
      <c r="AH135" s="1062"/>
      <c r="AI135" s="1062"/>
      <c r="AJ135" s="1062"/>
      <c r="AK135" s="1062"/>
      <c r="AL135" s="688"/>
      <c r="AM135" s="688"/>
      <c r="AN135" s="688"/>
    </row>
    <row r="136" spans="1:40">
      <c r="D136" s="1060"/>
      <c r="E136" s="1060"/>
      <c r="F136" s="1060"/>
      <c r="G136" s="1060"/>
      <c r="H136" s="1060"/>
      <c r="I136" s="1060"/>
      <c r="J136" s="1060"/>
      <c r="K136" s="1060"/>
      <c r="L136" s="1060"/>
      <c r="M136" s="1060"/>
      <c r="N136" s="1060"/>
      <c r="O136" s="1060"/>
      <c r="P136" s="1167"/>
      <c r="W136" s="1074"/>
      <c r="X136" s="1075"/>
      <c r="Y136" s="1076"/>
      <c r="Z136" s="1073"/>
      <c r="AA136" s="1062"/>
      <c r="AB136" s="1077"/>
      <c r="AC136" s="1062"/>
      <c r="AD136" s="1062"/>
      <c r="AE136" s="1062"/>
      <c r="AF136" s="1062"/>
      <c r="AG136" s="1062"/>
      <c r="AH136" s="1062"/>
      <c r="AI136" s="1062"/>
      <c r="AJ136" s="1062"/>
      <c r="AK136" s="1062"/>
      <c r="AL136" s="688"/>
      <c r="AM136" s="688"/>
      <c r="AN136" s="688"/>
    </row>
    <row r="137" spans="1:40">
      <c r="D137" s="1060"/>
      <c r="E137" s="1060"/>
      <c r="F137" s="1060"/>
      <c r="G137" s="1060"/>
      <c r="H137" s="1060"/>
      <c r="I137" s="1060"/>
      <c r="J137" s="1060"/>
      <c r="K137" s="1060"/>
      <c r="L137" s="1060"/>
      <c r="M137" s="1060"/>
      <c r="N137" s="1060"/>
      <c r="O137" s="1060"/>
      <c r="P137" s="1062"/>
      <c r="W137" s="1074"/>
      <c r="X137" s="1075"/>
      <c r="Y137" s="1076"/>
      <c r="Z137" s="1073"/>
      <c r="AA137" s="1062"/>
      <c r="AB137" s="1077"/>
      <c r="AC137" s="1062"/>
      <c r="AD137" s="1062"/>
      <c r="AE137" s="1062"/>
      <c r="AF137" s="1062"/>
      <c r="AG137" s="1062"/>
      <c r="AH137" s="1062"/>
      <c r="AI137" s="1062"/>
      <c r="AJ137" s="1062"/>
      <c r="AK137" s="1062"/>
      <c r="AL137" s="688"/>
      <c r="AM137" s="688"/>
      <c r="AN137" s="688"/>
    </row>
    <row r="138" spans="1:40" s="688" customFormat="1">
      <c r="A138" s="1229"/>
      <c r="B138" s="1062"/>
      <c r="C138" s="1062"/>
      <c r="D138" s="1062"/>
      <c r="E138" s="1062"/>
      <c r="F138" s="1062"/>
      <c r="G138" s="1062"/>
      <c r="H138" s="1062"/>
      <c r="I138" s="1062"/>
      <c r="J138" s="1062"/>
      <c r="K138" s="1062"/>
      <c r="L138" s="1062"/>
      <c r="M138" s="1062"/>
      <c r="N138" s="1062"/>
      <c r="O138" s="1062"/>
      <c r="P138" s="1062"/>
      <c r="Q138" s="1072"/>
      <c r="R138" s="1072"/>
      <c r="S138" s="1072"/>
      <c r="T138" s="1073"/>
      <c r="U138" s="1062"/>
      <c r="V138" s="1062"/>
      <c r="W138" s="1074"/>
      <c r="X138" s="1075"/>
      <c r="Y138" s="1076"/>
      <c r="Z138" s="1073"/>
      <c r="AA138" s="1062"/>
      <c r="AB138" s="1077"/>
      <c r="AC138" s="1062"/>
      <c r="AD138" s="1062"/>
      <c r="AE138" s="1062"/>
      <c r="AF138" s="1062"/>
      <c r="AG138" s="1062"/>
      <c r="AH138" s="1062"/>
      <c r="AI138" s="1062"/>
      <c r="AJ138" s="1062"/>
      <c r="AK138" s="1062"/>
    </row>
    <row r="139" spans="1:40" s="688" customFormat="1">
      <c r="A139" s="1230"/>
      <c r="B139" s="1062"/>
      <c r="C139" s="1062"/>
      <c r="D139" s="1062"/>
      <c r="E139" s="1062"/>
      <c r="F139" s="1062"/>
      <c r="G139" s="1062"/>
      <c r="H139" s="1062"/>
      <c r="I139" s="1062"/>
      <c r="J139" s="1062"/>
      <c r="K139" s="1062"/>
      <c r="L139" s="1062"/>
      <c r="M139" s="1062"/>
      <c r="N139" s="1062"/>
      <c r="O139" s="1062"/>
      <c r="P139" s="1062"/>
      <c r="Q139" s="1072"/>
      <c r="R139" s="1072"/>
      <c r="S139" s="1072"/>
      <c r="T139" s="1073"/>
      <c r="U139" s="1062"/>
      <c r="V139" s="1062"/>
      <c r="W139" s="1074"/>
      <c r="X139" s="1075"/>
      <c r="Y139" s="1076"/>
      <c r="Z139" s="1073"/>
      <c r="AA139" s="1062"/>
      <c r="AB139" s="1077"/>
      <c r="AC139" s="1062"/>
      <c r="AD139" s="1062"/>
      <c r="AE139" s="1062"/>
      <c r="AF139" s="1062"/>
      <c r="AG139" s="1062"/>
      <c r="AH139" s="1062"/>
      <c r="AI139" s="1062"/>
      <c r="AJ139" s="1062"/>
      <c r="AK139" s="1062"/>
    </row>
    <row r="140" spans="1:40">
      <c r="D140" s="1060"/>
      <c r="E140" s="1060"/>
      <c r="F140" s="1060"/>
      <c r="G140" s="1060"/>
      <c r="H140" s="1060"/>
      <c r="I140" s="1060"/>
      <c r="J140" s="1060"/>
      <c r="K140" s="1060"/>
      <c r="L140" s="1060"/>
      <c r="M140" s="1060"/>
      <c r="N140" s="1060"/>
      <c r="O140" s="1060"/>
      <c r="P140" s="1062"/>
    </row>
    <row r="141" spans="1:40">
      <c r="D141" s="1060"/>
      <c r="E141" s="1060"/>
      <c r="F141" s="1060"/>
      <c r="G141" s="1060"/>
      <c r="H141" s="1060"/>
      <c r="I141" s="1060"/>
      <c r="J141" s="1060"/>
      <c r="K141" s="1060"/>
      <c r="L141" s="1060"/>
      <c r="M141" s="1060"/>
      <c r="N141" s="1060"/>
      <c r="O141" s="1060"/>
      <c r="P141" s="1062"/>
    </row>
  </sheetData>
  <autoFilter ref="A8:AD32">
    <sortState ref="A9:AD82">
      <sortCondition sortBy="cellColor" ref="A8:A82" dxfId="0"/>
    </sortState>
  </autoFilter>
  <mergeCells count="6">
    <mergeCell ref="V2:AE2"/>
    <mergeCell ref="V38:AD38"/>
    <mergeCell ref="V39:AD39"/>
    <mergeCell ref="A40:D40"/>
    <mergeCell ref="R43:AA43"/>
    <mergeCell ref="P7:P8"/>
  </mergeCells>
  <pageMargins left="0.25" right="0.25" top="0.75" bottom="0.75" header="0.3" footer="0.3"/>
  <pageSetup scale="56" fitToHeight="3" pageOrder="overThenDown" orientation="landscape" horizontalDpi="4294967293" verticalDpi="300" r:id="rId1"/>
  <headerFooter alignWithMargins="0"/>
  <rowBreaks count="1" manualBreakCount="1">
    <brk id="39" max="16383" man="1"/>
  </rowBreaks>
  <colBreaks count="1" manualBreakCount="1">
    <brk id="16" max="1048575" man="1"/>
  </colBreak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J37"/>
  <sheetViews>
    <sheetView showGridLines="0" zoomScaleNormal="100" workbookViewId="0">
      <pane ySplit="8" topLeftCell="A9" activePane="bottomLeft" state="frozen"/>
      <selection activeCell="H26" sqref="H26"/>
      <selection pane="bottomLeft" activeCell="M31" sqref="M31"/>
    </sheetView>
  </sheetViews>
  <sheetFormatPr defaultColWidth="11.42578125" defaultRowHeight="12"/>
  <cols>
    <col min="1" max="1" width="16.85546875" style="381" customWidth="1"/>
    <col min="2" max="8" width="9.85546875" style="381" customWidth="1"/>
    <col min="9" max="9" width="1.7109375" style="381" customWidth="1"/>
    <col min="10" max="10" width="11.42578125" style="382" customWidth="1"/>
    <col min="11" max="239" width="11.42578125" style="381"/>
    <col min="240" max="240" width="19.140625" style="381" customWidth="1"/>
    <col min="241" max="241" width="11.5703125" style="381" customWidth="1"/>
    <col min="242" max="243" width="11" style="381" bestFit="1" customWidth="1"/>
    <col min="244" max="244" width="10.5703125" style="381" bestFit="1" customWidth="1"/>
    <col min="245" max="245" width="9.7109375" style="381" customWidth="1"/>
    <col min="246" max="246" width="9.5703125" style="381" bestFit="1" customWidth="1"/>
    <col min="247" max="247" width="9" style="381" bestFit="1" customWidth="1"/>
    <col min="248" max="248" width="1.7109375" style="381" customWidth="1"/>
    <col min="249" max="249" width="15.85546875" style="381" customWidth="1"/>
    <col min="250" max="250" width="24.5703125" style="381" customWidth="1"/>
    <col min="251" max="251" width="11.5703125" style="381" bestFit="1" customWidth="1"/>
    <col min="252" max="256" width="11.42578125" style="381" customWidth="1"/>
    <col min="257" max="257" width="19.42578125" style="381" customWidth="1"/>
    <col min="258" max="258" width="11.5703125" style="381" customWidth="1"/>
    <col min="259" max="266" width="11.42578125" style="381" customWidth="1"/>
    <col min="267" max="495" width="11.42578125" style="381"/>
    <col min="496" max="496" width="19.140625" style="381" customWidth="1"/>
    <col min="497" max="497" width="11.5703125" style="381" customWidth="1"/>
    <col min="498" max="499" width="11" style="381" bestFit="1" customWidth="1"/>
    <col min="500" max="500" width="10.5703125" style="381" bestFit="1" customWidth="1"/>
    <col min="501" max="501" width="9.7109375" style="381" customWidth="1"/>
    <col min="502" max="502" width="9.5703125" style="381" bestFit="1" customWidth="1"/>
    <col min="503" max="503" width="9" style="381" bestFit="1" customWidth="1"/>
    <col min="504" max="504" width="1.7109375" style="381" customWidth="1"/>
    <col min="505" max="505" width="15.85546875" style="381" customWidth="1"/>
    <col min="506" max="506" width="24.5703125" style="381" customWidth="1"/>
    <col min="507" max="507" width="11.5703125" style="381" bestFit="1" customWidth="1"/>
    <col min="508" max="512" width="11.42578125" style="381" customWidth="1"/>
    <col min="513" max="513" width="19.42578125" style="381" customWidth="1"/>
    <col min="514" max="514" width="11.5703125" style="381" customWidth="1"/>
    <col min="515" max="522" width="11.42578125" style="381" customWidth="1"/>
    <col min="523" max="751" width="11.42578125" style="381"/>
    <col min="752" max="752" width="19.140625" style="381" customWidth="1"/>
    <col min="753" max="753" width="11.5703125" style="381" customWidth="1"/>
    <col min="754" max="755" width="11" style="381" bestFit="1" customWidth="1"/>
    <col min="756" max="756" width="10.5703125" style="381" bestFit="1" customWidth="1"/>
    <col min="757" max="757" width="9.7109375" style="381" customWidth="1"/>
    <col min="758" max="758" width="9.5703125" style="381" bestFit="1" customWidth="1"/>
    <col min="759" max="759" width="9" style="381" bestFit="1" customWidth="1"/>
    <col min="760" max="760" width="1.7109375" style="381" customWidth="1"/>
    <col min="761" max="761" width="15.85546875" style="381" customWidth="1"/>
    <col min="762" max="762" width="24.5703125" style="381" customWidth="1"/>
    <col min="763" max="763" width="11.5703125" style="381" bestFit="1" customWidth="1"/>
    <col min="764" max="768" width="11.42578125" style="381" customWidth="1"/>
    <col min="769" max="769" width="19.42578125" style="381" customWidth="1"/>
    <col min="770" max="770" width="11.5703125" style="381" customWidth="1"/>
    <col min="771" max="778" width="11.42578125" style="381" customWidth="1"/>
    <col min="779" max="1007" width="11.42578125" style="381"/>
    <col min="1008" max="1008" width="19.140625" style="381" customWidth="1"/>
    <col min="1009" max="1009" width="11.5703125" style="381" customWidth="1"/>
    <col min="1010" max="1011" width="11" style="381" bestFit="1" customWidth="1"/>
    <col min="1012" max="1012" width="10.5703125" style="381" bestFit="1" customWidth="1"/>
    <col min="1013" max="1013" width="9.7109375" style="381" customWidth="1"/>
    <col min="1014" max="1014" width="9.5703125" style="381" bestFit="1" customWidth="1"/>
    <col min="1015" max="1015" width="9" style="381" bestFit="1" customWidth="1"/>
    <col min="1016" max="1016" width="1.7109375" style="381" customWidth="1"/>
    <col min="1017" max="1017" width="15.85546875" style="381" customWidth="1"/>
    <col min="1018" max="1018" width="24.5703125" style="381" customWidth="1"/>
    <col min="1019" max="1019" width="11.5703125" style="381" bestFit="1" customWidth="1"/>
    <col min="1020" max="1024" width="11.42578125" style="381" customWidth="1"/>
    <col min="1025" max="1025" width="19.42578125" style="381" customWidth="1"/>
    <col min="1026" max="1026" width="11.5703125" style="381" customWidth="1"/>
    <col min="1027" max="1034" width="11.42578125" style="381" customWidth="1"/>
    <col min="1035" max="1263" width="11.42578125" style="381"/>
    <col min="1264" max="1264" width="19.140625" style="381" customWidth="1"/>
    <col min="1265" max="1265" width="11.5703125" style="381" customWidth="1"/>
    <col min="1266" max="1267" width="11" style="381" bestFit="1" customWidth="1"/>
    <col min="1268" max="1268" width="10.5703125" style="381" bestFit="1" customWidth="1"/>
    <col min="1269" max="1269" width="9.7109375" style="381" customWidth="1"/>
    <col min="1270" max="1270" width="9.5703125" style="381" bestFit="1" customWidth="1"/>
    <col min="1271" max="1271" width="9" style="381" bestFit="1" customWidth="1"/>
    <col min="1272" max="1272" width="1.7109375" style="381" customWidth="1"/>
    <col min="1273" max="1273" width="15.85546875" style="381" customWidth="1"/>
    <col min="1274" max="1274" width="24.5703125" style="381" customWidth="1"/>
    <col min="1275" max="1275" width="11.5703125" style="381" bestFit="1" customWidth="1"/>
    <col min="1276" max="1280" width="11.42578125" style="381" customWidth="1"/>
    <col min="1281" max="1281" width="19.42578125" style="381" customWidth="1"/>
    <col min="1282" max="1282" width="11.5703125" style="381" customWidth="1"/>
    <col min="1283" max="1290" width="11.42578125" style="381" customWidth="1"/>
    <col min="1291" max="1519" width="11.42578125" style="381"/>
    <col min="1520" max="1520" width="19.140625" style="381" customWidth="1"/>
    <col min="1521" max="1521" width="11.5703125" style="381" customWidth="1"/>
    <col min="1522" max="1523" width="11" style="381" bestFit="1" customWidth="1"/>
    <col min="1524" max="1524" width="10.5703125" style="381" bestFit="1" customWidth="1"/>
    <col min="1525" max="1525" width="9.7109375" style="381" customWidth="1"/>
    <col min="1526" max="1526" width="9.5703125" style="381" bestFit="1" customWidth="1"/>
    <col min="1527" max="1527" width="9" style="381" bestFit="1" customWidth="1"/>
    <col min="1528" max="1528" width="1.7109375" style="381" customWidth="1"/>
    <col min="1529" max="1529" width="15.85546875" style="381" customWidth="1"/>
    <col min="1530" max="1530" width="24.5703125" style="381" customWidth="1"/>
    <col min="1531" max="1531" width="11.5703125" style="381" bestFit="1" customWidth="1"/>
    <col min="1532" max="1536" width="11.42578125" style="381" customWidth="1"/>
    <col min="1537" max="1537" width="19.42578125" style="381" customWidth="1"/>
    <col min="1538" max="1538" width="11.5703125" style="381" customWidth="1"/>
    <col min="1539" max="1546" width="11.42578125" style="381" customWidth="1"/>
    <col min="1547" max="1775" width="11.42578125" style="381"/>
    <col min="1776" max="1776" width="19.140625" style="381" customWidth="1"/>
    <col min="1777" max="1777" width="11.5703125" style="381" customWidth="1"/>
    <col min="1778" max="1779" width="11" style="381" bestFit="1" customWidth="1"/>
    <col min="1780" max="1780" width="10.5703125" style="381" bestFit="1" customWidth="1"/>
    <col min="1781" max="1781" width="9.7109375" style="381" customWidth="1"/>
    <col min="1782" max="1782" width="9.5703125" style="381" bestFit="1" customWidth="1"/>
    <col min="1783" max="1783" width="9" style="381" bestFit="1" customWidth="1"/>
    <col min="1784" max="1784" width="1.7109375" style="381" customWidth="1"/>
    <col min="1785" max="1785" width="15.85546875" style="381" customWidth="1"/>
    <col min="1786" max="1786" width="24.5703125" style="381" customWidth="1"/>
    <col min="1787" max="1787" width="11.5703125" style="381" bestFit="1" customWidth="1"/>
    <col min="1788" max="1792" width="11.42578125" style="381" customWidth="1"/>
    <col min="1793" max="1793" width="19.42578125" style="381" customWidth="1"/>
    <col min="1794" max="1794" width="11.5703125" style="381" customWidth="1"/>
    <col min="1795" max="1802" width="11.42578125" style="381" customWidth="1"/>
    <col min="1803" max="2031" width="11.42578125" style="381"/>
    <col min="2032" max="2032" width="19.140625" style="381" customWidth="1"/>
    <col min="2033" max="2033" width="11.5703125" style="381" customWidth="1"/>
    <col min="2034" max="2035" width="11" style="381" bestFit="1" customWidth="1"/>
    <col min="2036" max="2036" width="10.5703125" style="381" bestFit="1" customWidth="1"/>
    <col min="2037" max="2037" width="9.7109375" style="381" customWidth="1"/>
    <col min="2038" max="2038" width="9.5703125" style="381" bestFit="1" customWidth="1"/>
    <col min="2039" max="2039" width="9" style="381" bestFit="1" customWidth="1"/>
    <col min="2040" max="2040" width="1.7109375" style="381" customWidth="1"/>
    <col min="2041" max="2041" width="15.85546875" style="381" customWidth="1"/>
    <col min="2042" max="2042" width="24.5703125" style="381" customWidth="1"/>
    <col min="2043" max="2043" width="11.5703125" style="381" bestFit="1" customWidth="1"/>
    <col min="2044" max="2048" width="11.42578125" style="381" customWidth="1"/>
    <col min="2049" max="2049" width="19.42578125" style="381" customWidth="1"/>
    <col min="2050" max="2050" width="11.5703125" style="381" customWidth="1"/>
    <col min="2051" max="2058" width="11.42578125" style="381" customWidth="1"/>
    <col min="2059" max="2287" width="11.42578125" style="381"/>
    <col min="2288" max="2288" width="19.140625" style="381" customWidth="1"/>
    <col min="2289" max="2289" width="11.5703125" style="381" customWidth="1"/>
    <col min="2290" max="2291" width="11" style="381" bestFit="1" customWidth="1"/>
    <col min="2292" max="2292" width="10.5703125" style="381" bestFit="1" customWidth="1"/>
    <col min="2293" max="2293" width="9.7109375" style="381" customWidth="1"/>
    <col min="2294" max="2294" width="9.5703125" style="381" bestFit="1" customWidth="1"/>
    <col min="2295" max="2295" width="9" style="381" bestFit="1" customWidth="1"/>
    <col min="2296" max="2296" width="1.7109375" style="381" customWidth="1"/>
    <col min="2297" max="2297" width="15.85546875" style="381" customWidth="1"/>
    <col min="2298" max="2298" width="24.5703125" style="381" customWidth="1"/>
    <col min="2299" max="2299" width="11.5703125" style="381" bestFit="1" customWidth="1"/>
    <col min="2300" max="2304" width="11.42578125" style="381" customWidth="1"/>
    <col min="2305" max="2305" width="19.42578125" style="381" customWidth="1"/>
    <col min="2306" max="2306" width="11.5703125" style="381" customWidth="1"/>
    <col min="2307" max="2314" width="11.42578125" style="381" customWidth="1"/>
    <col min="2315" max="2543" width="11.42578125" style="381"/>
    <col min="2544" max="2544" width="19.140625" style="381" customWidth="1"/>
    <col min="2545" max="2545" width="11.5703125" style="381" customWidth="1"/>
    <col min="2546" max="2547" width="11" style="381" bestFit="1" customWidth="1"/>
    <col min="2548" max="2548" width="10.5703125" style="381" bestFit="1" customWidth="1"/>
    <col min="2549" max="2549" width="9.7109375" style="381" customWidth="1"/>
    <col min="2550" max="2550" width="9.5703125" style="381" bestFit="1" customWidth="1"/>
    <col min="2551" max="2551" width="9" style="381" bestFit="1" customWidth="1"/>
    <col min="2552" max="2552" width="1.7109375" style="381" customWidth="1"/>
    <col min="2553" max="2553" width="15.85546875" style="381" customWidth="1"/>
    <col min="2554" max="2554" width="24.5703125" style="381" customWidth="1"/>
    <col min="2555" max="2555" width="11.5703125" style="381" bestFit="1" customWidth="1"/>
    <col min="2556" max="2560" width="11.42578125" style="381" customWidth="1"/>
    <col min="2561" max="2561" width="19.42578125" style="381" customWidth="1"/>
    <col min="2562" max="2562" width="11.5703125" style="381" customWidth="1"/>
    <col min="2563" max="2570" width="11.42578125" style="381" customWidth="1"/>
    <col min="2571" max="2799" width="11.42578125" style="381"/>
    <col min="2800" max="2800" width="19.140625" style="381" customWidth="1"/>
    <col min="2801" max="2801" width="11.5703125" style="381" customWidth="1"/>
    <col min="2802" max="2803" width="11" style="381" bestFit="1" customWidth="1"/>
    <col min="2804" max="2804" width="10.5703125" style="381" bestFit="1" customWidth="1"/>
    <col min="2805" max="2805" width="9.7109375" style="381" customWidth="1"/>
    <col min="2806" max="2806" width="9.5703125" style="381" bestFit="1" customWidth="1"/>
    <col min="2807" max="2807" width="9" style="381" bestFit="1" customWidth="1"/>
    <col min="2808" max="2808" width="1.7109375" style="381" customWidth="1"/>
    <col min="2809" max="2809" width="15.85546875" style="381" customWidth="1"/>
    <col min="2810" max="2810" width="24.5703125" style="381" customWidth="1"/>
    <col min="2811" max="2811" width="11.5703125" style="381" bestFit="1" customWidth="1"/>
    <col min="2812" max="2816" width="11.42578125" style="381" customWidth="1"/>
    <col min="2817" max="2817" width="19.42578125" style="381" customWidth="1"/>
    <col min="2818" max="2818" width="11.5703125" style="381" customWidth="1"/>
    <col min="2819" max="2826" width="11.42578125" style="381" customWidth="1"/>
    <col min="2827" max="3055" width="11.42578125" style="381"/>
    <col min="3056" max="3056" width="19.140625" style="381" customWidth="1"/>
    <col min="3057" max="3057" width="11.5703125" style="381" customWidth="1"/>
    <col min="3058" max="3059" width="11" style="381" bestFit="1" customWidth="1"/>
    <col min="3060" max="3060" width="10.5703125" style="381" bestFit="1" customWidth="1"/>
    <col min="3061" max="3061" width="9.7109375" style="381" customWidth="1"/>
    <col min="3062" max="3062" width="9.5703125" style="381" bestFit="1" customWidth="1"/>
    <col min="3063" max="3063" width="9" style="381" bestFit="1" customWidth="1"/>
    <col min="3064" max="3064" width="1.7109375" style="381" customWidth="1"/>
    <col min="3065" max="3065" width="15.85546875" style="381" customWidth="1"/>
    <col min="3066" max="3066" width="24.5703125" style="381" customWidth="1"/>
    <col min="3067" max="3067" width="11.5703125" style="381" bestFit="1" customWidth="1"/>
    <col min="3068" max="3072" width="11.42578125" style="381" customWidth="1"/>
    <col min="3073" max="3073" width="19.42578125" style="381" customWidth="1"/>
    <col min="3074" max="3074" width="11.5703125" style="381" customWidth="1"/>
    <col min="3075" max="3082" width="11.42578125" style="381" customWidth="1"/>
    <col min="3083" max="3311" width="11.42578125" style="381"/>
    <col min="3312" max="3312" width="19.140625" style="381" customWidth="1"/>
    <col min="3313" max="3313" width="11.5703125" style="381" customWidth="1"/>
    <col min="3314" max="3315" width="11" style="381" bestFit="1" customWidth="1"/>
    <col min="3316" max="3316" width="10.5703125" style="381" bestFit="1" customWidth="1"/>
    <col min="3317" max="3317" width="9.7109375" style="381" customWidth="1"/>
    <col min="3318" max="3318" width="9.5703125" style="381" bestFit="1" customWidth="1"/>
    <col min="3319" max="3319" width="9" style="381" bestFit="1" customWidth="1"/>
    <col min="3320" max="3320" width="1.7109375" style="381" customWidth="1"/>
    <col min="3321" max="3321" width="15.85546875" style="381" customWidth="1"/>
    <col min="3322" max="3322" width="24.5703125" style="381" customWidth="1"/>
    <col min="3323" max="3323" width="11.5703125" style="381" bestFit="1" customWidth="1"/>
    <col min="3324" max="3328" width="11.42578125" style="381" customWidth="1"/>
    <col min="3329" max="3329" width="19.42578125" style="381" customWidth="1"/>
    <col min="3330" max="3330" width="11.5703125" style="381" customWidth="1"/>
    <col min="3331" max="3338" width="11.42578125" style="381" customWidth="1"/>
    <col min="3339" max="3567" width="11.42578125" style="381"/>
    <col min="3568" max="3568" width="19.140625" style="381" customWidth="1"/>
    <col min="3569" max="3569" width="11.5703125" style="381" customWidth="1"/>
    <col min="3570" max="3571" width="11" style="381" bestFit="1" customWidth="1"/>
    <col min="3572" max="3572" width="10.5703125" style="381" bestFit="1" customWidth="1"/>
    <col min="3573" max="3573" width="9.7109375" style="381" customWidth="1"/>
    <col min="3574" max="3574" width="9.5703125" style="381" bestFit="1" customWidth="1"/>
    <col min="3575" max="3575" width="9" style="381" bestFit="1" customWidth="1"/>
    <col min="3576" max="3576" width="1.7109375" style="381" customWidth="1"/>
    <col min="3577" max="3577" width="15.85546875" style="381" customWidth="1"/>
    <col min="3578" max="3578" width="24.5703125" style="381" customWidth="1"/>
    <col min="3579" max="3579" width="11.5703125" style="381" bestFit="1" customWidth="1"/>
    <col min="3580" max="3584" width="11.42578125" style="381" customWidth="1"/>
    <col min="3585" max="3585" width="19.42578125" style="381" customWidth="1"/>
    <col min="3586" max="3586" width="11.5703125" style="381" customWidth="1"/>
    <col min="3587" max="3594" width="11.42578125" style="381" customWidth="1"/>
    <col min="3595" max="3823" width="11.42578125" style="381"/>
    <col min="3824" max="3824" width="19.140625" style="381" customWidth="1"/>
    <col min="3825" max="3825" width="11.5703125" style="381" customWidth="1"/>
    <col min="3826" max="3827" width="11" style="381" bestFit="1" customWidth="1"/>
    <col min="3828" max="3828" width="10.5703125" style="381" bestFit="1" customWidth="1"/>
    <col min="3829" max="3829" width="9.7109375" style="381" customWidth="1"/>
    <col min="3830" max="3830" width="9.5703125" style="381" bestFit="1" customWidth="1"/>
    <col min="3831" max="3831" width="9" style="381" bestFit="1" customWidth="1"/>
    <col min="3832" max="3832" width="1.7109375" style="381" customWidth="1"/>
    <col min="3833" max="3833" width="15.85546875" style="381" customWidth="1"/>
    <col min="3834" max="3834" width="24.5703125" style="381" customWidth="1"/>
    <col min="3835" max="3835" width="11.5703125" style="381" bestFit="1" customWidth="1"/>
    <col min="3836" max="3840" width="11.42578125" style="381" customWidth="1"/>
    <col min="3841" max="3841" width="19.42578125" style="381" customWidth="1"/>
    <col min="3842" max="3842" width="11.5703125" style="381" customWidth="1"/>
    <col min="3843" max="3850" width="11.42578125" style="381" customWidth="1"/>
    <col min="3851" max="4079" width="11.42578125" style="381"/>
    <col min="4080" max="4080" width="19.140625" style="381" customWidth="1"/>
    <col min="4081" max="4081" width="11.5703125" style="381" customWidth="1"/>
    <col min="4082" max="4083" width="11" style="381" bestFit="1" customWidth="1"/>
    <col min="4084" max="4084" width="10.5703125" style="381" bestFit="1" customWidth="1"/>
    <col min="4085" max="4085" width="9.7109375" style="381" customWidth="1"/>
    <col min="4086" max="4086" width="9.5703125" style="381" bestFit="1" customWidth="1"/>
    <col min="4087" max="4087" width="9" style="381" bestFit="1" customWidth="1"/>
    <col min="4088" max="4088" width="1.7109375" style="381" customWidth="1"/>
    <col min="4089" max="4089" width="15.85546875" style="381" customWidth="1"/>
    <col min="4090" max="4090" width="24.5703125" style="381" customWidth="1"/>
    <col min="4091" max="4091" width="11.5703125" style="381" bestFit="1" customWidth="1"/>
    <col min="4092" max="4096" width="11.42578125" style="381" customWidth="1"/>
    <col min="4097" max="4097" width="19.42578125" style="381" customWidth="1"/>
    <col min="4098" max="4098" width="11.5703125" style="381" customWidth="1"/>
    <col min="4099" max="4106" width="11.42578125" style="381" customWidth="1"/>
    <col min="4107" max="4335" width="11.42578125" style="381"/>
    <col min="4336" max="4336" width="19.140625" style="381" customWidth="1"/>
    <col min="4337" max="4337" width="11.5703125" style="381" customWidth="1"/>
    <col min="4338" max="4339" width="11" style="381" bestFit="1" customWidth="1"/>
    <col min="4340" max="4340" width="10.5703125" style="381" bestFit="1" customWidth="1"/>
    <col min="4341" max="4341" width="9.7109375" style="381" customWidth="1"/>
    <col min="4342" max="4342" width="9.5703125" style="381" bestFit="1" customWidth="1"/>
    <col min="4343" max="4343" width="9" style="381" bestFit="1" customWidth="1"/>
    <col min="4344" max="4344" width="1.7109375" style="381" customWidth="1"/>
    <col min="4345" max="4345" width="15.85546875" style="381" customWidth="1"/>
    <col min="4346" max="4346" width="24.5703125" style="381" customWidth="1"/>
    <col min="4347" max="4347" width="11.5703125" style="381" bestFit="1" customWidth="1"/>
    <col min="4348" max="4352" width="11.42578125" style="381" customWidth="1"/>
    <col min="4353" max="4353" width="19.42578125" style="381" customWidth="1"/>
    <col min="4354" max="4354" width="11.5703125" style="381" customWidth="1"/>
    <col min="4355" max="4362" width="11.42578125" style="381" customWidth="1"/>
    <col min="4363" max="4591" width="11.42578125" style="381"/>
    <col min="4592" max="4592" width="19.140625" style="381" customWidth="1"/>
    <col min="4593" max="4593" width="11.5703125" style="381" customWidth="1"/>
    <col min="4594" max="4595" width="11" style="381" bestFit="1" customWidth="1"/>
    <col min="4596" max="4596" width="10.5703125" style="381" bestFit="1" customWidth="1"/>
    <col min="4597" max="4597" width="9.7109375" style="381" customWidth="1"/>
    <col min="4598" max="4598" width="9.5703125" style="381" bestFit="1" customWidth="1"/>
    <col min="4599" max="4599" width="9" style="381" bestFit="1" customWidth="1"/>
    <col min="4600" max="4600" width="1.7109375" style="381" customWidth="1"/>
    <col min="4601" max="4601" width="15.85546875" style="381" customWidth="1"/>
    <col min="4602" max="4602" width="24.5703125" style="381" customWidth="1"/>
    <col min="4603" max="4603" width="11.5703125" style="381" bestFit="1" customWidth="1"/>
    <col min="4604" max="4608" width="11.42578125" style="381" customWidth="1"/>
    <col min="4609" max="4609" width="19.42578125" style="381" customWidth="1"/>
    <col min="4610" max="4610" width="11.5703125" style="381" customWidth="1"/>
    <col min="4611" max="4618" width="11.42578125" style="381" customWidth="1"/>
    <col min="4619" max="4847" width="11.42578125" style="381"/>
    <col min="4848" max="4848" width="19.140625" style="381" customWidth="1"/>
    <col min="4849" max="4849" width="11.5703125" style="381" customWidth="1"/>
    <col min="4850" max="4851" width="11" style="381" bestFit="1" customWidth="1"/>
    <col min="4852" max="4852" width="10.5703125" style="381" bestFit="1" customWidth="1"/>
    <col min="4853" max="4853" width="9.7109375" style="381" customWidth="1"/>
    <col min="4854" max="4854" width="9.5703125" style="381" bestFit="1" customWidth="1"/>
    <col min="4855" max="4855" width="9" style="381" bestFit="1" customWidth="1"/>
    <col min="4856" max="4856" width="1.7109375" style="381" customWidth="1"/>
    <col min="4857" max="4857" width="15.85546875" style="381" customWidth="1"/>
    <col min="4858" max="4858" width="24.5703125" style="381" customWidth="1"/>
    <col min="4859" max="4859" width="11.5703125" style="381" bestFit="1" customWidth="1"/>
    <col min="4860" max="4864" width="11.42578125" style="381" customWidth="1"/>
    <col min="4865" max="4865" width="19.42578125" style="381" customWidth="1"/>
    <col min="4866" max="4866" width="11.5703125" style="381" customWidth="1"/>
    <col min="4867" max="4874" width="11.42578125" style="381" customWidth="1"/>
    <col min="4875" max="5103" width="11.42578125" style="381"/>
    <col min="5104" max="5104" width="19.140625" style="381" customWidth="1"/>
    <col min="5105" max="5105" width="11.5703125" style="381" customWidth="1"/>
    <col min="5106" max="5107" width="11" style="381" bestFit="1" customWidth="1"/>
    <col min="5108" max="5108" width="10.5703125" style="381" bestFit="1" customWidth="1"/>
    <col min="5109" max="5109" width="9.7109375" style="381" customWidth="1"/>
    <col min="5110" max="5110" width="9.5703125" style="381" bestFit="1" customWidth="1"/>
    <col min="5111" max="5111" width="9" style="381" bestFit="1" customWidth="1"/>
    <col min="5112" max="5112" width="1.7109375" style="381" customWidth="1"/>
    <col min="5113" max="5113" width="15.85546875" style="381" customWidth="1"/>
    <col min="5114" max="5114" width="24.5703125" style="381" customWidth="1"/>
    <col min="5115" max="5115" width="11.5703125" style="381" bestFit="1" customWidth="1"/>
    <col min="5116" max="5120" width="11.42578125" style="381" customWidth="1"/>
    <col min="5121" max="5121" width="19.42578125" style="381" customWidth="1"/>
    <col min="5122" max="5122" width="11.5703125" style="381" customWidth="1"/>
    <col min="5123" max="5130" width="11.42578125" style="381" customWidth="1"/>
    <col min="5131" max="5359" width="11.42578125" style="381"/>
    <col min="5360" max="5360" width="19.140625" style="381" customWidth="1"/>
    <col min="5361" max="5361" width="11.5703125" style="381" customWidth="1"/>
    <col min="5362" max="5363" width="11" style="381" bestFit="1" customWidth="1"/>
    <col min="5364" max="5364" width="10.5703125" style="381" bestFit="1" customWidth="1"/>
    <col min="5365" max="5365" width="9.7109375" style="381" customWidth="1"/>
    <col min="5366" max="5366" width="9.5703125" style="381" bestFit="1" customWidth="1"/>
    <col min="5367" max="5367" width="9" style="381" bestFit="1" customWidth="1"/>
    <col min="5368" max="5368" width="1.7109375" style="381" customWidth="1"/>
    <col min="5369" max="5369" width="15.85546875" style="381" customWidth="1"/>
    <col min="5370" max="5370" width="24.5703125" style="381" customWidth="1"/>
    <col min="5371" max="5371" width="11.5703125" style="381" bestFit="1" customWidth="1"/>
    <col min="5372" max="5376" width="11.42578125" style="381" customWidth="1"/>
    <col min="5377" max="5377" width="19.42578125" style="381" customWidth="1"/>
    <col min="5378" max="5378" width="11.5703125" style="381" customWidth="1"/>
    <col min="5379" max="5386" width="11.42578125" style="381" customWidth="1"/>
    <col min="5387" max="5615" width="11.42578125" style="381"/>
    <col min="5616" max="5616" width="19.140625" style="381" customWidth="1"/>
    <col min="5617" max="5617" width="11.5703125" style="381" customWidth="1"/>
    <col min="5618" max="5619" width="11" style="381" bestFit="1" customWidth="1"/>
    <col min="5620" max="5620" width="10.5703125" style="381" bestFit="1" customWidth="1"/>
    <col min="5621" max="5621" width="9.7109375" style="381" customWidth="1"/>
    <col min="5622" max="5622" width="9.5703125" style="381" bestFit="1" customWidth="1"/>
    <col min="5623" max="5623" width="9" style="381" bestFit="1" customWidth="1"/>
    <col min="5624" max="5624" width="1.7109375" style="381" customWidth="1"/>
    <col min="5625" max="5625" width="15.85546875" style="381" customWidth="1"/>
    <col min="5626" max="5626" width="24.5703125" style="381" customWidth="1"/>
    <col min="5627" max="5627" width="11.5703125" style="381" bestFit="1" customWidth="1"/>
    <col min="5628" max="5632" width="11.42578125" style="381" customWidth="1"/>
    <col min="5633" max="5633" width="19.42578125" style="381" customWidth="1"/>
    <col min="5634" max="5634" width="11.5703125" style="381" customWidth="1"/>
    <col min="5635" max="5642" width="11.42578125" style="381" customWidth="1"/>
    <col min="5643" max="5871" width="11.42578125" style="381"/>
    <col min="5872" max="5872" width="19.140625" style="381" customWidth="1"/>
    <col min="5873" max="5873" width="11.5703125" style="381" customWidth="1"/>
    <col min="5874" max="5875" width="11" style="381" bestFit="1" customWidth="1"/>
    <col min="5876" max="5876" width="10.5703125" style="381" bestFit="1" customWidth="1"/>
    <col min="5877" max="5877" width="9.7109375" style="381" customWidth="1"/>
    <col min="5878" max="5878" width="9.5703125" style="381" bestFit="1" customWidth="1"/>
    <col min="5879" max="5879" width="9" style="381" bestFit="1" customWidth="1"/>
    <col min="5880" max="5880" width="1.7109375" style="381" customWidth="1"/>
    <col min="5881" max="5881" width="15.85546875" style="381" customWidth="1"/>
    <col min="5882" max="5882" width="24.5703125" style="381" customWidth="1"/>
    <col min="5883" max="5883" width="11.5703125" style="381" bestFit="1" customWidth="1"/>
    <col min="5884" max="5888" width="11.42578125" style="381" customWidth="1"/>
    <col min="5889" max="5889" width="19.42578125" style="381" customWidth="1"/>
    <col min="5890" max="5890" width="11.5703125" style="381" customWidth="1"/>
    <col min="5891" max="5898" width="11.42578125" style="381" customWidth="1"/>
    <col min="5899" max="6127" width="11.42578125" style="381"/>
    <col min="6128" max="6128" width="19.140625" style="381" customWidth="1"/>
    <col min="6129" max="6129" width="11.5703125" style="381" customWidth="1"/>
    <col min="6130" max="6131" width="11" style="381" bestFit="1" customWidth="1"/>
    <col min="6132" max="6132" width="10.5703125" style="381" bestFit="1" customWidth="1"/>
    <col min="6133" max="6133" width="9.7109375" style="381" customWidth="1"/>
    <col min="6134" max="6134" width="9.5703125" style="381" bestFit="1" customWidth="1"/>
    <col min="6135" max="6135" width="9" style="381" bestFit="1" customWidth="1"/>
    <col min="6136" max="6136" width="1.7109375" style="381" customWidth="1"/>
    <col min="6137" max="6137" width="15.85546875" style="381" customWidth="1"/>
    <col min="6138" max="6138" width="24.5703125" style="381" customWidth="1"/>
    <col min="6139" max="6139" width="11.5703125" style="381" bestFit="1" customWidth="1"/>
    <col min="6140" max="6144" width="11.42578125" style="381" customWidth="1"/>
    <col min="6145" max="6145" width="19.42578125" style="381" customWidth="1"/>
    <col min="6146" max="6146" width="11.5703125" style="381" customWidth="1"/>
    <col min="6147" max="6154" width="11.42578125" style="381" customWidth="1"/>
    <col min="6155" max="6383" width="11.42578125" style="381"/>
    <col min="6384" max="6384" width="19.140625" style="381" customWidth="1"/>
    <col min="6385" max="6385" width="11.5703125" style="381" customWidth="1"/>
    <col min="6386" max="6387" width="11" style="381" bestFit="1" customWidth="1"/>
    <col min="6388" max="6388" width="10.5703125" style="381" bestFit="1" customWidth="1"/>
    <col min="6389" max="6389" width="9.7109375" style="381" customWidth="1"/>
    <col min="6390" max="6390" width="9.5703125" style="381" bestFit="1" customWidth="1"/>
    <col min="6391" max="6391" width="9" style="381" bestFit="1" customWidth="1"/>
    <col min="6392" max="6392" width="1.7109375" style="381" customWidth="1"/>
    <col min="6393" max="6393" width="15.85546875" style="381" customWidth="1"/>
    <col min="6394" max="6394" width="24.5703125" style="381" customWidth="1"/>
    <col min="6395" max="6395" width="11.5703125" style="381" bestFit="1" customWidth="1"/>
    <col min="6396" max="6400" width="11.42578125" style="381" customWidth="1"/>
    <col min="6401" max="6401" width="19.42578125" style="381" customWidth="1"/>
    <col min="6402" max="6402" width="11.5703125" style="381" customWidth="1"/>
    <col min="6403" max="6410" width="11.42578125" style="381" customWidth="1"/>
    <col min="6411" max="6639" width="11.42578125" style="381"/>
    <col min="6640" max="6640" width="19.140625" style="381" customWidth="1"/>
    <col min="6641" max="6641" width="11.5703125" style="381" customWidth="1"/>
    <col min="6642" max="6643" width="11" style="381" bestFit="1" customWidth="1"/>
    <col min="6644" max="6644" width="10.5703125" style="381" bestFit="1" customWidth="1"/>
    <col min="6645" max="6645" width="9.7109375" style="381" customWidth="1"/>
    <col min="6646" max="6646" width="9.5703125" style="381" bestFit="1" customWidth="1"/>
    <col min="6647" max="6647" width="9" style="381" bestFit="1" customWidth="1"/>
    <col min="6648" max="6648" width="1.7109375" style="381" customWidth="1"/>
    <col min="6649" max="6649" width="15.85546875" style="381" customWidth="1"/>
    <col min="6650" max="6650" width="24.5703125" style="381" customWidth="1"/>
    <col min="6651" max="6651" width="11.5703125" style="381" bestFit="1" customWidth="1"/>
    <col min="6652" max="6656" width="11.42578125" style="381" customWidth="1"/>
    <col min="6657" max="6657" width="19.42578125" style="381" customWidth="1"/>
    <col min="6658" max="6658" width="11.5703125" style="381" customWidth="1"/>
    <col min="6659" max="6666" width="11.42578125" style="381" customWidth="1"/>
    <col min="6667" max="6895" width="11.42578125" style="381"/>
    <col min="6896" max="6896" width="19.140625" style="381" customWidth="1"/>
    <col min="6897" max="6897" width="11.5703125" style="381" customWidth="1"/>
    <col min="6898" max="6899" width="11" style="381" bestFit="1" customWidth="1"/>
    <col min="6900" max="6900" width="10.5703125" style="381" bestFit="1" customWidth="1"/>
    <col min="6901" max="6901" width="9.7109375" style="381" customWidth="1"/>
    <col min="6902" max="6902" width="9.5703125" style="381" bestFit="1" customWidth="1"/>
    <col min="6903" max="6903" width="9" style="381" bestFit="1" customWidth="1"/>
    <col min="6904" max="6904" width="1.7109375" style="381" customWidth="1"/>
    <col min="6905" max="6905" width="15.85546875" style="381" customWidth="1"/>
    <col min="6906" max="6906" width="24.5703125" style="381" customWidth="1"/>
    <col min="6907" max="6907" width="11.5703125" style="381" bestFit="1" customWidth="1"/>
    <col min="6908" max="6912" width="11.42578125" style="381" customWidth="1"/>
    <col min="6913" max="6913" width="19.42578125" style="381" customWidth="1"/>
    <col min="6914" max="6914" width="11.5703125" style="381" customWidth="1"/>
    <col min="6915" max="6922" width="11.42578125" style="381" customWidth="1"/>
    <col min="6923" max="7151" width="11.42578125" style="381"/>
    <col min="7152" max="7152" width="19.140625" style="381" customWidth="1"/>
    <col min="7153" max="7153" width="11.5703125" style="381" customWidth="1"/>
    <col min="7154" max="7155" width="11" style="381" bestFit="1" customWidth="1"/>
    <col min="7156" max="7156" width="10.5703125" style="381" bestFit="1" customWidth="1"/>
    <col min="7157" max="7157" width="9.7109375" style="381" customWidth="1"/>
    <col min="7158" max="7158" width="9.5703125" style="381" bestFit="1" customWidth="1"/>
    <col min="7159" max="7159" width="9" style="381" bestFit="1" customWidth="1"/>
    <col min="7160" max="7160" width="1.7109375" style="381" customWidth="1"/>
    <col min="7161" max="7161" width="15.85546875" style="381" customWidth="1"/>
    <col min="7162" max="7162" width="24.5703125" style="381" customWidth="1"/>
    <col min="7163" max="7163" width="11.5703125" style="381" bestFit="1" customWidth="1"/>
    <col min="7164" max="7168" width="11.42578125" style="381" customWidth="1"/>
    <col min="7169" max="7169" width="19.42578125" style="381" customWidth="1"/>
    <col min="7170" max="7170" width="11.5703125" style="381" customWidth="1"/>
    <col min="7171" max="7178" width="11.42578125" style="381" customWidth="1"/>
    <col min="7179" max="7407" width="11.42578125" style="381"/>
    <col min="7408" max="7408" width="19.140625" style="381" customWidth="1"/>
    <col min="7409" max="7409" width="11.5703125" style="381" customWidth="1"/>
    <col min="7410" max="7411" width="11" style="381" bestFit="1" customWidth="1"/>
    <col min="7412" max="7412" width="10.5703125" style="381" bestFit="1" customWidth="1"/>
    <col min="7413" max="7413" width="9.7109375" style="381" customWidth="1"/>
    <col min="7414" max="7414" width="9.5703125" style="381" bestFit="1" customWidth="1"/>
    <col min="7415" max="7415" width="9" style="381" bestFit="1" customWidth="1"/>
    <col min="7416" max="7416" width="1.7109375" style="381" customWidth="1"/>
    <col min="7417" max="7417" width="15.85546875" style="381" customWidth="1"/>
    <col min="7418" max="7418" width="24.5703125" style="381" customWidth="1"/>
    <col min="7419" max="7419" width="11.5703125" style="381" bestFit="1" customWidth="1"/>
    <col min="7420" max="7424" width="11.42578125" style="381" customWidth="1"/>
    <col min="7425" max="7425" width="19.42578125" style="381" customWidth="1"/>
    <col min="7426" max="7426" width="11.5703125" style="381" customWidth="1"/>
    <col min="7427" max="7434" width="11.42578125" style="381" customWidth="1"/>
    <col min="7435" max="7663" width="11.42578125" style="381"/>
    <col min="7664" max="7664" width="19.140625" style="381" customWidth="1"/>
    <col min="7665" max="7665" width="11.5703125" style="381" customWidth="1"/>
    <col min="7666" max="7667" width="11" style="381" bestFit="1" customWidth="1"/>
    <col min="7668" max="7668" width="10.5703125" style="381" bestFit="1" customWidth="1"/>
    <col min="7669" max="7669" width="9.7109375" style="381" customWidth="1"/>
    <col min="7670" max="7670" width="9.5703125" style="381" bestFit="1" customWidth="1"/>
    <col min="7671" max="7671" width="9" style="381" bestFit="1" customWidth="1"/>
    <col min="7672" max="7672" width="1.7109375" style="381" customWidth="1"/>
    <col min="7673" max="7673" width="15.85546875" style="381" customWidth="1"/>
    <col min="7674" max="7674" width="24.5703125" style="381" customWidth="1"/>
    <col min="7675" max="7675" width="11.5703125" style="381" bestFit="1" customWidth="1"/>
    <col min="7676" max="7680" width="11.42578125" style="381" customWidth="1"/>
    <col min="7681" max="7681" width="19.42578125" style="381" customWidth="1"/>
    <col min="7682" max="7682" width="11.5703125" style="381" customWidth="1"/>
    <col min="7683" max="7690" width="11.42578125" style="381" customWidth="1"/>
    <col min="7691" max="7919" width="11.42578125" style="381"/>
    <col min="7920" max="7920" width="19.140625" style="381" customWidth="1"/>
    <col min="7921" max="7921" width="11.5703125" style="381" customWidth="1"/>
    <col min="7922" max="7923" width="11" style="381" bestFit="1" customWidth="1"/>
    <col min="7924" max="7924" width="10.5703125" style="381" bestFit="1" customWidth="1"/>
    <col min="7925" max="7925" width="9.7109375" style="381" customWidth="1"/>
    <col min="7926" max="7926" width="9.5703125" style="381" bestFit="1" customWidth="1"/>
    <col min="7927" max="7927" width="9" style="381" bestFit="1" customWidth="1"/>
    <col min="7928" max="7928" width="1.7109375" style="381" customWidth="1"/>
    <col min="7929" max="7929" width="15.85546875" style="381" customWidth="1"/>
    <col min="7930" max="7930" width="24.5703125" style="381" customWidth="1"/>
    <col min="7931" max="7931" width="11.5703125" style="381" bestFit="1" customWidth="1"/>
    <col min="7932" max="7936" width="11.42578125" style="381" customWidth="1"/>
    <col min="7937" max="7937" width="19.42578125" style="381" customWidth="1"/>
    <col min="7938" max="7938" width="11.5703125" style="381" customWidth="1"/>
    <col min="7939" max="7946" width="11.42578125" style="381" customWidth="1"/>
    <col min="7947" max="8175" width="11.42578125" style="381"/>
    <col min="8176" max="8176" width="19.140625" style="381" customWidth="1"/>
    <col min="8177" max="8177" width="11.5703125" style="381" customWidth="1"/>
    <col min="8178" max="8179" width="11" style="381" bestFit="1" customWidth="1"/>
    <col min="8180" max="8180" width="10.5703125" style="381" bestFit="1" customWidth="1"/>
    <col min="8181" max="8181" width="9.7109375" style="381" customWidth="1"/>
    <col min="8182" max="8182" width="9.5703125" style="381" bestFit="1" customWidth="1"/>
    <col min="8183" max="8183" width="9" style="381" bestFit="1" customWidth="1"/>
    <col min="8184" max="8184" width="1.7109375" style="381" customWidth="1"/>
    <col min="8185" max="8185" width="15.85546875" style="381" customWidth="1"/>
    <col min="8186" max="8186" width="24.5703125" style="381" customWidth="1"/>
    <col min="8187" max="8187" width="11.5703125" style="381" bestFit="1" customWidth="1"/>
    <col min="8188" max="8192" width="11.42578125" style="381" customWidth="1"/>
    <col min="8193" max="8193" width="19.42578125" style="381" customWidth="1"/>
    <col min="8194" max="8194" width="11.5703125" style="381" customWidth="1"/>
    <col min="8195" max="8202" width="11.42578125" style="381" customWidth="1"/>
    <col min="8203" max="8431" width="11.42578125" style="381"/>
    <col min="8432" max="8432" width="19.140625" style="381" customWidth="1"/>
    <col min="8433" max="8433" width="11.5703125" style="381" customWidth="1"/>
    <col min="8434" max="8435" width="11" style="381" bestFit="1" customWidth="1"/>
    <col min="8436" max="8436" width="10.5703125" style="381" bestFit="1" customWidth="1"/>
    <col min="8437" max="8437" width="9.7109375" style="381" customWidth="1"/>
    <col min="8438" max="8438" width="9.5703125" style="381" bestFit="1" customWidth="1"/>
    <col min="8439" max="8439" width="9" style="381" bestFit="1" customWidth="1"/>
    <col min="8440" max="8440" width="1.7109375" style="381" customWidth="1"/>
    <col min="8441" max="8441" width="15.85546875" style="381" customWidth="1"/>
    <col min="8442" max="8442" width="24.5703125" style="381" customWidth="1"/>
    <col min="8443" max="8443" width="11.5703125" style="381" bestFit="1" customWidth="1"/>
    <col min="8444" max="8448" width="11.42578125" style="381" customWidth="1"/>
    <col min="8449" max="8449" width="19.42578125" style="381" customWidth="1"/>
    <col min="8450" max="8450" width="11.5703125" style="381" customWidth="1"/>
    <col min="8451" max="8458" width="11.42578125" style="381" customWidth="1"/>
    <col min="8459" max="8687" width="11.42578125" style="381"/>
    <col min="8688" max="8688" width="19.140625" style="381" customWidth="1"/>
    <col min="8689" max="8689" width="11.5703125" style="381" customWidth="1"/>
    <col min="8690" max="8691" width="11" style="381" bestFit="1" customWidth="1"/>
    <col min="8692" max="8692" width="10.5703125" style="381" bestFit="1" customWidth="1"/>
    <col min="8693" max="8693" width="9.7109375" style="381" customWidth="1"/>
    <col min="8694" max="8694" width="9.5703125" style="381" bestFit="1" customWidth="1"/>
    <col min="8695" max="8695" width="9" style="381" bestFit="1" customWidth="1"/>
    <col min="8696" max="8696" width="1.7109375" style="381" customWidth="1"/>
    <col min="8697" max="8697" width="15.85546875" style="381" customWidth="1"/>
    <col min="8698" max="8698" width="24.5703125" style="381" customWidth="1"/>
    <col min="8699" max="8699" width="11.5703125" style="381" bestFit="1" customWidth="1"/>
    <col min="8700" max="8704" width="11.42578125" style="381" customWidth="1"/>
    <col min="8705" max="8705" width="19.42578125" style="381" customWidth="1"/>
    <col min="8706" max="8706" width="11.5703125" style="381" customWidth="1"/>
    <col min="8707" max="8714" width="11.42578125" style="381" customWidth="1"/>
    <col min="8715" max="8943" width="11.42578125" style="381"/>
    <col min="8944" max="8944" width="19.140625" style="381" customWidth="1"/>
    <col min="8945" max="8945" width="11.5703125" style="381" customWidth="1"/>
    <col min="8946" max="8947" width="11" style="381" bestFit="1" customWidth="1"/>
    <col min="8948" max="8948" width="10.5703125" style="381" bestFit="1" customWidth="1"/>
    <col min="8949" max="8949" width="9.7109375" style="381" customWidth="1"/>
    <col min="8950" max="8950" width="9.5703125" style="381" bestFit="1" customWidth="1"/>
    <col min="8951" max="8951" width="9" style="381" bestFit="1" customWidth="1"/>
    <col min="8952" max="8952" width="1.7109375" style="381" customWidth="1"/>
    <col min="8953" max="8953" width="15.85546875" style="381" customWidth="1"/>
    <col min="8954" max="8954" width="24.5703125" style="381" customWidth="1"/>
    <col min="8955" max="8955" width="11.5703125" style="381" bestFit="1" customWidth="1"/>
    <col min="8956" max="8960" width="11.42578125" style="381" customWidth="1"/>
    <col min="8961" max="8961" width="19.42578125" style="381" customWidth="1"/>
    <col min="8962" max="8962" width="11.5703125" style="381" customWidth="1"/>
    <col min="8963" max="8970" width="11.42578125" style="381" customWidth="1"/>
    <col min="8971" max="9199" width="11.42578125" style="381"/>
    <col min="9200" max="9200" width="19.140625" style="381" customWidth="1"/>
    <col min="9201" max="9201" width="11.5703125" style="381" customWidth="1"/>
    <col min="9202" max="9203" width="11" style="381" bestFit="1" customWidth="1"/>
    <col min="9204" max="9204" width="10.5703125" style="381" bestFit="1" customWidth="1"/>
    <col min="9205" max="9205" width="9.7109375" style="381" customWidth="1"/>
    <col min="9206" max="9206" width="9.5703125" style="381" bestFit="1" customWidth="1"/>
    <col min="9207" max="9207" width="9" style="381" bestFit="1" customWidth="1"/>
    <col min="9208" max="9208" width="1.7109375" style="381" customWidth="1"/>
    <col min="9209" max="9209" width="15.85546875" style="381" customWidth="1"/>
    <col min="9210" max="9210" width="24.5703125" style="381" customWidth="1"/>
    <col min="9211" max="9211" width="11.5703125" style="381" bestFit="1" customWidth="1"/>
    <col min="9212" max="9216" width="11.42578125" style="381" customWidth="1"/>
    <col min="9217" max="9217" width="19.42578125" style="381" customWidth="1"/>
    <col min="9218" max="9218" width="11.5703125" style="381" customWidth="1"/>
    <col min="9219" max="9226" width="11.42578125" style="381" customWidth="1"/>
    <col min="9227" max="9455" width="11.42578125" style="381"/>
    <col min="9456" max="9456" width="19.140625" style="381" customWidth="1"/>
    <col min="9457" max="9457" width="11.5703125" style="381" customWidth="1"/>
    <col min="9458" max="9459" width="11" style="381" bestFit="1" customWidth="1"/>
    <col min="9460" max="9460" width="10.5703125" style="381" bestFit="1" customWidth="1"/>
    <col min="9461" max="9461" width="9.7109375" style="381" customWidth="1"/>
    <col min="9462" max="9462" width="9.5703125" style="381" bestFit="1" customWidth="1"/>
    <col min="9463" max="9463" width="9" style="381" bestFit="1" customWidth="1"/>
    <col min="9464" max="9464" width="1.7109375" style="381" customWidth="1"/>
    <col min="9465" max="9465" width="15.85546875" style="381" customWidth="1"/>
    <col min="9466" max="9466" width="24.5703125" style="381" customWidth="1"/>
    <col min="9467" max="9467" width="11.5703125" style="381" bestFit="1" customWidth="1"/>
    <col min="9468" max="9472" width="11.42578125" style="381" customWidth="1"/>
    <col min="9473" max="9473" width="19.42578125" style="381" customWidth="1"/>
    <col min="9474" max="9474" width="11.5703125" style="381" customWidth="1"/>
    <col min="9475" max="9482" width="11.42578125" style="381" customWidth="1"/>
    <col min="9483" max="9711" width="11.42578125" style="381"/>
    <col min="9712" max="9712" width="19.140625" style="381" customWidth="1"/>
    <col min="9713" max="9713" width="11.5703125" style="381" customWidth="1"/>
    <col min="9714" max="9715" width="11" style="381" bestFit="1" customWidth="1"/>
    <col min="9716" max="9716" width="10.5703125" style="381" bestFit="1" customWidth="1"/>
    <col min="9717" max="9717" width="9.7109375" style="381" customWidth="1"/>
    <col min="9718" max="9718" width="9.5703125" style="381" bestFit="1" customWidth="1"/>
    <col min="9719" max="9719" width="9" style="381" bestFit="1" customWidth="1"/>
    <col min="9720" max="9720" width="1.7109375" style="381" customWidth="1"/>
    <col min="9721" max="9721" width="15.85546875" style="381" customWidth="1"/>
    <col min="9722" max="9722" width="24.5703125" style="381" customWidth="1"/>
    <col min="9723" max="9723" width="11.5703125" style="381" bestFit="1" customWidth="1"/>
    <col min="9724" max="9728" width="11.42578125" style="381" customWidth="1"/>
    <col min="9729" max="9729" width="19.42578125" style="381" customWidth="1"/>
    <col min="9730" max="9730" width="11.5703125" style="381" customWidth="1"/>
    <col min="9731" max="9738" width="11.42578125" style="381" customWidth="1"/>
    <col min="9739" max="9967" width="11.42578125" style="381"/>
    <col min="9968" max="9968" width="19.140625" style="381" customWidth="1"/>
    <col min="9969" max="9969" width="11.5703125" style="381" customWidth="1"/>
    <col min="9970" max="9971" width="11" style="381" bestFit="1" customWidth="1"/>
    <col min="9972" max="9972" width="10.5703125" style="381" bestFit="1" customWidth="1"/>
    <col min="9973" max="9973" width="9.7109375" style="381" customWidth="1"/>
    <col min="9974" max="9974" width="9.5703125" style="381" bestFit="1" customWidth="1"/>
    <col min="9975" max="9975" width="9" style="381" bestFit="1" customWidth="1"/>
    <col min="9976" max="9976" width="1.7109375" style="381" customWidth="1"/>
    <col min="9977" max="9977" width="15.85546875" style="381" customWidth="1"/>
    <col min="9978" max="9978" width="24.5703125" style="381" customWidth="1"/>
    <col min="9979" max="9979" width="11.5703125" style="381" bestFit="1" customWidth="1"/>
    <col min="9980" max="9984" width="11.42578125" style="381" customWidth="1"/>
    <col min="9985" max="9985" width="19.42578125" style="381" customWidth="1"/>
    <col min="9986" max="9986" width="11.5703125" style="381" customWidth="1"/>
    <col min="9987" max="9994" width="11.42578125" style="381" customWidth="1"/>
    <col min="9995" max="10223" width="11.42578125" style="381"/>
    <col min="10224" max="10224" width="19.140625" style="381" customWidth="1"/>
    <col min="10225" max="10225" width="11.5703125" style="381" customWidth="1"/>
    <col min="10226" max="10227" width="11" style="381" bestFit="1" customWidth="1"/>
    <col min="10228" max="10228" width="10.5703125" style="381" bestFit="1" customWidth="1"/>
    <col min="10229" max="10229" width="9.7109375" style="381" customWidth="1"/>
    <col min="10230" max="10230" width="9.5703125" style="381" bestFit="1" customWidth="1"/>
    <col min="10231" max="10231" width="9" style="381" bestFit="1" customWidth="1"/>
    <col min="10232" max="10232" width="1.7109375" style="381" customWidth="1"/>
    <col min="10233" max="10233" width="15.85546875" style="381" customWidth="1"/>
    <col min="10234" max="10234" width="24.5703125" style="381" customWidth="1"/>
    <col min="10235" max="10235" width="11.5703125" style="381" bestFit="1" customWidth="1"/>
    <col min="10236" max="10240" width="11.42578125" style="381" customWidth="1"/>
    <col min="10241" max="10241" width="19.42578125" style="381" customWidth="1"/>
    <col min="10242" max="10242" width="11.5703125" style="381" customWidth="1"/>
    <col min="10243" max="10250" width="11.42578125" style="381" customWidth="1"/>
    <col min="10251" max="10479" width="11.42578125" style="381"/>
    <col min="10480" max="10480" width="19.140625" style="381" customWidth="1"/>
    <col min="10481" max="10481" width="11.5703125" style="381" customWidth="1"/>
    <col min="10482" max="10483" width="11" style="381" bestFit="1" customWidth="1"/>
    <col min="10484" max="10484" width="10.5703125" style="381" bestFit="1" customWidth="1"/>
    <col min="10485" max="10485" width="9.7109375" style="381" customWidth="1"/>
    <col min="10486" max="10486" width="9.5703125" style="381" bestFit="1" customWidth="1"/>
    <col min="10487" max="10487" width="9" style="381" bestFit="1" customWidth="1"/>
    <col min="10488" max="10488" width="1.7109375" style="381" customWidth="1"/>
    <col min="10489" max="10489" width="15.85546875" style="381" customWidth="1"/>
    <col min="10490" max="10490" width="24.5703125" style="381" customWidth="1"/>
    <col min="10491" max="10491" width="11.5703125" style="381" bestFit="1" customWidth="1"/>
    <col min="10492" max="10496" width="11.42578125" style="381" customWidth="1"/>
    <col min="10497" max="10497" width="19.42578125" style="381" customWidth="1"/>
    <col min="10498" max="10498" width="11.5703125" style="381" customWidth="1"/>
    <col min="10499" max="10506" width="11.42578125" style="381" customWidth="1"/>
    <col min="10507" max="10735" width="11.42578125" style="381"/>
    <col min="10736" max="10736" width="19.140625" style="381" customWidth="1"/>
    <col min="10737" max="10737" width="11.5703125" style="381" customWidth="1"/>
    <col min="10738" max="10739" width="11" style="381" bestFit="1" customWidth="1"/>
    <col min="10740" max="10740" width="10.5703125" style="381" bestFit="1" customWidth="1"/>
    <col min="10741" max="10741" width="9.7109375" style="381" customWidth="1"/>
    <col min="10742" max="10742" width="9.5703125" style="381" bestFit="1" customWidth="1"/>
    <col min="10743" max="10743" width="9" style="381" bestFit="1" customWidth="1"/>
    <col min="10744" max="10744" width="1.7109375" style="381" customWidth="1"/>
    <col min="10745" max="10745" width="15.85546875" style="381" customWidth="1"/>
    <col min="10746" max="10746" width="24.5703125" style="381" customWidth="1"/>
    <col min="10747" max="10747" width="11.5703125" style="381" bestFit="1" customWidth="1"/>
    <col min="10748" max="10752" width="11.42578125" style="381" customWidth="1"/>
    <col min="10753" max="10753" width="19.42578125" style="381" customWidth="1"/>
    <col min="10754" max="10754" width="11.5703125" style="381" customWidth="1"/>
    <col min="10755" max="10762" width="11.42578125" style="381" customWidth="1"/>
    <col min="10763" max="10991" width="11.42578125" style="381"/>
    <col min="10992" max="10992" width="19.140625" style="381" customWidth="1"/>
    <col min="10993" max="10993" width="11.5703125" style="381" customWidth="1"/>
    <col min="10994" max="10995" width="11" style="381" bestFit="1" customWidth="1"/>
    <col min="10996" max="10996" width="10.5703125" style="381" bestFit="1" customWidth="1"/>
    <col min="10997" max="10997" width="9.7109375" style="381" customWidth="1"/>
    <col min="10998" max="10998" width="9.5703125" style="381" bestFit="1" customWidth="1"/>
    <col min="10999" max="10999" width="9" style="381" bestFit="1" customWidth="1"/>
    <col min="11000" max="11000" width="1.7109375" style="381" customWidth="1"/>
    <col min="11001" max="11001" width="15.85546875" style="381" customWidth="1"/>
    <col min="11002" max="11002" width="24.5703125" style="381" customWidth="1"/>
    <col min="11003" max="11003" width="11.5703125" style="381" bestFit="1" customWidth="1"/>
    <col min="11004" max="11008" width="11.42578125" style="381" customWidth="1"/>
    <col min="11009" max="11009" width="19.42578125" style="381" customWidth="1"/>
    <col min="11010" max="11010" width="11.5703125" style="381" customWidth="1"/>
    <col min="11011" max="11018" width="11.42578125" style="381" customWidth="1"/>
    <col min="11019" max="11247" width="11.42578125" style="381"/>
    <col min="11248" max="11248" width="19.140625" style="381" customWidth="1"/>
    <col min="11249" max="11249" width="11.5703125" style="381" customWidth="1"/>
    <col min="11250" max="11251" width="11" style="381" bestFit="1" customWidth="1"/>
    <col min="11252" max="11252" width="10.5703125" style="381" bestFit="1" customWidth="1"/>
    <col min="11253" max="11253" width="9.7109375" style="381" customWidth="1"/>
    <col min="11254" max="11254" width="9.5703125" style="381" bestFit="1" customWidth="1"/>
    <col min="11255" max="11255" width="9" style="381" bestFit="1" customWidth="1"/>
    <col min="11256" max="11256" width="1.7109375" style="381" customWidth="1"/>
    <col min="11257" max="11257" width="15.85546875" style="381" customWidth="1"/>
    <col min="11258" max="11258" width="24.5703125" style="381" customWidth="1"/>
    <col min="11259" max="11259" width="11.5703125" style="381" bestFit="1" customWidth="1"/>
    <col min="11260" max="11264" width="11.42578125" style="381" customWidth="1"/>
    <col min="11265" max="11265" width="19.42578125" style="381" customWidth="1"/>
    <col min="11266" max="11266" width="11.5703125" style="381" customWidth="1"/>
    <col min="11267" max="11274" width="11.42578125" style="381" customWidth="1"/>
    <col min="11275" max="11503" width="11.42578125" style="381"/>
    <col min="11504" max="11504" width="19.140625" style="381" customWidth="1"/>
    <col min="11505" max="11505" width="11.5703125" style="381" customWidth="1"/>
    <col min="11506" max="11507" width="11" style="381" bestFit="1" customWidth="1"/>
    <col min="11508" max="11508" width="10.5703125" style="381" bestFit="1" customWidth="1"/>
    <col min="11509" max="11509" width="9.7109375" style="381" customWidth="1"/>
    <col min="11510" max="11510" width="9.5703125" style="381" bestFit="1" customWidth="1"/>
    <col min="11511" max="11511" width="9" style="381" bestFit="1" customWidth="1"/>
    <col min="11512" max="11512" width="1.7109375" style="381" customWidth="1"/>
    <col min="11513" max="11513" width="15.85546875" style="381" customWidth="1"/>
    <col min="11514" max="11514" width="24.5703125" style="381" customWidth="1"/>
    <col min="11515" max="11515" width="11.5703125" style="381" bestFit="1" customWidth="1"/>
    <col min="11516" max="11520" width="11.42578125" style="381" customWidth="1"/>
    <col min="11521" max="11521" width="19.42578125" style="381" customWidth="1"/>
    <col min="11522" max="11522" width="11.5703125" style="381" customWidth="1"/>
    <col min="11523" max="11530" width="11.42578125" style="381" customWidth="1"/>
    <col min="11531" max="11759" width="11.42578125" style="381"/>
    <col min="11760" max="11760" width="19.140625" style="381" customWidth="1"/>
    <col min="11761" max="11761" width="11.5703125" style="381" customWidth="1"/>
    <col min="11762" max="11763" width="11" style="381" bestFit="1" customWidth="1"/>
    <col min="11764" max="11764" width="10.5703125" style="381" bestFit="1" customWidth="1"/>
    <col min="11765" max="11765" width="9.7109375" style="381" customWidth="1"/>
    <col min="11766" max="11766" width="9.5703125" style="381" bestFit="1" customWidth="1"/>
    <col min="11767" max="11767" width="9" style="381" bestFit="1" customWidth="1"/>
    <col min="11768" max="11768" width="1.7109375" style="381" customWidth="1"/>
    <col min="11769" max="11769" width="15.85546875" style="381" customWidth="1"/>
    <col min="11770" max="11770" width="24.5703125" style="381" customWidth="1"/>
    <col min="11771" max="11771" width="11.5703125" style="381" bestFit="1" customWidth="1"/>
    <col min="11772" max="11776" width="11.42578125" style="381" customWidth="1"/>
    <col min="11777" max="11777" width="19.42578125" style="381" customWidth="1"/>
    <col min="11778" max="11778" width="11.5703125" style="381" customWidth="1"/>
    <col min="11779" max="11786" width="11.42578125" style="381" customWidth="1"/>
    <col min="11787" max="12015" width="11.42578125" style="381"/>
    <col min="12016" max="12016" width="19.140625" style="381" customWidth="1"/>
    <col min="12017" max="12017" width="11.5703125" style="381" customWidth="1"/>
    <col min="12018" max="12019" width="11" style="381" bestFit="1" customWidth="1"/>
    <col min="12020" max="12020" width="10.5703125" style="381" bestFit="1" customWidth="1"/>
    <col min="12021" max="12021" width="9.7109375" style="381" customWidth="1"/>
    <col min="12022" max="12022" width="9.5703125" style="381" bestFit="1" customWidth="1"/>
    <col min="12023" max="12023" width="9" style="381" bestFit="1" customWidth="1"/>
    <col min="12024" max="12024" width="1.7109375" style="381" customWidth="1"/>
    <col min="12025" max="12025" width="15.85546875" style="381" customWidth="1"/>
    <col min="12026" max="12026" width="24.5703125" style="381" customWidth="1"/>
    <col min="12027" max="12027" width="11.5703125" style="381" bestFit="1" customWidth="1"/>
    <col min="12028" max="12032" width="11.42578125" style="381" customWidth="1"/>
    <col min="12033" max="12033" width="19.42578125" style="381" customWidth="1"/>
    <col min="12034" max="12034" width="11.5703125" style="381" customWidth="1"/>
    <col min="12035" max="12042" width="11.42578125" style="381" customWidth="1"/>
    <col min="12043" max="12271" width="11.42578125" style="381"/>
    <col min="12272" max="12272" width="19.140625" style="381" customWidth="1"/>
    <col min="12273" max="12273" width="11.5703125" style="381" customWidth="1"/>
    <col min="12274" max="12275" width="11" style="381" bestFit="1" customWidth="1"/>
    <col min="12276" max="12276" width="10.5703125" style="381" bestFit="1" customWidth="1"/>
    <col min="12277" max="12277" width="9.7109375" style="381" customWidth="1"/>
    <col min="12278" max="12278" width="9.5703125" style="381" bestFit="1" customWidth="1"/>
    <col min="12279" max="12279" width="9" style="381" bestFit="1" customWidth="1"/>
    <col min="12280" max="12280" width="1.7109375" style="381" customWidth="1"/>
    <col min="12281" max="12281" width="15.85546875" style="381" customWidth="1"/>
    <col min="12282" max="12282" width="24.5703125" style="381" customWidth="1"/>
    <col min="12283" max="12283" width="11.5703125" style="381" bestFit="1" customWidth="1"/>
    <col min="12284" max="12288" width="11.42578125" style="381" customWidth="1"/>
    <col min="12289" max="12289" width="19.42578125" style="381" customWidth="1"/>
    <col min="12290" max="12290" width="11.5703125" style="381" customWidth="1"/>
    <col min="12291" max="12298" width="11.42578125" style="381" customWidth="1"/>
    <col min="12299" max="12527" width="11.42578125" style="381"/>
    <col min="12528" max="12528" width="19.140625" style="381" customWidth="1"/>
    <col min="12529" max="12529" width="11.5703125" style="381" customWidth="1"/>
    <col min="12530" max="12531" width="11" style="381" bestFit="1" customWidth="1"/>
    <col min="12532" max="12532" width="10.5703125" style="381" bestFit="1" customWidth="1"/>
    <col min="12533" max="12533" width="9.7109375" style="381" customWidth="1"/>
    <col min="12534" max="12534" width="9.5703125" style="381" bestFit="1" customWidth="1"/>
    <col min="12535" max="12535" width="9" style="381" bestFit="1" customWidth="1"/>
    <col min="12536" max="12536" width="1.7109375" style="381" customWidth="1"/>
    <col min="12537" max="12537" width="15.85546875" style="381" customWidth="1"/>
    <col min="12538" max="12538" width="24.5703125" style="381" customWidth="1"/>
    <col min="12539" max="12539" width="11.5703125" style="381" bestFit="1" customWidth="1"/>
    <col min="12540" max="12544" width="11.42578125" style="381" customWidth="1"/>
    <col min="12545" max="12545" width="19.42578125" style="381" customWidth="1"/>
    <col min="12546" max="12546" width="11.5703125" style="381" customWidth="1"/>
    <col min="12547" max="12554" width="11.42578125" style="381" customWidth="1"/>
    <col min="12555" max="12783" width="11.42578125" style="381"/>
    <col min="12784" max="12784" width="19.140625" style="381" customWidth="1"/>
    <col min="12785" max="12785" width="11.5703125" style="381" customWidth="1"/>
    <col min="12786" max="12787" width="11" style="381" bestFit="1" customWidth="1"/>
    <col min="12788" max="12788" width="10.5703125" style="381" bestFit="1" customWidth="1"/>
    <col min="12789" max="12789" width="9.7109375" style="381" customWidth="1"/>
    <col min="12790" max="12790" width="9.5703125" style="381" bestFit="1" customWidth="1"/>
    <col min="12791" max="12791" width="9" style="381" bestFit="1" customWidth="1"/>
    <col min="12792" max="12792" width="1.7109375" style="381" customWidth="1"/>
    <col min="12793" max="12793" width="15.85546875" style="381" customWidth="1"/>
    <col min="12794" max="12794" width="24.5703125" style="381" customWidth="1"/>
    <col min="12795" max="12795" width="11.5703125" style="381" bestFit="1" customWidth="1"/>
    <col min="12796" max="12800" width="11.42578125" style="381" customWidth="1"/>
    <col min="12801" max="12801" width="19.42578125" style="381" customWidth="1"/>
    <col min="12802" max="12802" width="11.5703125" style="381" customWidth="1"/>
    <col min="12803" max="12810" width="11.42578125" style="381" customWidth="1"/>
    <col min="12811" max="13039" width="11.42578125" style="381"/>
    <col min="13040" max="13040" width="19.140625" style="381" customWidth="1"/>
    <col min="13041" max="13041" width="11.5703125" style="381" customWidth="1"/>
    <col min="13042" max="13043" width="11" style="381" bestFit="1" customWidth="1"/>
    <col min="13044" max="13044" width="10.5703125" style="381" bestFit="1" customWidth="1"/>
    <col min="13045" max="13045" width="9.7109375" style="381" customWidth="1"/>
    <col min="13046" max="13046" width="9.5703125" style="381" bestFit="1" customWidth="1"/>
    <col min="13047" max="13047" width="9" style="381" bestFit="1" customWidth="1"/>
    <col min="13048" max="13048" width="1.7109375" style="381" customWidth="1"/>
    <col min="13049" max="13049" width="15.85546875" style="381" customWidth="1"/>
    <col min="13050" max="13050" width="24.5703125" style="381" customWidth="1"/>
    <col min="13051" max="13051" width="11.5703125" style="381" bestFit="1" customWidth="1"/>
    <col min="13052" max="13056" width="11.42578125" style="381" customWidth="1"/>
    <col min="13057" max="13057" width="19.42578125" style="381" customWidth="1"/>
    <col min="13058" max="13058" width="11.5703125" style="381" customWidth="1"/>
    <col min="13059" max="13066" width="11.42578125" style="381" customWidth="1"/>
    <col min="13067" max="13295" width="11.42578125" style="381"/>
    <col min="13296" max="13296" width="19.140625" style="381" customWidth="1"/>
    <col min="13297" max="13297" width="11.5703125" style="381" customWidth="1"/>
    <col min="13298" max="13299" width="11" style="381" bestFit="1" customWidth="1"/>
    <col min="13300" max="13300" width="10.5703125" style="381" bestFit="1" customWidth="1"/>
    <col min="13301" max="13301" width="9.7109375" style="381" customWidth="1"/>
    <col min="13302" max="13302" width="9.5703125" style="381" bestFit="1" customWidth="1"/>
    <col min="13303" max="13303" width="9" style="381" bestFit="1" customWidth="1"/>
    <col min="13304" max="13304" width="1.7109375" style="381" customWidth="1"/>
    <col min="13305" max="13305" width="15.85546875" style="381" customWidth="1"/>
    <col min="13306" max="13306" width="24.5703125" style="381" customWidth="1"/>
    <col min="13307" max="13307" width="11.5703125" style="381" bestFit="1" customWidth="1"/>
    <col min="13308" max="13312" width="11.42578125" style="381" customWidth="1"/>
    <col min="13313" max="13313" width="19.42578125" style="381" customWidth="1"/>
    <col min="13314" max="13314" width="11.5703125" style="381" customWidth="1"/>
    <col min="13315" max="13322" width="11.42578125" style="381" customWidth="1"/>
    <col min="13323" max="13551" width="11.42578125" style="381"/>
    <col min="13552" max="13552" width="19.140625" style="381" customWidth="1"/>
    <col min="13553" max="13553" width="11.5703125" style="381" customWidth="1"/>
    <col min="13554" max="13555" width="11" style="381" bestFit="1" customWidth="1"/>
    <col min="13556" max="13556" width="10.5703125" style="381" bestFit="1" customWidth="1"/>
    <col min="13557" max="13557" width="9.7109375" style="381" customWidth="1"/>
    <col min="13558" max="13558" width="9.5703125" style="381" bestFit="1" customWidth="1"/>
    <col min="13559" max="13559" width="9" style="381" bestFit="1" customWidth="1"/>
    <col min="13560" max="13560" width="1.7109375" style="381" customWidth="1"/>
    <col min="13561" max="13561" width="15.85546875" style="381" customWidth="1"/>
    <col min="13562" max="13562" width="24.5703125" style="381" customWidth="1"/>
    <col min="13563" max="13563" width="11.5703125" style="381" bestFit="1" customWidth="1"/>
    <col min="13564" max="13568" width="11.42578125" style="381" customWidth="1"/>
    <col min="13569" max="13569" width="19.42578125" style="381" customWidth="1"/>
    <col min="13570" max="13570" width="11.5703125" style="381" customWidth="1"/>
    <col min="13571" max="13578" width="11.42578125" style="381" customWidth="1"/>
    <col min="13579" max="13807" width="11.42578125" style="381"/>
    <col min="13808" max="13808" width="19.140625" style="381" customWidth="1"/>
    <col min="13809" max="13809" width="11.5703125" style="381" customWidth="1"/>
    <col min="13810" max="13811" width="11" style="381" bestFit="1" customWidth="1"/>
    <col min="13812" max="13812" width="10.5703125" style="381" bestFit="1" customWidth="1"/>
    <col min="13813" max="13813" width="9.7109375" style="381" customWidth="1"/>
    <col min="13814" max="13814" width="9.5703125" style="381" bestFit="1" customWidth="1"/>
    <col min="13815" max="13815" width="9" style="381" bestFit="1" customWidth="1"/>
    <col min="13816" max="13816" width="1.7109375" style="381" customWidth="1"/>
    <col min="13817" max="13817" width="15.85546875" style="381" customWidth="1"/>
    <col min="13818" max="13818" width="24.5703125" style="381" customWidth="1"/>
    <col min="13819" max="13819" width="11.5703125" style="381" bestFit="1" customWidth="1"/>
    <col min="13820" max="13824" width="11.42578125" style="381" customWidth="1"/>
    <col min="13825" max="13825" width="19.42578125" style="381" customWidth="1"/>
    <col min="13826" max="13826" width="11.5703125" style="381" customWidth="1"/>
    <col min="13827" max="13834" width="11.42578125" style="381" customWidth="1"/>
    <col min="13835" max="14063" width="11.42578125" style="381"/>
    <col min="14064" max="14064" width="19.140625" style="381" customWidth="1"/>
    <col min="14065" max="14065" width="11.5703125" style="381" customWidth="1"/>
    <col min="14066" max="14067" width="11" style="381" bestFit="1" customWidth="1"/>
    <col min="14068" max="14068" width="10.5703125" style="381" bestFit="1" customWidth="1"/>
    <col min="14069" max="14069" width="9.7109375" style="381" customWidth="1"/>
    <col min="14070" max="14070" width="9.5703125" style="381" bestFit="1" customWidth="1"/>
    <col min="14071" max="14071" width="9" style="381" bestFit="1" customWidth="1"/>
    <col min="14072" max="14072" width="1.7109375" style="381" customWidth="1"/>
    <col min="14073" max="14073" width="15.85546875" style="381" customWidth="1"/>
    <col min="14074" max="14074" width="24.5703125" style="381" customWidth="1"/>
    <col min="14075" max="14075" width="11.5703125" style="381" bestFit="1" customWidth="1"/>
    <col min="14076" max="14080" width="11.42578125" style="381" customWidth="1"/>
    <col min="14081" max="14081" width="19.42578125" style="381" customWidth="1"/>
    <col min="14082" max="14082" width="11.5703125" style="381" customWidth="1"/>
    <col min="14083" max="14090" width="11.42578125" style="381" customWidth="1"/>
    <col min="14091" max="14319" width="11.42578125" style="381"/>
    <col min="14320" max="14320" width="19.140625" style="381" customWidth="1"/>
    <col min="14321" max="14321" width="11.5703125" style="381" customWidth="1"/>
    <col min="14322" max="14323" width="11" style="381" bestFit="1" customWidth="1"/>
    <col min="14324" max="14324" width="10.5703125" style="381" bestFit="1" customWidth="1"/>
    <col min="14325" max="14325" width="9.7109375" style="381" customWidth="1"/>
    <col min="14326" max="14326" width="9.5703125" style="381" bestFit="1" customWidth="1"/>
    <col min="14327" max="14327" width="9" style="381" bestFit="1" customWidth="1"/>
    <col min="14328" max="14328" width="1.7109375" style="381" customWidth="1"/>
    <col min="14329" max="14329" width="15.85546875" style="381" customWidth="1"/>
    <col min="14330" max="14330" width="24.5703125" style="381" customWidth="1"/>
    <col min="14331" max="14331" width="11.5703125" style="381" bestFit="1" customWidth="1"/>
    <col min="14332" max="14336" width="11.42578125" style="381" customWidth="1"/>
    <col min="14337" max="14337" width="19.42578125" style="381" customWidth="1"/>
    <col min="14338" max="14338" width="11.5703125" style="381" customWidth="1"/>
    <col min="14339" max="14346" width="11.42578125" style="381" customWidth="1"/>
    <col min="14347" max="14575" width="11.42578125" style="381"/>
    <col min="14576" max="14576" width="19.140625" style="381" customWidth="1"/>
    <col min="14577" max="14577" width="11.5703125" style="381" customWidth="1"/>
    <col min="14578" max="14579" width="11" style="381" bestFit="1" customWidth="1"/>
    <col min="14580" max="14580" width="10.5703125" style="381" bestFit="1" customWidth="1"/>
    <col min="14581" max="14581" width="9.7109375" style="381" customWidth="1"/>
    <col min="14582" max="14582" width="9.5703125" style="381" bestFit="1" customWidth="1"/>
    <col min="14583" max="14583" width="9" style="381" bestFit="1" customWidth="1"/>
    <col min="14584" max="14584" width="1.7109375" style="381" customWidth="1"/>
    <col min="14585" max="14585" width="15.85546875" style="381" customWidth="1"/>
    <col min="14586" max="14586" width="24.5703125" style="381" customWidth="1"/>
    <col min="14587" max="14587" width="11.5703125" style="381" bestFit="1" customWidth="1"/>
    <col min="14588" max="14592" width="11.42578125" style="381" customWidth="1"/>
    <col min="14593" max="14593" width="19.42578125" style="381" customWidth="1"/>
    <col min="14594" max="14594" width="11.5703125" style="381" customWidth="1"/>
    <col min="14595" max="14602" width="11.42578125" style="381" customWidth="1"/>
    <col min="14603" max="14831" width="11.42578125" style="381"/>
    <col min="14832" max="14832" width="19.140625" style="381" customWidth="1"/>
    <col min="14833" max="14833" width="11.5703125" style="381" customWidth="1"/>
    <col min="14834" max="14835" width="11" style="381" bestFit="1" customWidth="1"/>
    <col min="14836" max="14836" width="10.5703125" style="381" bestFit="1" customWidth="1"/>
    <col min="14837" max="14837" width="9.7109375" style="381" customWidth="1"/>
    <col min="14838" max="14838" width="9.5703125" style="381" bestFit="1" customWidth="1"/>
    <col min="14839" max="14839" width="9" style="381" bestFit="1" customWidth="1"/>
    <col min="14840" max="14840" width="1.7109375" style="381" customWidth="1"/>
    <col min="14841" max="14841" width="15.85546875" style="381" customWidth="1"/>
    <col min="14842" max="14842" width="24.5703125" style="381" customWidth="1"/>
    <col min="14843" max="14843" width="11.5703125" style="381" bestFit="1" customWidth="1"/>
    <col min="14844" max="14848" width="11.42578125" style="381" customWidth="1"/>
    <col min="14849" max="14849" width="19.42578125" style="381" customWidth="1"/>
    <col min="14850" max="14850" width="11.5703125" style="381" customWidth="1"/>
    <col min="14851" max="14858" width="11.42578125" style="381" customWidth="1"/>
    <col min="14859" max="15087" width="11.42578125" style="381"/>
    <col min="15088" max="15088" width="19.140625" style="381" customWidth="1"/>
    <col min="15089" max="15089" width="11.5703125" style="381" customWidth="1"/>
    <col min="15090" max="15091" width="11" style="381" bestFit="1" customWidth="1"/>
    <col min="15092" max="15092" width="10.5703125" style="381" bestFit="1" customWidth="1"/>
    <col min="15093" max="15093" width="9.7109375" style="381" customWidth="1"/>
    <col min="15094" max="15094" width="9.5703125" style="381" bestFit="1" customWidth="1"/>
    <col min="15095" max="15095" width="9" style="381" bestFit="1" customWidth="1"/>
    <col min="15096" max="15096" width="1.7109375" style="381" customWidth="1"/>
    <col min="15097" max="15097" width="15.85546875" style="381" customWidth="1"/>
    <col min="15098" max="15098" width="24.5703125" style="381" customWidth="1"/>
    <col min="15099" max="15099" width="11.5703125" style="381" bestFit="1" customWidth="1"/>
    <col min="15100" max="15104" width="11.42578125" style="381" customWidth="1"/>
    <col min="15105" max="15105" width="19.42578125" style="381" customWidth="1"/>
    <col min="15106" max="15106" width="11.5703125" style="381" customWidth="1"/>
    <col min="15107" max="15114" width="11.42578125" style="381" customWidth="1"/>
    <col min="15115" max="15343" width="11.42578125" style="381"/>
    <col min="15344" max="15344" width="19.140625" style="381" customWidth="1"/>
    <col min="15345" max="15345" width="11.5703125" style="381" customWidth="1"/>
    <col min="15346" max="15347" width="11" style="381" bestFit="1" customWidth="1"/>
    <col min="15348" max="15348" width="10.5703125" style="381" bestFit="1" customWidth="1"/>
    <col min="15349" max="15349" width="9.7109375" style="381" customWidth="1"/>
    <col min="15350" max="15350" width="9.5703125" style="381" bestFit="1" customWidth="1"/>
    <col min="15351" max="15351" width="9" style="381" bestFit="1" customWidth="1"/>
    <col min="15352" max="15352" width="1.7109375" style="381" customWidth="1"/>
    <col min="15353" max="15353" width="15.85546875" style="381" customWidth="1"/>
    <col min="15354" max="15354" width="24.5703125" style="381" customWidth="1"/>
    <col min="15355" max="15355" width="11.5703125" style="381" bestFit="1" customWidth="1"/>
    <col min="15356" max="15360" width="11.42578125" style="381" customWidth="1"/>
    <col min="15361" max="15361" width="19.42578125" style="381" customWidth="1"/>
    <col min="15362" max="15362" width="11.5703125" style="381" customWidth="1"/>
    <col min="15363" max="15370" width="11.42578125" style="381" customWidth="1"/>
    <col min="15371" max="15599" width="11.42578125" style="381"/>
    <col min="15600" max="15600" width="19.140625" style="381" customWidth="1"/>
    <col min="15601" max="15601" width="11.5703125" style="381" customWidth="1"/>
    <col min="15602" max="15603" width="11" style="381" bestFit="1" customWidth="1"/>
    <col min="15604" max="15604" width="10.5703125" style="381" bestFit="1" customWidth="1"/>
    <col min="15605" max="15605" width="9.7109375" style="381" customWidth="1"/>
    <col min="15606" max="15606" width="9.5703125" style="381" bestFit="1" customWidth="1"/>
    <col min="15607" max="15607" width="9" style="381" bestFit="1" customWidth="1"/>
    <col min="15608" max="15608" width="1.7109375" style="381" customWidth="1"/>
    <col min="15609" max="15609" width="15.85546875" style="381" customWidth="1"/>
    <col min="15610" max="15610" width="24.5703125" style="381" customWidth="1"/>
    <col min="15611" max="15611" width="11.5703125" style="381" bestFit="1" customWidth="1"/>
    <col min="15612" max="15616" width="11.42578125" style="381" customWidth="1"/>
    <col min="15617" max="15617" width="19.42578125" style="381" customWidth="1"/>
    <col min="15618" max="15618" width="11.5703125" style="381" customWidth="1"/>
    <col min="15619" max="15626" width="11.42578125" style="381" customWidth="1"/>
    <col min="15627" max="15855" width="11.42578125" style="381"/>
    <col min="15856" max="15856" width="19.140625" style="381" customWidth="1"/>
    <col min="15857" max="15857" width="11.5703125" style="381" customWidth="1"/>
    <col min="15858" max="15859" width="11" style="381" bestFit="1" customWidth="1"/>
    <col min="15860" max="15860" width="10.5703125" style="381" bestFit="1" customWidth="1"/>
    <col min="15861" max="15861" width="9.7109375" style="381" customWidth="1"/>
    <col min="15862" max="15862" width="9.5703125" style="381" bestFit="1" customWidth="1"/>
    <col min="15863" max="15863" width="9" style="381" bestFit="1" customWidth="1"/>
    <col min="15864" max="15864" width="1.7109375" style="381" customWidth="1"/>
    <col min="15865" max="15865" width="15.85546875" style="381" customWidth="1"/>
    <col min="15866" max="15866" width="24.5703125" style="381" customWidth="1"/>
    <col min="15867" max="15867" width="11.5703125" style="381" bestFit="1" customWidth="1"/>
    <col min="15868" max="15872" width="11.42578125" style="381" customWidth="1"/>
    <col min="15873" max="15873" width="19.42578125" style="381" customWidth="1"/>
    <col min="15874" max="15874" width="11.5703125" style="381" customWidth="1"/>
    <col min="15875" max="15882" width="11.42578125" style="381" customWidth="1"/>
    <col min="15883" max="16111" width="11.42578125" style="381"/>
    <col min="16112" max="16112" width="19.140625" style="381" customWidth="1"/>
    <col min="16113" max="16113" width="11.5703125" style="381" customWidth="1"/>
    <col min="16114" max="16115" width="11" style="381" bestFit="1" customWidth="1"/>
    <col min="16116" max="16116" width="10.5703125" style="381" bestFit="1" customWidth="1"/>
    <col min="16117" max="16117" width="9.7109375" style="381" customWidth="1"/>
    <col min="16118" max="16118" width="9.5703125" style="381" bestFit="1" customWidth="1"/>
    <col min="16119" max="16119" width="9" style="381" bestFit="1" customWidth="1"/>
    <col min="16120" max="16120" width="1.7109375" style="381" customWidth="1"/>
    <col min="16121" max="16121" width="15.85546875" style="381" customWidth="1"/>
    <col min="16122" max="16122" width="24.5703125" style="381" customWidth="1"/>
    <col min="16123" max="16123" width="11.5703125" style="381" bestFit="1" customWidth="1"/>
    <col min="16124" max="16128" width="11.42578125" style="381" customWidth="1"/>
    <col min="16129" max="16129" width="19.42578125" style="381" customWidth="1"/>
    <col min="16130" max="16130" width="11.5703125" style="381" customWidth="1"/>
    <col min="16131" max="16138" width="11.42578125" style="381" customWidth="1"/>
    <col min="16139" max="16384" width="11.42578125" style="381"/>
  </cols>
  <sheetData>
    <row r="1" spans="1:10">
      <c r="A1" s="380" t="s">
        <v>322</v>
      </c>
    </row>
    <row r="2" spans="1:10">
      <c r="A2" s="380" t="s">
        <v>323</v>
      </c>
    </row>
    <row r="3" spans="1:10">
      <c r="A3" s="383">
        <v>43100</v>
      </c>
    </row>
    <row r="4" spans="1:10">
      <c r="A4" s="383"/>
    </row>
    <row r="5" spans="1:10">
      <c r="B5" s="380"/>
      <c r="C5" s="380"/>
      <c r="D5" s="380"/>
      <c r="E5" s="380"/>
      <c r="F5" s="384" t="s">
        <v>324</v>
      </c>
      <c r="G5" s="384" t="s">
        <v>325</v>
      </c>
      <c r="H5" s="384" t="s">
        <v>326</v>
      </c>
    </row>
    <row r="6" spans="1:10">
      <c r="B6" s="384" t="s">
        <v>327</v>
      </c>
      <c r="C6" s="384" t="s">
        <v>328</v>
      </c>
      <c r="D6" s="384" t="s">
        <v>156</v>
      </c>
      <c r="E6" s="384" t="s">
        <v>329</v>
      </c>
      <c r="F6" s="384" t="s">
        <v>330</v>
      </c>
      <c r="G6" s="384" t="s">
        <v>330</v>
      </c>
      <c r="H6" s="384" t="s">
        <v>331</v>
      </c>
    </row>
    <row r="7" spans="1:10" ht="18" customHeight="1">
      <c r="B7" s="384"/>
      <c r="C7" s="384"/>
      <c r="D7" s="384" t="s">
        <v>327</v>
      </c>
      <c r="E7" s="384" t="s">
        <v>156</v>
      </c>
      <c r="F7" s="386">
        <v>42736</v>
      </c>
      <c r="G7" s="387">
        <v>43100</v>
      </c>
      <c r="H7" s="387">
        <f>G7</f>
        <v>43100</v>
      </c>
    </row>
    <row r="8" spans="1:10">
      <c r="A8" s="388" t="s">
        <v>334</v>
      </c>
    </row>
    <row r="9" spans="1:10">
      <c r="A9" s="381" t="s">
        <v>335</v>
      </c>
      <c r="B9" s="389">
        <f>'[48]Depr Summary'!B9</f>
        <v>734640.29142857133</v>
      </c>
      <c r="C9" s="389">
        <f>B9-D9</f>
        <v>0</v>
      </c>
      <c r="D9" s="389">
        <f>'[48]Depr Summary'!D9</f>
        <v>734640.29142857133</v>
      </c>
      <c r="E9" s="389">
        <f>'[48]Depr Summary'!E9</f>
        <v>121205.9375752381</v>
      </c>
      <c r="F9" s="389">
        <f>'[48]Depr Summary'!F9</f>
        <v>172969.86106476191</v>
      </c>
      <c r="G9" s="389">
        <f>'[48]Depr Summary'!G9</f>
        <v>294175.79863999994</v>
      </c>
      <c r="H9" s="389">
        <f>'[48]Depr Summary'!H9</f>
        <v>501067.46157619054</v>
      </c>
    </row>
    <row r="10" spans="1:10">
      <c r="B10" s="389"/>
      <c r="C10" s="389"/>
      <c r="D10" s="389"/>
      <c r="E10" s="389"/>
      <c r="F10" s="389"/>
      <c r="G10" s="389"/>
      <c r="H10" s="389"/>
    </row>
    <row r="11" spans="1:10">
      <c r="A11" s="381" t="s">
        <v>336</v>
      </c>
      <c r="B11" s="389">
        <f>'[48]Depr Summary'!B11</f>
        <v>215848.56857142859</v>
      </c>
      <c r="C11" s="389">
        <f>B11-D11</f>
        <v>0</v>
      </c>
      <c r="D11" s="389">
        <f>'[48]Depr Summary'!D11</f>
        <v>215848.56857142859</v>
      </c>
      <c r="E11" s="389">
        <f>'[48]Depr Summary'!E11</f>
        <v>45173.030537777784</v>
      </c>
      <c r="F11" s="389">
        <f>'[48]Depr Summary'!F11</f>
        <v>39722.215958095243</v>
      </c>
      <c r="G11" s="389">
        <f>'[48]Depr Summary'!G11</f>
        <v>84895.246495873012</v>
      </c>
      <c r="H11" s="389">
        <f>'[48]Depr Summary'!H11</f>
        <v>153539.83734444442</v>
      </c>
    </row>
    <row r="12" spans="1:10">
      <c r="B12" s="389"/>
      <c r="C12" s="389"/>
      <c r="D12" s="389"/>
      <c r="E12" s="389"/>
      <c r="F12" s="389"/>
      <c r="G12" s="389"/>
      <c r="H12" s="389"/>
    </row>
    <row r="13" spans="1:10" s="380" customFormat="1" ht="12.75" thickBot="1">
      <c r="A13" s="390" t="s">
        <v>337</v>
      </c>
      <c r="B13" s="391">
        <f t="shared" ref="B13:H13" si="0">SUM(B9:B12)</f>
        <v>950488.85999999987</v>
      </c>
      <c r="C13" s="391">
        <f t="shared" si="0"/>
        <v>0</v>
      </c>
      <c r="D13" s="391">
        <f t="shared" si="0"/>
        <v>950488.85999999987</v>
      </c>
      <c r="E13" s="391">
        <f t="shared" si="0"/>
        <v>166378.96811301587</v>
      </c>
      <c r="F13" s="391">
        <f t="shared" si="0"/>
        <v>212692.07702285715</v>
      </c>
      <c r="G13" s="391">
        <f t="shared" si="0"/>
        <v>379071.04513587296</v>
      </c>
      <c r="H13" s="391">
        <f t="shared" si="0"/>
        <v>654607.2989206349</v>
      </c>
      <c r="J13" s="385"/>
    </row>
    <row r="14" spans="1:10">
      <c r="B14" s="389"/>
      <c r="C14" s="389"/>
      <c r="D14" s="389"/>
      <c r="E14" s="389"/>
      <c r="F14" s="389"/>
      <c r="G14" s="389"/>
      <c r="H14" s="389"/>
    </row>
    <row r="15" spans="1:10">
      <c r="A15" s="388" t="s">
        <v>338</v>
      </c>
      <c r="B15" s="389"/>
      <c r="C15" s="389"/>
      <c r="D15" s="389"/>
      <c r="E15" s="389"/>
      <c r="F15" s="389"/>
      <c r="G15" s="389"/>
      <c r="H15" s="389"/>
    </row>
    <row r="16" spans="1:10">
      <c r="A16" s="381" t="s">
        <v>335</v>
      </c>
      <c r="B16" s="389">
        <f>'[48]Depr Summary'!B16</f>
        <v>147439.66</v>
      </c>
      <c r="C16" s="389">
        <v>0</v>
      </c>
      <c r="D16" s="389">
        <f>'[48]Depr Summary'!D16</f>
        <v>147439.66</v>
      </c>
      <c r="E16" s="389">
        <f>'[48]Depr Summary'!E16</f>
        <v>15509.443777777498</v>
      </c>
      <c r="F16" s="389">
        <f>'[48]Depr Summary'!F16</f>
        <v>18600</v>
      </c>
      <c r="G16" s="389">
        <f>'[48]Depr Summary'!G16</f>
        <v>37247.595499999843</v>
      </c>
      <c r="H16" s="389">
        <f>'[48]Depr Summary'!H16</f>
        <v>95681.786388888897</v>
      </c>
    </row>
    <row r="17" spans="1:10">
      <c r="B17" s="389"/>
      <c r="C17" s="389"/>
      <c r="D17" s="389"/>
      <c r="E17" s="389"/>
      <c r="F17" s="389"/>
      <c r="G17" s="389"/>
      <c r="H17" s="389"/>
    </row>
    <row r="18" spans="1:10">
      <c r="A18" s="381" t="s">
        <v>339</v>
      </c>
      <c r="B18" s="389">
        <f>'[48]Depr Summary'!B18</f>
        <v>132903.5</v>
      </c>
      <c r="C18" s="389">
        <v>0</v>
      </c>
      <c r="D18" s="389">
        <f>'[48]Depr Summary'!D18</f>
        <v>132903.5</v>
      </c>
      <c r="E18" s="389">
        <f>'[48]Depr Summary'!E18</f>
        <v>14356.783333333138</v>
      </c>
      <c r="F18" s="389">
        <f>'[48]Depr Summary'!F18</f>
        <v>19885.420833333355</v>
      </c>
      <c r="G18" s="389">
        <f>'[48]Depr Summary'!G18</f>
        <v>34242.204166666495</v>
      </c>
      <c r="H18" s="389">
        <f>'[48]Depr Summary'!H18</f>
        <v>90371.687500000073</v>
      </c>
    </row>
    <row r="19" spans="1:10">
      <c r="B19" s="389"/>
      <c r="C19" s="389"/>
      <c r="D19" s="389"/>
      <c r="E19" s="389"/>
      <c r="F19" s="389"/>
      <c r="G19" s="389"/>
      <c r="H19" s="389"/>
    </row>
    <row r="20" spans="1:10">
      <c r="B20" s="389"/>
      <c r="C20" s="389"/>
      <c r="D20" s="389"/>
      <c r="E20" s="389"/>
      <c r="F20" s="389"/>
      <c r="G20" s="389"/>
      <c r="H20" s="389"/>
    </row>
    <row r="21" spans="1:10" s="380" customFormat="1" ht="12.75" thickBot="1">
      <c r="A21" s="390" t="s">
        <v>340</v>
      </c>
      <c r="B21" s="391">
        <f>SUM(B16:B20)</f>
        <v>280343.16000000003</v>
      </c>
      <c r="C21" s="391">
        <f>SUM(C16:C20)</f>
        <v>0</v>
      </c>
      <c r="D21" s="391">
        <f>SUM(D16:D20)</f>
        <v>280343.16000000003</v>
      </c>
      <c r="E21" s="391">
        <f>SUM(E16:E19)</f>
        <v>29866.227111110638</v>
      </c>
      <c r="F21" s="391">
        <f>SUM(F16:F20)</f>
        <v>38485.420833333352</v>
      </c>
      <c r="G21" s="391">
        <f>SUM(G16:G20)</f>
        <v>71489.799666666338</v>
      </c>
      <c r="H21" s="391">
        <f>SUM(H16:H20)</f>
        <v>186053.47388888896</v>
      </c>
      <c r="J21" s="385"/>
    </row>
    <row r="22" spans="1:10">
      <c r="B22" s="389"/>
      <c r="C22" s="389"/>
      <c r="D22" s="389"/>
      <c r="E22" s="389"/>
      <c r="F22" s="389"/>
      <c r="G22" s="389"/>
      <c r="H22" s="389"/>
    </row>
    <row r="23" spans="1:10">
      <c r="A23" s="381" t="s">
        <v>341</v>
      </c>
      <c r="B23" s="389">
        <f>'[48]Depr Summary'!B23</f>
        <v>0</v>
      </c>
      <c r="C23" s="389">
        <f>B23-D23</f>
        <v>0</v>
      </c>
      <c r="D23" s="389">
        <f>'[48]Depr Summary'!D23</f>
        <v>0</v>
      </c>
      <c r="E23" s="389">
        <f>'[48]Depr Summary'!E23</f>
        <v>0</v>
      </c>
      <c r="F23" s="389">
        <f>'[48]Depr Summary'!F23</f>
        <v>0</v>
      </c>
      <c r="G23" s="389">
        <f>'[48]Depr Summary'!G23</f>
        <v>0</v>
      </c>
      <c r="H23" s="389">
        <f>'[48]Depr Summary'!H23</f>
        <v>0</v>
      </c>
    </row>
    <row r="24" spans="1:10">
      <c r="B24" s="389"/>
      <c r="C24" s="389"/>
      <c r="D24" s="389"/>
      <c r="E24" s="389"/>
      <c r="F24" s="389"/>
      <c r="G24" s="389"/>
      <c r="H24" s="389"/>
    </row>
    <row r="25" spans="1:10">
      <c r="A25" s="381" t="s">
        <v>342</v>
      </c>
      <c r="B25" s="389">
        <f>'[48]Depr Summary'!B25</f>
        <v>67415.540000000008</v>
      </c>
      <c r="C25" s="389">
        <v>0</v>
      </c>
      <c r="D25" s="389">
        <f>'[48]Depr Summary'!D25</f>
        <v>67415.540000000008</v>
      </c>
      <c r="E25" s="389">
        <f>'[48]Depr Summary'!E25</f>
        <v>14554.21441</v>
      </c>
      <c r="F25" s="389">
        <f>'[48]Depr Summary'!F25</f>
        <v>15497.803933333993</v>
      </c>
      <c r="G25" s="389">
        <f>'[48]Depr Summary'!G25</f>
        <v>30052.018343333992</v>
      </c>
      <c r="H25" s="389">
        <f>'[48]Depr Summary'!H25</f>
        <v>33929.564761666006</v>
      </c>
    </row>
    <row r="26" spans="1:10">
      <c r="B26" s="389"/>
      <c r="C26" s="389"/>
      <c r="D26" s="389"/>
      <c r="E26" s="389"/>
      <c r="F26" s="389"/>
      <c r="G26" s="389"/>
      <c r="H26" s="389"/>
    </row>
    <row r="27" spans="1:10">
      <c r="A27" s="381" t="s">
        <v>343</v>
      </c>
      <c r="B27" s="389">
        <f>'[48]Depr Summary'!B27</f>
        <v>8559.24</v>
      </c>
      <c r="C27" s="389">
        <v>0</v>
      </c>
      <c r="D27" s="389">
        <f>'[48]Depr Summary'!D27</f>
        <v>8559.24</v>
      </c>
      <c r="E27" s="389">
        <f>'[48]Depr Summary'!E27</f>
        <v>1709.0439999999999</v>
      </c>
      <c r="F27" s="389">
        <f>'[48]Depr Summary'!F27</f>
        <v>3418.0880000000002</v>
      </c>
      <c r="G27" s="389">
        <f>'[48]Depr Summary'!G27</f>
        <v>5127.1320000000005</v>
      </c>
      <c r="H27" s="389">
        <f>'[48]Depr Summary'!H27</f>
        <v>4286.63</v>
      </c>
    </row>
    <row r="28" spans="1:10">
      <c r="B28" s="389"/>
      <c r="C28" s="389"/>
      <c r="D28" s="389"/>
      <c r="E28" s="389"/>
      <c r="F28" s="389"/>
      <c r="G28" s="389"/>
      <c r="H28" s="389"/>
    </row>
    <row r="29" spans="1:10">
      <c r="B29" s="389"/>
      <c r="C29" s="389"/>
      <c r="D29" s="389"/>
      <c r="E29" s="389"/>
      <c r="F29" s="389"/>
      <c r="G29" s="389"/>
      <c r="H29" s="389"/>
    </row>
    <row r="30" spans="1:10" ht="12.75" thickBot="1">
      <c r="A30" s="392"/>
      <c r="B30" s="391">
        <f t="shared" ref="B30:H30" si="1">SUM(B23:B28)</f>
        <v>75974.780000000013</v>
      </c>
      <c r="C30" s="391">
        <f t="shared" si="1"/>
        <v>0</v>
      </c>
      <c r="D30" s="391">
        <f t="shared" si="1"/>
        <v>75974.780000000013</v>
      </c>
      <c r="E30" s="391">
        <f t="shared" si="1"/>
        <v>16263.25841</v>
      </c>
      <c r="F30" s="391">
        <f t="shared" si="1"/>
        <v>18915.891933333995</v>
      </c>
      <c r="G30" s="391">
        <f t="shared" si="1"/>
        <v>35179.150343333989</v>
      </c>
      <c r="H30" s="391">
        <f t="shared" si="1"/>
        <v>38216.194761666004</v>
      </c>
    </row>
    <row r="31" spans="1:10">
      <c r="B31" s="389"/>
      <c r="C31" s="389"/>
      <c r="D31" s="389"/>
      <c r="E31" s="389"/>
      <c r="F31" s="389"/>
      <c r="G31" s="389"/>
      <c r="H31" s="389"/>
    </row>
    <row r="32" spans="1:10" ht="12.75" thickBot="1">
      <c r="A32" s="390" t="s">
        <v>344</v>
      </c>
      <c r="B32" s="391">
        <f t="shared" ref="B32:H32" si="2">B13+B21+B30</f>
        <v>1306806.8</v>
      </c>
      <c r="C32" s="391">
        <f t="shared" si="2"/>
        <v>0</v>
      </c>
      <c r="D32" s="391">
        <f t="shared" si="2"/>
        <v>1306806.8</v>
      </c>
      <c r="E32" s="391">
        <f t="shared" si="2"/>
        <v>212508.45363412652</v>
      </c>
      <c r="F32" s="391">
        <f t="shared" si="2"/>
        <v>270093.38978952449</v>
      </c>
      <c r="G32" s="391">
        <f t="shared" si="2"/>
        <v>485739.99514587334</v>
      </c>
      <c r="H32" s="391">
        <f t="shared" si="2"/>
        <v>878876.96757118986</v>
      </c>
    </row>
    <row r="33" spans="2:8">
      <c r="B33" s="382"/>
      <c r="C33" s="382"/>
      <c r="D33" s="382"/>
      <c r="E33" s="382"/>
      <c r="F33" s="382"/>
      <c r="G33" s="382"/>
      <c r="H33" s="382"/>
    </row>
    <row r="34" spans="2:8">
      <c r="B34" s="393"/>
      <c r="C34" s="393"/>
      <c r="D34" s="393"/>
      <c r="E34" s="393"/>
      <c r="F34" s="393"/>
      <c r="G34" s="393"/>
      <c r="H34" s="393"/>
    </row>
    <row r="37" spans="2:8">
      <c r="E37" s="394"/>
    </row>
  </sheetData>
  <pageMargins left="0.75" right="0.75" top="1" bottom="1" header="0.5" footer="0.5"/>
  <pageSetup orientation="portrait" horizontalDpi="300" verticalDpi="300" r:id="rId1"/>
  <headerFooter alignWithMargins="0"/>
  <rowBreaks count="1" manualBreakCount="1">
    <brk id="34" max="8" man="1"/>
  </row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R42"/>
  <sheetViews>
    <sheetView showGridLines="0" zoomScale="85" zoomScaleNormal="85" workbookViewId="0">
      <selection activeCell="B1" sqref="B1:O41"/>
    </sheetView>
  </sheetViews>
  <sheetFormatPr defaultRowHeight="15"/>
  <cols>
    <col min="1" max="1" width="1.7109375" style="704" customWidth="1"/>
    <col min="2" max="2" width="22.7109375" style="704" customWidth="1"/>
    <col min="3" max="14" width="11.5703125" style="704" customWidth="1"/>
    <col min="15" max="15" width="12.5703125" style="704" bestFit="1" customWidth="1"/>
    <col min="16" max="16" width="9.140625" style="704"/>
    <col min="17" max="17" width="11.28515625" style="704" bestFit="1" customWidth="1"/>
    <col min="18" max="18" width="10.5703125" style="704" bestFit="1" customWidth="1"/>
    <col min="19" max="16384" width="9.140625" style="704"/>
  </cols>
  <sheetData>
    <row r="1" spans="1:18">
      <c r="B1" s="707" t="s">
        <v>588</v>
      </c>
    </row>
    <row r="2" spans="1:18">
      <c r="B2" s="707" t="s">
        <v>1237</v>
      </c>
    </row>
    <row r="4" spans="1:18">
      <c r="B4" s="619"/>
      <c r="C4" s="743"/>
      <c r="D4" s="743"/>
      <c r="E4" s="743"/>
      <c r="F4" s="743"/>
      <c r="G4" s="743"/>
      <c r="H4" s="743"/>
      <c r="I4" s="743"/>
      <c r="J4" s="743"/>
      <c r="K4" s="743"/>
      <c r="L4" s="743"/>
      <c r="M4" s="743"/>
      <c r="N4" s="743"/>
      <c r="O4" s="620"/>
    </row>
    <row r="5" spans="1:18">
      <c r="B5" s="621" t="s">
        <v>1238</v>
      </c>
      <c r="C5" s="705"/>
      <c r="D5" s="705"/>
      <c r="E5" s="705"/>
      <c r="F5" s="705"/>
      <c r="G5" s="705"/>
      <c r="H5" s="705"/>
      <c r="I5" s="705"/>
      <c r="J5" s="705"/>
      <c r="K5" s="705"/>
      <c r="L5" s="705"/>
      <c r="M5" s="705"/>
      <c r="N5" s="705"/>
      <c r="O5" s="701"/>
    </row>
    <row r="6" spans="1:18">
      <c r="B6" s="622"/>
      <c r="C6" s="705"/>
      <c r="D6" s="705"/>
      <c r="E6" s="705"/>
      <c r="F6" s="705"/>
      <c r="G6" s="705"/>
      <c r="H6" s="705"/>
      <c r="I6" s="705"/>
      <c r="J6" s="705"/>
      <c r="K6" s="705"/>
      <c r="L6" s="705"/>
      <c r="M6" s="705"/>
      <c r="N6" s="705"/>
      <c r="O6" s="701"/>
    </row>
    <row r="7" spans="1:18" s="707" customFormat="1">
      <c r="B7" s="623"/>
      <c r="C7" s="624">
        <v>42736</v>
      </c>
      <c r="D7" s="624">
        <f t="shared" ref="D7:N7" si="0">+C7+31</f>
        <v>42767</v>
      </c>
      <c r="E7" s="624">
        <f t="shared" si="0"/>
        <v>42798</v>
      </c>
      <c r="F7" s="624">
        <f t="shared" si="0"/>
        <v>42829</v>
      </c>
      <c r="G7" s="624">
        <f t="shared" si="0"/>
        <v>42860</v>
      </c>
      <c r="H7" s="624">
        <f t="shared" si="0"/>
        <v>42891</v>
      </c>
      <c r="I7" s="624">
        <f t="shared" si="0"/>
        <v>42922</v>
      </c>
      <c r="J7" s="624">
        <f t="shared" si="0"/>
        <v>42953</v>
      </c>
      <c r="K7" s="624">
        <f t="shared" si="0"/>
        <v>42984</v>
      </c>
      <c r="L7" s="624">
        <f t="shared" si="0"/>
        <v>43015</v>
      </c>
      <c r="M7" s="624">
        <f t="shared" si="0"/>
        <v>43046</v>
      </c>
      <c r="N7" s="624">
        <f t="shared" si="0"/>
        <v>43077</v>
      </c>
      <c r="O7" s="625" t="s">
        <v>1239</v>
      </c>
    </row>
    <row r="8" spans="1:18">
      <c r="A8" s="700"/>
      <c r="B8" s="623" t="s">
        <v>1240</v>
      </c>
      <c r="C8" s="709">
        <f>+C12/70</f>
        <v>93.12</v>
      </c>
      <c r="D8" s="709">
        <f>+D12/70</f>
        <v>225.10999999999999</v>
      </c>
      <c r="E8" s="709">
        <f>+E12/70</f>
        <v>268.04999999999995</v>
      </c>
      <c r="F8" s="709">
        <f>+F12/70</f>
        <v>208.85</v>
      </c>
      <c r="G8" s="618">
        <f>+G12/71.16</f>
        <v>271.64137155705453</v>
      </c>
      <c r="H8" s="618">
        <f t="shared" ref="H8:N8" si="1">+H12/71.16</f>
        <v>329.40781337830248</v>
      </c>
      <c r="I8" s="618">
        <f t="shared" si="1"/>
        <v>166.57855536818437</v>
      </c>
      <c r="J8" s="618">
        <f t="shared" si="1"/>
        <v>123.75969645868466</v>
      </c>
      <c r="K8" s="618">
        <f t="shared" si="1"/>
        <v>117.42046093310852</v>
      </c>
      <c r="L8" s="618">
        <f t="shared" si="1"/>
        <v>201.67720629567177</v>
      </c>
      <c r="M8" s="618">
        <f t="shared" si="1"/>
        <v>136.46107363687463</v>
      </c>
      <c r="N8" s="618">
        <f t="shared" si="1"/>
        <v>79.364249578414857</v>
      </c>
      <c r="O8" s="626">
        <f>SUM(C8:N8)</f>
        <v>2221.4404272062957</v>
      </c>
    </row>
    <row r="9" spans="1:18">
      <c r="A9" s="700"/>
      <c r="B9" s="623" t="s">
        <v>1241</v>
      </c>
      <c r="C9" s="709">
        <f>C13/70</f>
        <v>155.79571428571424</v>
      </c>
      <c r="D9" s="709">
        <f t="shared" ref="D9:F9" si="2">D13/70</f>
        <v>88.540142857142897</v>
      </c>
      <c r="E9" s="709">
        <f t="shared" si="2"/>
        <v>159.77571428571432</v>
      </c>
      <c r="F9" s="709">
        <f t="shared" si="2"/>
        <v>368.94357142857149</v>
      </c>
      <c r="G9" s="709">
        <f>G13/71.16</f>
        <v>128.82209106239461</v>
      </c>
      <c r="H9" s="709">
        <f t="shared" ref="H9:N9" si="3">H13/71.16</f>
        <v>224.34218662169752</v>
      </c>
      <c r="I9" s="709">
        <f t="shared" si="3"/>
        <v>322.61439010680164</v>
      </c>
      <c r="J9" s="709">
        <f t="shared" si="3"/>
        <v>269.420741989882</v>
      </c>
      <c r="K9" s="709">
        <f t="shared" si="3"/>
        <v>303.7377740303541</v>
      </c>
      <c r="L9" s="709">
        <f t="shared" si="3"/>
        <v>223.82363687464866</v>
      </c>
      <c r="M9" s="709">
        <f t="shared" si="3"/>
        <v>234.32813378302419</v>
      </c>
      <c r="N9" s="709">
        <f t="shared" si="3"/>
        <v>207.56661045531197</v>
      </c>
      <c r="O9" s="663">
        <f>SUM(C9:N9)</f>
        <v>2687.710707781258</v>
      </c>
    </row>
    <row r="10" spans="1:18">
      <c r="A10" s="700"/>
      <c r="B10" s="623"/>
      <c r="C10" s="699">
        <f>SUM(C8:C9)</f>
        <v>248.91571428571424</v>
      </c>
      <c r="D10" s="699">
        <f t="shared" ref="D10:N10" si="4">SUM(D8:D9)</f>
        <v>313.6501428571429</v>
      </c>
      <c r="E10" s="699">
        <f t="shared" si="4"/>
        <v>427.8257142857143</v>
      </c>
      <c r="F10" s="699">
        <f t="shared" si="4"/>
        <v>577.79357142857145</v>
      </c>
      <c r="G10" s="699">
        <f t="shared" si="4"/>
        <v>400.46346261944916</v>
      </c>
      <c r="H10" s="699">
        <f t="shared" si="4"/>
        <v>553.75</v>
      </c>
      <c r="I10" s="699">
        <f t="shared" si="4"/>
        <v>489.192945474986</v>
      </c>
      <c r="J10" s="699">
        <f t="shared" si="4"/>
        <v>393.18043844856663</v>
      </c>
      <c r="K10" s="699">
        <f t="shared" si="4"/>
        <v>421.15823496346263</v>
      </c>
      <c r="L10" s="699">
        <f t="shared" si="4"/>
        <v>425.50084317032042</v>
      </c>
      <c r="M10" s="699">
        <f t="shared" si="4"/>
        <v>370.78920741989884</v>
      </c>
      <c r="N10" s="699">
        <f t="shared" si="4"/>
        <v>286.93086003372684</v>
      </c>
      <c r="O10" s="627">
        <f>SUM(O8:O9)</f>
        <v>4909.1511349875536</v>
      </c>
    </row>
    <row r="11" spans="1:18">
      <c r="A11" s="700"/>
      <c r="B11" s="654" t="s">
        <v>312</v>
      </c>
      <c r="C11" s="697">
        <f>C14-(C10*70)</f>
        <v>0</v>
      </c>
      <c r="D11" s="697">
        <f t="shared" ref="D11:F11" si="5">D14-(D10*70)</f>
        <v>0</v>
      </c>
      <c r="E11" s="697">
        <f t="shared" si="5"/>
        <v>0</v>
      </c>
      <c r="F11" s="697">
        <f t="shared" si="5"/>
        <v>0</v>
      </c>
      <c r="G11" s="697">
        <f>G14-(G10*71.16)</f>
        <v>0</v>
      </c>
      <c r="H11" s="697">
        <f t="shared" ref="H11:N11" si="6">H14-(H10*71.16)</f>
        <v>0</v>
      </c>
      <c r="I11" s="697">
        <f t="shared" si="6"/>
        <v>0</v>
      </c>
      <c r="J11" s="697">
        <f t="shared" si="6"/>
        <v>0</v>
      </c>
      <c r="K11" s="697">
        <f t="shared" si="6"/>
        <v>0</v>
      </c>
      <c r="L11" s="697">
        <f t="shared" si="6"/>
        <v>0</v>
      </c>
      <c r="M11" s="697">
        <f t="shared" si="6"/>
        <v>0</v>
      </c>
      <c r="N11" s="697">
        <f t="shared" si="6"/>
        <v>0</v>
      </c>
      <c r="O11" s="701"/>
    </row>
    <row r="12" spans="1:18" ht="15.75" customHeight="1">
      <c r="B12" s="623" t="s">
        <v>1242</v>
      </c>
      <c r="C12" s="653">
        <f>-'[49]31005 RO PT'!E198</f>
        <v>6518.4000000000005</v>
      </c>
      <c r="D12" s="653">
        <f>-'[49]31005 RO PT'!E199</f>
        <v>15757.699999999999</v>
      </c>
      <c r="E12" s="653">
        <f>-'[49]31005 RO PT'!E200</f>
        <v>18763.499999999996</v>
      </c>
      <c r="F12" s="653">
        <f>-'[49]31005 RO PT'!E201</f>
        <v>14619.5</v>
      </c>
      <c r="G12" s="653">
        <f>-'[49]31005 RO PT'!E202</f>
        <v>19330</v>
      </c>
      <c r="H12" s="653">
        <f>-'[49]31005 RO PT'!E203</f>
        <v>23440.660000000003</v>
      </c>
      <c r="I12" s="653">
        <f>-'[49]31005 RO PT'!E204</f>
        <v>11853.73</v>
      </c>
      <c r="J12" s="653">
        <f>-'[49]31005 RO PT'!E205</f>
        <v>8806.74</v>
      </c>
      <c r="K12" s="653">
        <f>-'[49]31005 RO PT'!E206</f>
        <v>8355.6400000000012</v>
      </c>
      <c r="L12" s="653">
        <f>-'[49]31005 RO PT'!E207</f>
        <v>14351.350000000002</v>
      </c>
      <c r="M12" s="653">
        <f>-'[49]31005 RO PT'!E208</f>
        <v>9710.5699999999979</v>
      </c>
      <c r="N12" s="653">
        <f>-'[49]31005 RO PT'!E209</f>
        <v>5647.5600000000013</v>
      </c>
      <c r="O12" s="698">
        <f>SUM(C12:N12)</f>
        <v>157155.35</v>
      </c>
      <c r="Q12" s="713"/>
      <c r="R12" s="713"/>
    </row>
    <row r="13" spans="1:18">
      <c r="B13" s="623" t="s">
        <v>1243</v>
      </c>
      <c r="C13" s="718">
        <f>C14-C12</f>
        <v>10905.699999999997</v>
      </c>
      <c r="D13" s="718">
        <f>D14-D12</f>
        <v>6197.8100000000031</v>
      </c>
      <c r="E13" s="718">
        <f>E14-E12</f>
        <v>11184.300000000003</v>
      </c>
      <c r="F13" s="718">
        <f t="shared" ref="F13" si="7">F14-F12</f>
        <v>25826.050000000003</v>
      </c>
      <c r="G13" s="718">
        <f>G14-G12</f>
        <v>9166.98</v>
      </c>
      <c r="H13" s="718">
        <f t="shared" ref="H13" si="8">H14-H12</f>
        <v>15964.189999999995</v>
      </c>
      <c r="I13" s="718">
        <f>I14-I12</f>
        <v>22957.24</v>
      </c>
      <c r="J13" s="718">
        <f t="shared" ref="J13:K13" si="9">J14-J12</f>
        <v>19171.980000000003</v>
      </c>
      <c r="K13" s="718">
        <f t="shared" si="9"/>
        <v>21613.979999999996</v>
      </c>
      <c r="L13" s="718">
        <f>L14-L12</f>
        <v>15927.289999999997</v>
      </c>
      <c r="M13" s="718">
        <f>M14-M12</f>
        <v>16674.79</v>
      </c>
      <c r="N13" s="718">
        <f>N14-N12</f>
        <v>14770.439999999999</v>
      </c>
      <c r="O13" s="628">
        <f>SUM(C13:N13)</f>
        <v>190360.75</v>
      </c>
    </row>
    <row r="14" spans="1:18">
      <c r="B14" s="623" t="s">
        <v>1244</v>
      </c>
      <c r="C14" s="629">
        <f>'[49]40101 Disposal'!F142</f>
        <v>17424.099999999999</v>
      </c>
      <c r="D14" s="629">
        <f>'[49]40101 Disposal'!F143</f>
        <v>21955.510000000002</v>
      </c>
      <c r="E14" s="629">
        <f>'[49]40101 Disposal'!F144</f>
        <v>29947.8</v>
      </c>
      <c r="F14" s="629">
        <f>'[49]40101 Disposal'!F145</f>
        <v>40445.550000000003</v>
      </c>
      <c r="G14" s="629">
        <f>'[49]40101 Disposal'!F146</f>
        <v>28496.98</v>
      </c>
      <c r="H14" s="629">
        <f>'[49]40101 Disposal'!F147</f>
        <v>39404.85</v>
      </c>
      <c r="I14" s="629">
        <f>'[49]40101 Disposal'!F148</f>
        <v>34810.97</v>
      </c>
      <c r="J14" s="629">
        <f>'[49]40101 Disposal'!F149</f>
        <v>27978.720000000001</v>
      </c>
      <c r="K14" s="629">
        <f>'[49]40101 Disposal'!F150</f>
        <v>29969.62</v>
      </c>
      <c r="L14" s="629">
        <f>'[49]40101 Disposal'!F151</f>
        <v>30278.639999999999</v>
      </c>
      <c r="M14" s="629">
        <f>'[49]40101 Disposal'!F152</f>
        <v>26385.360000000001</v>
      </c>
      <c r="N14" s="629">
        <f>'[49]40101 Disposal'!F153</f>
        <v>20418</v>
      </c>
      <c r="O14" s="698">
        <f>SUM(O12:O13)</f>
        <v>347516.1</v>
      </c>
      <c r="Q14" s="713"/>
    </row>
    <row r="15" spans="1:18">
      <c r="B15" s="651"/>
      <c r="C15" s="714"/>
      <c r="D15" s="714"/>
      <c r="E15" s="714"/>
      <c r="F15" s="714"/>
      <c r="G15" s="714"/>
      <c r="H15" s="714"/>
      <c r="I15" s="714"/>
      <c r="J15" s="714"/>
      <c r="K15" s="714"/>
      <c r="L15" s="714"/>
      <c r="M15" s="714"/>
      <c r="N15" s="714"/>
      <c r="O15" s="664"/>
    </row>
    <row r="16" spans="1:18">
      <c r="B16" s="623"/>
      <c r="C16" s="705"/>
      <c r="D16" s="705"/>
      <c r="E16" s="705"/>
      <c r="F16" s="705"/>
      <c r="G16" s="705"/>
      <c r="H16" s="705"/>
      <c r="I16" s="705"/>
      <c r="J16" s="705"/>
      <c r="K16" s="705"/>
      <c r="L16" s="705"/>
      <c r="M16" s="705"/>
      <c r="N16" s="705"/>
      <c r="O16" s="701"/>
    </row>
    <row r="17" spans="2:18">
      <c r="B17" s="652" t="s">
        <v>1245</v>
      </c>
      <c r="C17" s="705"/>
      <c r="D17" s="705"/>
      <c r="E17" s="705"/>
      <c r="F17" s="705"/>
      <c r="G17" s="705"/>
      <c r="H17" s="705"/>
      <c r="I17" s="705"/>
      <c r="J17" s="705"/>
      <c r="K17" s="705"/>
      <c r="L17" s="705"/>
      <c r="M17" s="705"/>
      <c r="N17" s="705"/>
      <c r="O17" s="701"/>
    </row>
    <row r="18" spans="2:18">
      <c r="B18" s="623"/>
      <c r="C18" s="705"/>
      <c r="D18" s="705"/>
      <c r="E18" s="705"/>
      <c r="F18" s="705"/>
      <c r="G18" s="705"/>
      <c r="H18" s="705"/>
      <c r="I18" s="705"/>
      <c r="J18" s="705"/>
      <c r="K18" s="705"/>
      <c r="L18" s="705"/>
      <c r="M18" s="705"/>
      <c r="N18" s="705"/>
      <c r="O18" s="701"/>
    </row>
    <row r="19" spans="2:18" s="707" customFormat="1">
      <c r="B19" s="630"/>
      <c r="C19" s="624">
        <f>C7</f>
        <v>42736</v>
      </c>
      <c r="D19" s="624">
        <f t="shared" ref="D19:N19" si="10">+C19+31</f>
        <v>42767</v>
      </c>
      <c r="E19" s="624">
        <f t="shared" si="10"/>
        <v>42798</v>
      </c>
      <c r="F19" s="624">
        <f t="shared" si="10"/>
        <v>42829</v>
      </c>
      <c r="G19" s="624">
        <f t="shared" si="10"/>
        <v>42860</v>
      </c>
      <c r="H19" s="624">
        <f t="shared" si="10"/>
        <v>42891</v>
      </c>
      <c r="I19" s="624">
        <f t="shared" si="10"/>
        <v>42922</v>
      </c>
      <c r="J19" s="624">
        <f t="shared" si="10"/>
        <v>42953</v>
      </c>
      <c r="K19" s="624">
        <f t="shared" si="10"/>
        <v>42984</v>
      </c>
      <c r="L19" s="624">
        <f t="shared" si="10"/>
        <v>43015</v>
      </c>
      <c r="M19" s="624">
        <f t="shared" si="10"/>
        <v>43046</v>
      </c>
      <c r="N19" s="624">
        <f t="shared" si="10"/>
        <v>43077</v>
      </c>
      <c r="O19" s="631" t="s">
        <v>1239</v>
      </c>
    </row>
    <row r="20" spans="2:18">
      <c r="B20" s="630" t="s">
        <v>1246</v>
      </c>
      <c r="C20" s="632">
        <f>+C24/3.11</f>
        <v>0</v>
      </c>
      <c r="D20" s="632">
        <f t="shared" ref="D20:N21" si="11">+D24/3.11</f>
        <v>0</v>
      </c>
      <c r="E20" s="632">
        <f t="shared" si="11"/>
        <v>20</v>
      </c>
      <c r="F20" s="632">
        <f t="shared" si="11"/>
        <v>20</v>
      </c>
      <c r="G20" s="632">
        <f t="shared" si="11"/>
        <v>88</v>
      </c>
      <c r="H20" s="632">
        <f t="shared" si="11"/>
        <v>288.29903536977497</v>
      </c>
      <c r="I20" s="632">
        <f t="shared" si="11"/>
        <v>67</v>
      </c>
      <c r="J20" s="632">
        <f t="shared" si="11"/>
        <v>159.43729903536979</v>
      </c>
      <c r="K20" s="632">
        <f t="shared" si="11"/>
        <v>100</v>
      </c>
      <c r="L20" s="632">
        <f t="shared" si="11"/>
        <v>135</v>
      </c>
      <c r="M20" s="632">
        <f t="shared" si="11"/>
        <v>130</v>
      </c>
      <c r="N20" s="632">
        <f t="shared" si="11"/>
        <v>100</v>
      </c>
      <c r="O20" s="626">
        <f>SUM(C20:N20)</f>
        <v>1107.7363344051448</v>
      </c>
      <c r="P20" s="713"/>
    </row>
    <row r="21" spans="2:18">
      <c r="B21" s="630" t="s">
        <v>1247</v>
      </c>
      <c r="C21" s="632">
        <f>+C25/3.11</f>
        <v>120.77170418006429</v>
      </c>
      <c r="D21" s="632">
        <f t="shared" si="11"/>
        <v>174.17041800643085</v>
      </c>
      <c r="E21" s="632">
        <f t="shared" si="11"/>
        <v>-39.501607717041793</v>
      </c>
      <c r="F21" s="632">
        <f t="shared" si="11"/>
        <v>90.000000000000014</v>
      </c>
      <c r="G21" s="632">
        <f t="shared" si="11"/>
        <v>47.999999999999993</v>
      </c>
      <c r="H21" s="632">
        <f t="shared" si="11"/>
        <v>7.7009646302250223</v>
      </c>
      <c r="I21" s="632">
        <f t="shared" si="11"/>
        <v>95.000000000000043</v>
      </c>
      <c r="J21" s="632">
        <f>+J25/3.11</f>
        <v>-47.03215434083603</v>
      </c>
      <c r="K21" s="632">
        <f>+K25/3.11</f>
        <v>40.594855305466261</v>
      </c>
      <c r="L21" s="632">
        <f>+L25/3.11</f>
        <v>108.14469453376208</v>
      </c>
      <c r="M21" s="632">
        <f>+M25/3.11</f>
        <v>74.855305466237908</v>
      </c>
      <c r="N21" s="632">
        <f>+N25/3.11</f>
        <v>86.000000000000014</v>
      </c>
      <c r="O21" s="663">
        <f>SUM(C21:N21)</f>
        <v>758.70418006430862</v>
      </c>
    </row>
    <row r="22" spans="2:18">
      <c r="B22" s="630"/>
      <c r="C22" s="633">
        <f>SUM(C20:C21)</f>
        <v>120.77170418006429</v>
      </c>
      <c r="D22" s="633">
        <f>SUM(D20:D21)</f>
        <v>174.17041800643085</v>
      </c>
      <c r="E22" s="633">
        <f t="shared" ref="E22:N22" si="12">SUM(E20:E21)</f>
        <v>-19.501607717041793</v>
      </c>
      <c r="F22" s="633">
        <f t="shared" si="12"/>
        <v>110.00000000000001</v>
      </c>
      <c r="G22" s="633">
        <f t="shared" si="12"/>
        <v>136</v>
      </c>
      <c r="H22" s="633">
        <f t="shared" si="12"/>
        <v>296</v>
      </c>
      <c r="I22" s="633">
        <f t="shared" si="12"/>
        <v>162.00000000000006</v>
      </c>
      <c r="J22" s="633">
        <f t="shared" si="12"/>
        <v>112.40514469453376</v>
      </c>
      <c r="K22" s="633">
        <f t="shared" si="12"/>
        <v>140.59485530546627</v>
      </c>
      <c r="L22" s="633">
        <f t="shared" si="12"/>
        <v>243.14469453376208</v>
      </c>
      <c r="M22" s="633">
        <f t="shared" si="12"/>
        <v>204.85530546623789</v>
      </c>
      <c r="N22" s="633">
        <f t="shared" si="12"/>
        <v>186</v>
      </c>
      <c r="O22" s="655">
        <f>SUM(O20:O21)</f>
        <v>1866.4405144694533</v>
      </c>
    </row>
    <row r="23" spans="2:18">
      <c r="B23" s="654" t="s">
        <v>312</v>
      </c>
      <c r="C23" s="634">
        <f>C26-(C22*3.11)</f>
        <v>0</v>
      </c>
      <c r="D23" s="634">
        <f t="shared" ref="D23:N23" si="13">D26-(D22*3.11)</f>
        <v>0</v>
      </c>
      <c r="E23" s="634">
        <f t="shared" si="13"/>
        <v>0</v>
      </c>
      <c r="F23" s="634">
        <f t="shared" si="13"/>
        <v>0</v>
      </c>
      <c r="G23" s="634">
        <f t="shared" si="13"/>
        <v>0</v>
      </c>
      <c r="H23" s="634">
        <f t="shared" si="13"/>
        <v>0</v>
      </c>
      <c r="I23" s="634">
        <f t="shared" si="13"/>
        <v>0</v>
      </c>
      <c r="J23" s="634">
        <f t="shared" si="13"/>
        <v>0</v>
      </c>
      <c r="K23" s="634">
        <f t="shared" si="13"/>
        <v>0</v>
      </c>
      <c r="L23" s="634">
        <f t="shared" si="13"/>
        <v>0</v>
      </c>
      <c r="M23" s="634">
        <f t="shared" si="13"/>
        <v>0</v>
      </c>
      <c r="N23" s="634">
        <f t="shared" si="13"/>
        <v>0</v>
      </c>
      <c r="O23" s="635"/>
    </row>
    <row r="24" spans="2:18">
      <c r="B24" s="623" t="s">
        <v>1242</v>
      </c>
      <c r="C24" s="636">
        <v>0</v>
      </c>
      <c r="D24" s="636">
        <v>0</v>
      </c>
      <c r="E24" s="636">
        <f>-'[49]31005 RO PT'!$J198</f>
        <v>62.2</v>
      </c>
      <c r="F24" s="636">
        <f>-'[49]31005 RO PT'!$J199</f>
        <v>62.2</v>
      </c>
      <c r="G24" s="636">
        <f>-'[49]31005 RO PT'!$J200</f>
        <v>273.68</v>
      </c>
      <c r="H24" s="636">
        <f>-'[49]31005 RO PT'!$J201</f>
        <v>896.61000000000013</v>
      </c>
      <c r="I24" s="636">
        <f>-'[49]31005 RO PT'!$J202</f>
        <v>208.37</v>
      </c>
      <c r="J24" s="636">
        <f>-'[49]31005 RO PT'!$J203</f>
        <v>495.85</v>
      </c>
      <c r="K24" s="636">
        <f>-'[49]31005 RO PT'!$J204</f>
        <v>311</v>
      </c>
      <c r="L24" s="636">
        <f>-'[49]31005 RO PT'!$J205</f>
        <v>419.85</v>
      </c>
      <c r="M24" s="636">
        <f>-'[49]31005 RO PT'!$J206</f>
        <v>404.3</v>
      </c>
      <c r="N24" s="636">
        <f>-'[49]31005 RO PT'!$J207</f>
        <v>311</v>
      </c>
      <c r="O24" s="637">
        <f>SUM(C24:N24)</f>
        <v>3445.06</v>
      </c>
      <c r="Q24" s="713"/>
      <c r="R24" s="713"/>
    </row>
    <row r="25" spans="2:18">
      <c r="B25" s="623" t="s">
        <v>1243</v>
      </c>
      <c r="C25" s="638">
        <f>+C26-C24</f>
        <v>375.59999999999991</v>
      </c>
      <c r="D25" s="638">
        <f>+D26-D24</f>
        <v>541.66999999999996</v>
      </c>
      <c r="E25" s="638">
        <f>+E26-E24</f>
        <v>-122.84999999999998</v>
      </c>
      <c r="F25" s="638">
        <f t="shared" ref="F25:N25" si="14">+F26-F24</f>
        <v>279.90000000000003</v>
      </c>
      <c r="G25" s="638">
        <f t="shared" si="14"/>
        <v>149.27999999999997</v>
      </c>
      <c r="H25" s="638">
        <f t="shared" si="14"/>
        <v>23.949999999999818</v>
      </c>
      <c r="I25" s="638">
        <f t="shared" si="14"/>
        <v>295.4500000000001</v>
      </c>
      <c r="J25" s="638">
        <f t="shared" si="14"/>
        <v>-146.27000000000004</v>
      </c>
      <c r="K25" s="638">
        <f t="shared" si="14"/>
        <v>126.25000000000006</v>
      </c>
      <c r="L25" s="638">
        <f t="shared" si="14"/>
        <v>336.33000000000004</v>
      </c>
      <c r="M25" s="638">
        <f t="shared" si="14"/>
        <v>232.7999999999999</v>
      </c>
      <c r="N25" s="638">
        <f t="shared" si="14"/>
        <v>267.46000000000004</v>
      </c>
      <c r="O25" s="657">
        <f>SUM(C25:N25)</f>
        <v>2359.5699999999997</v>
      </c>
      <c r="Q25" s="713"/>
    </row>
    <row r="26" spans="2:18">
      <c r="B26" s="630" t="s">
        <v>1244</v>
      </c>
      <c r="C26" s="636">
        <f>'[49]40101 Disposal'!G142</f>
        <v>375.59999999999991</v>
      </c>
      <c r="D26" s="636">
        <f>'[49]40101 Disposal'!G143</f>
        <v>541.66999999999996</v>
      </c>
      <c r="E26" s="636">
        <f>'[49]40101 Disposal'!G144</f>
        <v>-60.649999999999977</v>
      </c>
      <c r="F26" s="636">
        <f>'[49]40101 Disposal'!G145</f>
        <v>342.1</v>
      </c>
      <c r="G26" s="636">
        <f>'[49]40101 Disposal'!G146</f>
        <v>422.96</v>
      </c>
      <c r="H26" s="636">
        <f>'[49]40101 Disposal'!G147</f>
        <v>920.56</v>
      </c>
      <c r="I26" s="636">
        <f>'[49]40101 Disposal'!G148</f>
        <v>503.82000000000011</v>
      </c>
      <c r="J26" s="636">
        <f>'[49]40101 Disposal'!G149</f>
        <v>349.58</v>
      </c>
      <c r="K26" s="636">
        <f>'[49]40101 Disposal'!G150</f>
        <v>437.25000000000006</v>
      </c>
      <c r="L26" s="636">
        <f>'[49]40101 Disposal'!G151</f>
        <v>756.18000000000006</v>
      </c>
      <c r="M26" s="636">
        <f>'[49]40101 Disposal'!G152</f>
        <v>637.09999999999991</v>
      </c>
      <c r="N26" s="636">
        <f>'[49]40101 Disposal'!G153</f>
        <v>578.46</v>
      </c>
      <c r="O26" s="637">
        <f>SUM(O24:O25)</f>
        <v>5804.6299999999992</v>
      </c>
    </row>
    <row r="27" spans="2:18">
      <c r="B27" s="656"/>
      <c r="C27" s="717"/>
      <c r="D27" s="717"/>
      <c r="E27" s="717"/>
      <c r="F27" s="717"/>
      <c r="G27" s="717"/>
      <c r="H27" s="717"/>
      <c r="I27" s="717"/>
      <c r="J27" s="717"/>
      <c r="K27" s="717"/>
      <c r="L27" s="717"/>
      <c r="M27" s="717"/>
      <c r="N27" s="717"/>
      <c r="O27" s="657"/>
    </row>
    <row r="28" spans="2:18">
      <c r="B28" s="650"/>
      <c r="C28" s="658"/>
      <c r="D28" s="658"/>
      <c r="E28" s="658"/>
      <c r="F28" s="658"/>
      <c r="G28" s="658"/>
      <c r="H28" s="658"/>
      <c r="I28" s="658"/>
      <c r="J28" s="658"/>
      <c r="K28" s="658"/>
      <c r="L28" s="658"/>
      <c r="M28" s="658"/>
      <c r="N28" s="658"/>
      <c r="O28" s="639"/>
    </row>
    <row r="29" spans="2:18">
      <c r="B29" s="640" t="s">
        <v>20</v>
      </c>
      <c r="C29" s="659"/>
      <c r="D29" s="659"/>
      <c r="E29" s="659"/>
      <c r="F29" s="659"/>
      <c r="G29" s="659"/>
      <c r="H29" s="659"/>
      <c r="I29" s="659"/>
      <c r="J29" s="659"/>
      <c r="K29" s="659"/>
      <c r="L29" s="659"/>
      <c r="M29" s="659"/>
      <c r="N29" s="659"/>
      <c r="O29" s="635"/>
    </row>
    <row r="30" spans="2:18">
      <c r="B30" s="660"/>
      <c r="C30" s="659"/>
      <c r="D30" s="659"/>
      <c r="E30" s="659"/>
      <c r="F30" s="659"/>
      <c r="G30" s="659"/>
      <c r="H30" s="659"/>
      <c r="I30" s="659"/>
      <c r="J30" s="659"/>
      <c r="K30" s="659"/>
      <c r="L30" s="659"/>
      <c r="M30" s="659"/>
      <c r="N30" s="659"/>
      <c r="O30" s="635"/>
    </row>
    <row r="31" spans="2:18">
      <c r="B31" s="630" t="s">
        <v>1248</v>
      </c>
      <c r="C31" s="641">
        <f>+C12+C24</f>
        <v>6518.4000000000005</v>
      </c>
      <c r="D31" s="641">
        <f t="shared" ref="D31:N31" si="15">+D12+D24</f>
        <v>15757.699999999999</v>
      </c>
      <c r="E31" s="641">
        <f t="shared" si="15"/>
        <v>18825.699999999997</v>
      </c>
      <c r="F31" s="641">
        <f t="shared" si="15"/>
        <v>14681.7</v>
      </c>
      <c r="G31" s="641">
        <f t="shared" si="15"/>
        <v>19603.68</v>
      </c>
      <c r="H31" s="641">
        <f t="shared" si="15"/>
        <v>24337.270000000004</v>
      </c>
      <c r="I31" s="641">
        <f t="shared" si="15"/>
        <v>12062.1</v>
      </c>
      <c r="J31" s="641">
        <f t="shared" si="15"/>
        <v>9302.59</v>
      </c>
      <c r="K31" s="641">
        <f t="shared" si="15"/>
        <v>8666.6400000000012</v>
      </c>
      <c r="L31" s="641">
        <f t="shared" si="15"/>
        <v>14771.200000000003</v>
      </c>
      <c r="M31" s="641">
        <f t="shared" si="15"/>
        <v>10114.869999999997</v>
      </c>
      <c r="N31" s="641">
        <f t="shared" si="15"/>
        <v>5958.5600000000013</v>
      </c>
      <c r="O31" s="637">
        <f>SUM(C31:N31)</f>
        <v>160600.41</v>
      </c>
    </row>
    <row r="32" spans="2:18">
      <c r="B32" s="630" t="s">
        <v>1249</v>
      </c>
      <c r="C32" s="641">
        <f t="shared" ref="C32:N32" si="16">+C13+C25</f>
        <v>11281.299999999997</v>
      </c>
      <c r="D32" s="641">
        <f t="shared" si="16"/>
        <v>6739.4800000000032</v>
      </c>
      <c r="E32" s="641">
        <f t="shared" si="16"/>
        <v>11061.450000000003</v>
      </c>
      <c r="F32" s="641">
        <f t="shared" si="16"/>
        <v>26105.950000000004</v>
      </c>
      <c r="G32" s="641">
        <f t="shared" si="16"/>
        <v>9316.26</v>
      </c>
      <c r="H32" s="641">
        <f t="shared" si="16"/>
        <v>15988.139999999996</v>
      </c>
      <c r="I32" s="641">
        <f t="shared" si="16"/>
        <v>23252.690000000002</v>
      </c>
      <c r="J32" s="641">
        <f t="shared" si="16"/>
        <v>19025.710000000003</v>
      </c>
      <c r="K32" s="641">
        <f t="shared" si="16"/>
        <v>21740.229999999996</v>
      </c>
      <c r="L32" s="641">
        <f t="shared" si="16"/>
        <v>16263.619999999997</v>
      </c>
      <c r="M32" s="641">
        <f t="shared" si="16"/>
        <v>16907.59</v>
      </c>
      <c r="N32" s="641">
        <f t="shared" si="16"/>
        <v>15037.899999999998</v>
      </c>
      <c r="O32" s="637">
        <f>SUM(C32:N32)</f>
        <v>192720.32</v>
      </c>
    </row>
    <row r="33" spans="2:16">
      <c r="B33" s="630" t="s">
        <v>1250</v>
      </c>
      <c r="C33" s="642">
        <f t="shared" ref="C33:N33" si="17">+SUM(C31:C32)</f>
        <v>17799.699999999997</v>
      </c>
      <c r="D33" s="642">
        <f t="shared" si="17"/>
        <v>22497.18</v>
      </c>
      <c r="E33" s="642">
        <f t="shared" si="17"/>
        <v>29887.15</v>
      </c>
      <c r="F33" s="642">
        <f t="shared" si="17"/>
        <v>40787.650000000009</v>
      </c>
      <c r="G33" s="642">
        <f t="shared" si="17"/>
        <v>28919.940000000002</v>
      </c>
      <c r="H33" s="642">
        <f t="shared" si="17"/>
        <v>40325.410000000003</v>
      </c>
      <c r="I33" s="642">
        <f t="shared" si="17"/>
        <v>35314.79</v>
      </c>
      <c r="J33" s="642">
        <f t="shared" si="17"/>
        <v>28328.300000000003</v>
      </c>
      <c r="K33" s="642">
        <f t="shared" si="17"/>
        <v>30406.869999999995</v>
      </c>
      <c r="L33" s="642">
        <f t="shared" si="17"/>
        <v>31034.82</v>
      </c>
      <c r="M33" s="642">
        <f t="shared" si="17"/>
        <v>27022.46</v>
      </c>
      <c r="N33" s="642">
        <f t="shared" si="17"/>
        <v>20996.46</v>
      </c>
      <c r="O33" s="643">
        <f t="shared" ref="O33" si="18">SUM(O31:O32)</f>
        <v>353320.73</v>
      </c>
      <c r="P33" s="722">
        <f>O33-'[49]40101 Disposal'!E154</f>
        <v>0</v>
      </c>
    </row>
    <row r="34" spans="2:16">
      <c r="B34" s="647"/>
      <c r="C34" s="648"/>
      <c r="D34" s="648"/>
      <c r="E34" s="648"/>
      <c r="F34" s="648"/>
      <c r="G34" s="648"/>
      <c r="H34" s="648"/>
      <c r="I34" s="648"/>
      <c r="J34" s="648"/>
      <c r="K34" s="648"/>
      <c r="L34" s="648"/>
      <c r="M34" s="648"/>
      <c r="N34" s="648"/>
      <c r="O34" s="657"/>
    </row>
    <row r="35" spans="2:16">
      <c r="B35" s="706"/>
      <c r="C35" s="706"/>
      <c r="D35" s="706"/>
      <c r="E35" s="706"/>
      <c r="F35" s="706"/>
      <c r="G35" s="706"/>
      <c r="H35" s="706"/>
      <c r="I35" s="706"/>
      <c r="J35" s="706"/>
      <c r="K35" s="706"/>
      <c r="L35" s="706"/>
      <c r="M35" s="706"/>
      <c r="N35" s="706"/>
      <c r="O35" s="706"/>
    </row>
    <row r="36" spans="2:16">
      <c r="B36" s="649" t="s">
        <v>1251</v>
      </c>
      <c r="C36" s="702">
        <f>+'[49]40101 Disposal'!E142</f>
        <v>17799.699999999997</v>
      </c>
      <c r="D36" s="702">
        <f>+'[49]40101 Disposal'!E143</f>
        <v>22497.18</v>
      </c>
      <c r="E36" s="702">
        <f>+'[49]40101 Disposal'!E144</f>
        <v>29887.149999999998</v>
      </c>
      <c r="F36" s="702">
        <f>+'[49]40101 Disposal'!E145</f>
        <v>40787.65</v>
      </c>
      <c r="G36" s="702">
        <f>+'[49]40101 Disposal'!E146</f>
        <v>28919.94</v>
      </c>
      <c r="H36" s="702">
        <f>+'[49]40101 Disposal'!E147</f>
        <v>40325.409999999996</v>
      </c>
      <c r="I36" s="702">
        <f>+'[49]40101 Disposal'!E148</f>
        <v>35314.790000000008</v>
      </c>
      <c r="J36" s="702">
        <f>+'[49]40101 Disposal'!E149</f>
        <v>28328.300000000003</v>
      </c>
      <c r="K36" s="702">
        <f>+'[49]40101 Disposal'!E150</f>
        <v>30406.869999999995</v>
      </c>
      <c r="L36" s="702">
        <f>+'[49]40101 Disposal'!E151</f>
        <v>31034.82</v>
      </c>
      <c r="M36" s="702">
        <f>+'[49]40101 Disposal'!E152</f>
        <v>27022.46</v>
      </c>
      <c r="N36" s="702">
        <f>+'[49]40101 Disposal'!E153</f>
        <v>20996.46</v>
      </c>
      <c r="O36" s="696">
        <f>SUM(C36:N36)</f>
        <v>353320.73000000004</v>
      </c>
    </row>
    <row r="37" spans="2:16">
      <c r="B37" s="649" t="s">
        <v>1252</v>
      </c>
      <c r="C37" s="702">
        <f>-'[49]31005 RO PT'!O198</f>
        <v>6518.4000000000005</v>
      </c>
      <c r="D37" s="702">
        <f>-'[49]31005 RO PT'!O199</f>
        <v>15757.699999999999</v>
      </c>
      <c r="E37" s="702">
        <f>-'[49]31005 RO PT'!O200</f>
        <v>18825.699999999997</v>
      </c>
      <c r="F37" s="702">
        <f>-'[49]31005 RO PT'!O201</f>
        <v>14681.7</v>
      </c>
      <c r="G37" s="702">
        <f>-'[49]31005 RO PT'!O202</f>
        <v>19603.68</v>
      </c>
      <c r="H37" s="702">
        <f>-'[49]31005 RO PT'!O203</f>
        <v>24337.270000000004</v>
      </c>
      <c r="I37" s="702">
        <f>-'[49]31005 RO PT'!O204</f>
        <v>12062.1</v>
      </c>
      <c r="J37" s="702">
        <f>-'[49]31005 RO PT'!O205</f>
        <v>9302.59</v>
      </c>
      <c r="K37" s="702">
        <f>-'[49]31005 RO PT'!O206</f>
        <v>8666.6400000000012</v>
      </c>
      <c r="L37" s="702">
        <f>-'[49]31005 RO PT'!O207</f>
        <v>14771.2</v>
      </c>
      <c r="M37" s="702">
        <f>-'[49]31005 RO PT'!O208</f>
        <v>10114.870000000001</v>
      </c>
      <c r="N37" s="702">
        <f>-'[49]31005 RO PT'!O209</f>
        <v>5958.5599999999995</v>
      </c>
      <c r="O37" s="696">
        <f>SUM(C37:N37)</f>
        <v>160600.41</v>
      </c>
    </row>
    <row r="38" spans="2:16">
      <c r="B38" s="649" t="s">
        <v>1253</v>
      </c>
      <c r="C38" s="742">
        <f>+C36-C37</f>
        <v>11281.299999999996</v>
      </c>
      <c r="D38" s="742">
        <f>+D36-D37</f>
        <v>6739.4800000000014</v>
      </c>
      <c r="E38" s="742">
        <f t="shared" ref="E38:N38" si="19">+E36-E37</f>
        <v>11061.45</v>
      </c>
      <c r="F38" s="742">
        <f t="shared" si="19"/>
        <v>26105.95</v>
      </c>
      <c r="G38" s="742">
        <f t="shared" si="19"/>
        <v>9316.2599999999984</v>
      </c>
      <c r="H38" s="742">
        <f t="shared" si="19"/>
        <v>15988.139999999992</v>
      </c>
      <c r="I38" s="742">
        <f t="shared" si="19"/>
        <v>23252.69000000001</v>
      </c>
      <c r="J38" s="742">
        <f t="shared" si="19"/>
        <v>19025.710000000003</v>
      </c>
      <c r="K38" s="742">
        <f t="shared" si="19"/>
        <v>21740.229999999996</v>
      </c>
      <c r="L38" s="742">
        <f t="shared" si="19"/>
        <v>16263.619999999999</v>
      </c>
      <c r="M38" s="742">
        <f t="shared" si="19"/>
        <v>16907.589999999997</v>
      </c>
      <c r="N38" s="742">
        <f t="shared" si="19"/>
        <v>15037.9</v>
      </c>
      <c r="O38" s="696">
        <f>SUM(C38:N38)</f>
        <v>192720.31999999998</v>
      </c>
    </row>
    <row r="39" spans="2:16">
      <c r="B39" s="706"/>
      <c r="C39" s="706"/>
      <c r="D39" s="706"/>
      <c r="E39" s="706"/>
      <c r="F39" s="706"/>
      <c r="G39" s="706"/>
      <c r="H39" s="706"/>
      <c r="I39" s="706"/>
      <c r="J39" s="706"/>
      <c r="K39" s="706"/>
      <c r="L39" s="706"/>
      <c r="M39" s="706"/>
      <c r="N39" s="706"/>
      <c r="O39" s="659"/>
    </row>
    <row r="40" spans="2:16">
      <c r="B40" s="649" t="s">
        <v>1254</v>
      </c>
      <c r="C40" s="716">
        <f>+C31-C37</f>
        <v>0</v>
      </c>
      <c r="D40" s="716">
        <f t="shared" ref="D40:N40" si="20">+D31-D37</f>
        <v>0</v>
      </c>
      <c r="E40" s="716">
        <f t="shared" si="20"/>
        <v>0</v>
      </c>
      <c r="F40" s="716">
        <f t="shared" si="20"/>
        <v>0</v>
      </c>
      <c r="G40" s="716">
        <f t="shared" si="20"/>
        <v>0</v>
      </c>
      <c r="H40" s="716">
        <f t="shared" si="20"/>
        <v>0</v>
      </c>
      <c r="I40" s="716">
        <f t="shared" si="20"/>
        <v>0</v>
      </c>
      <c r="J40" s="716">
        <f t="shared" si="20"/>
        <v>0</v>
      </c>
      <c r="K40" s="716">
        <f t="shared" si="20"/>
        <v>0</v>
      </c>
      <c r="L40" s="716">
        <f t="shared" si="20"/>
        <v>0</v>
      </c>
      <c r="M40" s="716">
        <f t="shared" si="20"/>
        <v>0</v>
      </c>
      <c r="N40" s="716">
        <f t="shared" si="20"/>
        <v>0</v>
      </c>
      <c r="O40" s="696">
        <f>SUM(C40:N40)</f>
        <v>0</v>
      </c>
    </row>
    <row r="41" spans="2:16">
      <c r="B41" s="649" t="s">
        <v>1255</v>
      </c>
      <c r="C41" s="716">
        <f>+C33-C36</f>
        <v>0</v>
      </c>
      <c r="D41" s="716">
        <f t="shared" ref="D41:N41" si="21">+D33-D36</f>
        <v>0</v>
      </c>
      <c r="E41" s="716">
        <f t="shared" si="21"/>
        <v>0</v>
      </c>
      <c r="F41" s="716">
        <f t="shared" si="21"/>
        <v>0</v>
      </c>
      <c r="G41" s="716">
        <f t="shared" si="21"/>
        <v>0</v>
      </c>
      <c r="H41" s="716">
        <f t="shared" si="21"/>
        <v>0</v>
      </c>
      <c r="I41" s="716">
        <f t="shared" si="21"/>
        <v>0</v>
      </c>
      <c r="J41" s="716">
        <f t="shared" si="21"/>
        <v>0</v>
      </c>
      <c r="K41" s="716">
        <f t="shared" si="21"/>
        <v>0</v>
      </c>
      <c r="L41" s="716">
        <f t="shared" si="21"/>
        <v>0</v>
      </c>
      <c r="M41" s="716">
        <f t="shared" si="21"/>
        <v>0</v>
      </c>
      <c r="N41" s="716">
        <f t="shared" si="21"/>
        <v>0</v>
      </c>
      <c r="O41" s="696">
        <f>SUM(C41:N41)</f>
        <v>0</v>
      </c>
    </row>
    <row r="42" spans="2:16">
      <c r="B42" s="706"/>
      <c r="C42" s="706"/>
      <c r="D42" s="706"/>
      <c r="E42" s="706"/>
      <c r="F42" s="706"/>
      <c r="G42" s="706"/>
      <c r="H42" s="706"/>
      <c r="I42" s="706"/>
      <c r="J42" s="706"/>
      <c r="K42" s="706"/>
      <c r="L42" s="706"/>
      <c r="M42" s="706"/>
      <c r="N42" s="706"/>
      <c r="O42" s="659"/>
    </row>
  </sheetData>
  <pageMargins left="0.7" right="0.7" top="0.75" bottom="0.75" header="0.3" footer="0.3"/>
  <pageSetup scale="69" orientation="landscape"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Q253"/>
  <sheetViews>
    <sheetView showGridLines="0" tabSelected="1" view="pageBreakPreview" zoomScale="55" zoomScaleNormal="85" zoomScaleSheetLayoutView="55" workbookViewId="0">
      <selection activeCell="K24" sqref="K23:K24"/>
    </sheetView>
  </sheetViews>
  <sheetFormatPr defaultColWidth="13.85546875" defaultRowHeight="12.75" outlineLevelRow="1" outlineLevelCol="1"/>
  <cols>
    <col min="1" max="1" width="6" style="106" customWidth="1"/>
    <col min="2" max="2" width="1.28515625" style="106" customWidth="1"/>
    <col min="3" max="3" width="2.28515625" style="106" customWidth="1"/>
    <col min="4" max="4" width="26.42578125" style="106" customWidth="1"/>
    <col min="5" max="6" width="1" style="106" customWidth="1"/>
    <col min="7" max="7" width="10.140625" style="173" customWidth="1" outlineLevel="1"/>
    <col min="8" max="8" width="1.140625" style="106" customWidth="1" outlineLevel="1"/>
    <col min="9" max="9" width="10.140625" style="173" customWidth="1" outlineLevel="1"/>
    <col min="10" max="10" width="1.140625" style="106" customWidth="1" outlineLevel="1"/>
    <col min="11" max="11" width="10.140625" style="173" customWidth="1" outlineLevel="1"/>
    <col min="12" max="12" width="1.140625" style="106" customWidth="1" outlineLevel="1"/>
    <col min="13" max="13" width="10.140625" style="173" customWidth="1" outlineLevel="1"/>
    <col min="14" max="14" width="1.140625" style="106" customWidth="1" outlineLevel="1"/>
    <col min="15" max="15" width="10.140625" style="173" customWidth="1" outlineLevel="1"/>
    <col min="16" max="16" width="1.140625" style="106" customWidth="1" outlineLevel="1"/>
    <col min="17" max="17" width="10.140625" style="173" customWidth="1" outlineLevel="1"/>
    <col min="18" max="18" width="1.140625" style="106" customWidth="1" outlineLevel="1"/>
    <col min="19" max="19" width="10.140625" style="173" customWidth="1" outlineLevel="1"/>
    <col min="20" max="20" width="1.140625" style="106" customWidth="1" outlineLevel="1"/>
    <col min="21" max="21" width="10.140625" style="173" customWidth="1" outlineLevel="1"/>
    <col min="22" max="22" width="1.140625" style="106" customWidth="1" outlineLevel="1"/>
    <col min="23" max="23" width="10.140625" style="173" customWidth="1" outlineLevel="1"/>
    <col min="24" max="24" width="1.140625" style="106" customWidth="1" outlineLevel="1"/>
    <col min="25" max="25" width="10.140625" style="173" customWidth="1" outlineLevel="1"/>
    <col min="26" max="26" width="1.140625" style="106" customWidth="1" outlineLevel="1"/>
    <col min="27" max="27" width="10.140625" style="173" customWidth="1" outlineLevel="1"/>
    <col min="28" max="28" width="1.140625" style="106" customWidth="1" outlineLevel="1"/>
    <col min="29" max="29" width="10.140625" style="173" customWidth="1" outlineLevel="1"/>
    <col min="30" max="30" width="1.140625" style="106" customWidth="1" outlineLevel="1"/>
    <col min="31" max="31" width="11.85546875" style="173" customWidth="1"/>
    <col min="32" max="32" width="2.7109375" style="106" customWidth="1"/>
    <col min="33" max="33" width="1.5703125" style="106" customWidth="1"/>
    <col min="34" max="34" width="18.85546875" style="106" customWidth="1"/>
    <col min="35" max="35" width="13.7109375" style="106" customWidth="1"/>
    <col min="36" max="36" width="18.85546875" style="106" customWidth="1"/>
    <col min="37" max="37" width="2.42578125" style="106" customWidth="1"/>
    <col min="38" max="38" width="2.5703125" style="106" customWidth="1"/>
    <col min="39" max="39" width="6.140625" style="106" customWidth="1"/>
    <col min="40" max="40" width="5.5703125" style="106" customWidth="1"/>
    <col min="41" max="44" width="20.5703125" style="106" customWidth="1"/>
    <col min="45" max="16384" width="13.85546875" style="106"/>
  </cols>
  <sheetData>
    <row r="1" spans="1:43" s="122" customFormat="1" ht="15.75">
      <c r="A1" s="319" t="s">
        <v>592</v>
      </c>
      <c r="J1" s="123"/>
      <c r="K1" s="124"/>
      <c r="N1" s="123"/>
      <c r="O1" s="125"/>
      <c r="P1" s="123"/>
      <c r="Q1" s="124"/>
      <c r="V1" s="123"/>
      <c r="W1" s="124"/>
      <c r="AB1" s="123"/>
      <c r="AC1" s="124"/>
      <c r="AE1" s="126"/>
      <c r="AO1" s="320"/>
      <c r="AP1" s="321"/>
      <c r="AQ1" s="321"/>
    </row>
    <row r="2" spans="1:43" s="122" customFormat="1" ht="15.75">
      <c r="A2" s="349" t="str">
        <f>+'Bingen Consolidated IS'!A1</f>
        <v>Columbia River Disposal, Inc. G-48 &amp; G-51</v>
      </c>
      <c r="K2" s="127"/>
      <c r="N2" s="123"/>
      <c r="O2" s="127"/>
      <c r="Q2" s="127" t="s">
        <v>198</v>
      </c>
      <c r="W2" s="127" t="s">
        <v>198</v>
      </c>
      <c r="AC2" s="127" t="s">
        <v>198</v>
      </c>
      <c r="AF2" s="322"/>
      <c r="AG2" s="322"/>
      <c r="AH2" s="323"/>
      <c r="AO2" s="324"/>
      <c r="AP2" s="325"/>
      <c r="AQ2" s="326" t="s">
        <v>593</v>
      </c>
    </row>
    <row r="3" spans="1:43" s="122" customFormat="1" ht="15.75" customHeight="1">
      <c r="A3" s="319" t="s">
        <v>594</v>
      </c>
      <c r="AG3" s="327" t="s">
        <v>595</v>
      </c>
      <c r="AH3" s="353">
        <f>AQ10</f>
        <v>2.3126633715240177E-3</v>
      </c>
      <c r="AO3" s="328" t="s">
        <v>596</v>
      </c>
      <c r="AP3" s="329" t="s">
        <v>597</v>
      </c>
      <c r="AQ3" s="330" t="s">
        <v>598</v>
      </c>
    </row>
    <row r="4" spans="1:43" s="122" customFormat="1" ht="16.5" thickBot="1">
      <c r="A4" s="130"/>
      <c r="AE4" s="331"/>
      <c r="AF4" s="331"/>
      <c r="AH4" s="331"/>
      <c r="AI4" s="331"/>
      <c r="AJ4" s="331"/>
      <c r="AK4" s="332"/>
      <c r="AO4" s="333">
        <v>2010</v>
      </c>
      <c r="AP4" s="334">
        <v>131402</v>
      </c>
      <c r="AQ4" s="335">
        <v>0.1244934831401061</v>
      </c>
    </row>
    <row r="5" spans="1:43" s="122" customFormat="1" ht="15.75">
      <c r="A5" s="336" t="s">
        <v>599</v>
      </c>
      <c r="B5" s="337"/>
      <c r="C5" s="337"/>
      <c r="D5" s="337"/>
      <c r="E5" s="337"/>
      <c r="F5" s="337"/>
      <c r="G5" s="338"/>
      <c r="H5" s="336"/>
      <c r="I5" s="336"/>
      <c r="J5" s="336"/>
      <c r="K5" s="336"/>
      <c r="L5" s="336"/>
      <c r="M5" s="336"/>
      <c r="N5" s="336"/>
      <c r="O5" s="336"/>
      <c r="P5" s="336"/>
      <c r="Q5" s="336"/>
      <c r="R5" s="336"/>
      <c r="S5" s="336"/>
      <c r="T5" s="336"/>
      <c r="U5" s="336"/>
      <c r="V5" s="336"/>
      <c r="W5" s="336"/>
      <c r="X5" s="336"/>
      <c r="Y5" s="336"/>
      <c r="Z5" s="336"/>
      <c r="AA5" s="336"/>
      <c r="AB5" s="336"/>
      <c r="AC5" s="336"/>
      <c r="AD5" s="336"/>
      <c r="AE5" s="339"/>
      <c r="AF5" s="339"/>
      <c r="AH5" s="849" t="s">
        <v>600</v>
      </c>
      <c r="AI5" s="849" t="s">
        <v>601</v>
      </c>
      <c r="AJ5" s="851" t="s">
        <v>602</v>
      </c>
      <c r="AK5" s="340"/>
      <c r="AO5" s="333">
        <v>2011</v>
      </c>
      <c r="AP5" s="334">
        <v>30599</v>
      </c>
      <c r="AQ5" s="335">
        <v>2.8990244369218935E-2</v>
      </c>
    </row>
    <row r="6" spans="1:43" s="122" customFormat="1" ht="16.5" thickBot="1">
      <c r="A6" s="131"/>
      <c r="B6" s="131"/>
      <c r="C6" s="131"/>
      <c r="D6" s="131"/>
      <c r="E6" s="131"/>
      <c r="F6" s="131"/>
      <c r="G6" s="136">
        <v>43117</v>
      </c>
      <c r="H6" s="137"/>
      <c r="I6" s="136">
        <f>G6+31</f>
        <v>43148</v>
      </c>
      <c r="J6" s="137"/>
      <c r="K6" s="136">
        <f>I6+31</f>
        <v>43179</v>
      </c>
      <c r="L6" s="138"/>
      <c r="M6" s="136">
        <f>K6+31</f>
        <v>43210</v>
      </c>
      <c r="N6" s="137"/>
      <c r="O6" s="136">
        <f>M6+31</f>
        <v>43241</v>
      </c>
      <c r="P6" s="137"/>
      <c r="Q6" s="136">
        <f>O6+31</f>
        <v>43272</v>
      </c>
      <c r="R6" s="138"/>
      <c r="S6" s="136">
        <f>Q6+31</f>
        <v>43303</v>
      </c>
      <c r="T6" s="137"/>
      <c r="U6" s="136">
        <f>S6+31</f>
        <v>43334</v>
      </c>
      <c r="V6" s="137"/>
      <c r="W6" s="136">
        <f>U6+31</f>
        <v>43365</v>
      </c>
      <c r="X6" s="138"/>
      <c r="Y6" s="136">
        <f>W6+31</f>
        <v>43396</v>
      </c>
      <c r="Z6" s="137"/>
      <c r="AA6" s="136">
        <f>Y6+31</f>
        <v>43427</v>
      </c>
      <c r="AB6" s="137"/>
      <c r="AC6" s="136">
        <f>AA6+31</f>
        <v>43458</v>
      </c>
      <c r="AD6" s="138"/>
      <c r="AE6" s="139" t="s">
        <v>20</v>
      </c>
      <c r="AF6" s="140"/>
      <c r="AH6" s="850" t="s">
        <v>603</v>
      </c>
      <c r="AI6" s="850" t="s">
        <v>604</v>
      </c>
      <c r="AJ6" s="850" t="s">
        <v>605</v>
      </c>
      <c r="AK6" s="340"/>
      <c r="AO6" s="333">
        <v>2012</v>
      </c>
      <c r="AP6" s="334">
        <v>22646</v>
      </c>
      <c r="AQ6" s="335">
        <v>2.1455376776539494E-2</v>
      </c>
    </row>
    <row r="7" spans="1:43" s="113" customFormat="1" ht="15.75" outlineLevel="1">
      <c r="G7" s="147"/>
      <c r="H7" s="146"/>
      <c r="I7" s="147"/>
      <c r="J7" s="146"/>
      <c r="K7" s="147"/>
      <c r="L7" s="146"/>
      <c r="M7" s="147"/>
      <c r="N7" s="146"/>
      <c r="O7" s="147"/>
      <c r="P7" s="146"/>
      <c r="Q7" s="147"/>
      <c r="R7" s="146"/>
      <c r="S7" s="147"/>
      <c r="T7" s="146"/>
      <c r="U7" s="147"/>
      <c r="V7" s="146"/>
      <c r="W7" s="147"/>
      <c r="X7" s="146"/>
      <c r="Y7" s="147"/>
      <c r="Z7" s="146"/>
      <c r="AA7" s="147"/>
      <c r="AB7" s="146"/>
      <c r="AC7" s="147"/>
      <c r="AD7" s="146"/>
      <c r="AE7" s="147"/>
      <c r="AF7" s="142"/>
      <c r="AG7" s="122"/>
      <c r="AO7" s="333">
        <v>2013</v>
      </c>
      <c r="AP7" s="334">
        <v>59476</v>
      </c>
      <c r="AQ7" s="335">
        <v>5.6349023631611012E-2</v>
      </c>
    </row>
    <row r="8" spans="1:43" ht="15" outlineLevel="1">
      <c r="A8" s="111">
        <v>70035</v>
      </c>
      <c r="B8" s="111" t="s">
        <v>36</v>
      </c>
      <c r="C8" s="112"/>
      <c r="D8" s="108"/>
      <c r="E8" s="113"/>
      <c r="F8" s="114"/>
      <c r="G8" s="115">
        <v>250</v>
      </c>
      <c r="H8" s="114"/>
      <c r="I8" s="115">
        <v>250</v>
      </c>
      <c r="J8" s="114"/>
      <c r="K8" s="115">
        <v>-62.5</v>
      </c>
      <c r="L8" s="114"/>
      <c r="M8" s="115">
        <v>204.45</v>
      </c>
      <c r="N8" s="114"/>
      <c r="O8" s="115">
        <v>-216.09</v>
      </c>
      <c r="P8" s="114"/>
      <c r="Q8" s="115">
        <v>-841.1</v>
      </c>
      <c r="R8" s="114"/>
      <c r="S8" s="115">
        <v>33.9</v>
      </c>
      <c r="T8" s="114"/>
      <c r="U8" s="115">
        <v>33.909999999999997</v>
      </c>
      <c r="V8" s="114"/>
      <c r="W8" s="115">
        <v>33.9</v>
      </c>
      <c r="X8" s="114"/>
      <c r="Y8" s="115">
        <v>33.909999999999997</v>
      </c>
      <c r="Z8" s="114"/>
      <c r="AA8" s="115">
        <v>-220.38</v>
      </c>
      <c r="AB8" s="114"/>
      <c r="AC8" s="115">
        <v>29.79</v>
      </c>
      <c r="AD8" s="114"/>
      <c r="AE8" s="115">
        <f t="shared" ref="AE8:AE45" si="0">AC8+AA8+Y8+W8+U8+S8+Q8+O8+M8+K8+I8+G8</f>
        <v>-470.21000000000004</v>
      </c>
      <c r="AF8" s="116"/>
      <c r="AG8" s="117"/>
      <c r="AH8" s="590">
        <f>(SUM(G8:AC8)*$AH$3)</f>
        <v>-1.0874374439243086</v>
      </c>
      <c r="AJ8" s="106">
        <f t="shared" ref="AJ8:AJ45" si="1">AH8+AI8</f>
        <v>-1.0874374439243086</v>
      </c>
      <c r="AO8" s="333">
        <v>2014</v>
      </c>
      <c r="AP8" s="334">
        <v>56</v>
      </c>
      <c r="AQ8" s="335">
        <v>5.3055775831767712E-5</v>
      </c>
    </row>
    <row r="9" spans="1:43" ht="15" outlineLevel="1">
      <c r="A9" s="111">
        <v>70036</v>
      </c>
      <c r="B9" s="111" t="s">
        <v>37</v>
      </c>
      <c r="C9" s="112"/>
      <c r="D9" s="108"/>
      <c r="E9" s="113"/>
      <c r="F9" s="114"/>
      <c r="G9" s="115">
        <v>1247.08</v>
      </c>
      <c r="H9" s="114"/>
      <c r="I9" s="115">
        <v>1247.0899999999999</v>
      </c>
      <c r="J9" s="114"/>
      <c r="K9" s="115">
        <v>1612.08</v>
      </c>
      <c r="L9" s="114"/>
      <c r="M9" s="115">
        <v>1247.08</v>
      </c>
      <c r="N9" s="114"/>
      <c r="O9" s="115">
        <v>1847.09</v>
      </c>
      <c r="P9" s="114"/>
      <c r="Q9" s="115">
        <v>1451.14</v>
      </c>
      <c r="R9" s="114"/>
      <c r="S9" s="115">
        <v>51297.08</v>
      </c>
      <c r="T9" s="114"/>
      <c r="U9" s="115">
        <v>1247.0899999999999</v>
      </c>
      <c r="V9" s="114"/>
      <c r="W9" s="115">
        <v>1397.08</v>
      </c>
      <c r="X9" s="114"/>
      <c r="Y9" s="115">
        <v>1517.83</v>
      </c>
      <c r="Z9" s="114"/>
      <c r="AA9" s="115">
        <v>1347.09</v>
      </c>
      <c r="AB9" s="114"/>
      <c r="AC9" s="115">
        <v>1271.32</v>
      </c>
      <c r="AD9" s="114"/>
      <c r="AE9" s="115">
        <f t="shared" si="0"/>
        <v>66729.05</v>
      </c>
      <c r="AF9" s="116"/>
      <c r="AG9" s="117"/>
      <c r="AH9" s="590">
        <f t="shared" ref="AH9:AH45" si="2">(SUM(G9:AC9)*$AH$3)</f>
        <v>154.32182975159475</v>
      </c>
      <c r="AJ9" s="106">
        <f t="shared" si="1"/>
        <v>154.32182975159475</v>
      </c>
      <c r="AO9" s="333">
        <v>2015</v>
      </c>
      <c r="AP9" s="334">
        <v>0</v>
      </c>
      <c r="AQ9" s="335">
        <v>0</v>
      </c>
    </row>
    <row r="10" spans="1:43" ht="15" outlineLevel="1">
      <c r="A10" s="111">
        <v>70086</v>
      </c>
      <c r="B10" s="111" t="s">
        <v>242</v>
      </c>
      <c r="C10" s="112"/>
      <c r="D10" s="108"/>
      <c r="E10" s="113"/>
      <c r="F10" s="114"/>
      <c r="G10" s="115">
        <v>935.08</v>
      </c>
      <c r="H10" s="114"/>
      <c r="I10" s="115">
        <v>3172.78</v>
      </c>
      <c r="J10" s="114"/>
      <c r="K10" s="115">
        <v>402.75</v>
      </c>
      <c r="L10" s="114"/>
      <c r="M10" s="115">
        <v>2021.44</v>
      </c>
      <c r="N10" s="114"/>
      <c r="O10" s="115">
        <v>4114.32</v>
      </c>
      <c r="P10" s="114"/>
      <c r="Q10" s="115">
        <v>656.83</v>
      </c>
      <c r="R10" s="114"/>
      <c r="S10" s="115">
        <v>1418.74</v>
      </c>
      <c r="T10" s="114"/>
      <c r="U10" s="115">
        <v>2274.2399999999998</v>
      </c>
      <c r="V10" s="114"/>
      <c r="W10" s="115">
        <v>725.05</v>
      </c>
      <c r="X10" s="114"/>
      <c r="Y10" s="115">
        <v>-7.2</v>
      </c>
      <c r="Z10" s="114"/>
      <c r="AA10" s="115">
        <v>1354.16</v>
      </c>
      <c r="AB10" s="114"/>
      <c r="AC10" s="115">
        <v>1230.3599999999999</v>
      </c>
      <c r="AD10" s="114"/>
      <c r="AE10" s="115">
        <f t="shared" si="0"/>
        <v>18298.550000000003</v>
      </c>
      <c r="AF10" s="116"/>
      <c r="AG10" s="117"/>
      <c r="AH10" s="590">
        <f t="shared" si="2"/>
        <v>42.31838633700081</v>
      </c>
      <c r="AJ10" s="106">
        <f t="shared" si="1"/>
        <v>42.31838633700081</v>
      </c>
      <c r="AO10" s="350">
        <v>2025</v>
      </c>
      <c r="AP10" s="351">
        <v>2441</v>
      </c>
      <c r="AQ10" s="352">
        <v>2.3126633715240177E-3</v>
      </c>
    </row>
    <row r="11" spans="1:43" ht="15" outlineLevel="1">
      <c r="A11" s="111">
        <v>70095</v>
      </c>
      <c r="B11" s="111" t="s">
        <v>131</v>
      </c>
      <c r="C11" s="112"/>
      <c r="D11" s="108"/>
      <c r="E11" s="113"/>
      <c r="F11" s="114"/>
      <c r="G11" s="115">
        <v>17701.560000000001</v>
      </c>
      <c r="H11" s="114"/>
      <c r="I11" s="115">
        <v>11577.88</v>
      </c>
      <c r="J11" s="114"/>
      <c r="K11" s="115">
        <v>16067.76</v>
      </c>
      <c r="L11" s="114"/>
      <c r="M11" s="115">
        <v>4277.54</v>
      </c>
      <c r="N11" s="114"/>
      <c r="O11" s="115">
        <v>3087.22</v>
      </c>
      <c r="P11" s="114"/>
      <c r="Q11" s="115">
        <v>4187.6899999999996</v>
      </c>
      <c r="R11" s="114"/>
      <c r="S11" s="115">
        <v>2768.9</v>
      </c>
      <c r="T11" s="114"/>
      <c r="U11" s="115">
        <v>5774.53</v>
      </c>
      <c r="V11" s="114"/>
      <c r="W11" s="115">
        <v>3186.11</v>
      </c>
      <c r="X11" s="114"/>
      <c r="Y11" s="115">
        <v>8156.59</v>
      </c>
      <c r="Z11" s="114"/>
      <c r="AA11" s="115">
        <v>10035.68</v>
      </c>
      <c r="AB11" s="114"/>
      <c r="AC11" s="115">
        <v>20044.580000000002</v>
      </c>
      <c r="AD11" s="114"/>
      <c r="AE11" s="115">
        <f t="shared" si="0"/>
        <v>106866.04000000001</v>
      </c>
      <c r="AF11" s="116"/>
      <c r="AG11" s="117"/>
      <c r="AH11" s="590">
        <f t="shared" si="2"/>
        <v>247.14517636782051</v>
      </c>
      <c r="AI11" s="106">
        <f>-AH11</f>
        <v>-247.14517636782051</v>
      </c>
      <c r="AJ11" s="106">
        <f t="shared" si="1"/>
        <v>0</v>
      </c>
      <c r="AO11" s="333">
        <v>2040</v>
      </c>
      <c r="AP11" s="334">
        <v>7913</v>
      </c>
      <c r="AQ11" s="335">
        <v>7.4969706099424632E-3</v>
      </c>
    </row>
    <row r="12" spans="1:43" ht="15" outlineLevel="1">
      <c r="A12" s="111">
        <v>70105</v>
      </c>
      <c r="B12" s="111" t="s">
        <v>134</v>
      </c>
      <c r="C12" s="112"/>
      <c r="D12" s="108"/>
      <c r="E12" s="113"/>
      <c r="F12" s="114"/>
      <c r="G12" s="115">
        <v>0</v>
      </c>
      <c r="H12" s="114"/>
      <c r="I12" s="115">
        <v>0</v>
      </c>
      <c r="J12" s="114"/>
      <c r="K12" s="115">
        <v>0</v>
      </c>
      <c r="L12" s="114"/>
      <c r="M12" s="115">
        <v>0</v>
      </c>
      <c r="N12" s="114"/>
      <c r="O12" s="115">
        <v>0</v>
      </c>
      <c r="P12" s="114"/>
      <c r="Q12" s="115">
        <v>0</v>
      </c>
      <c r="R12" s="114"/>
      <c r="S12" s="115">
        <v>0</v>
      </c>
      <c r="T12" s="114"/>
      <c r="U12" s="115">
        <v>0</v>
      </c>
      <c r="V12" s="114"/>
      <c r="W12" s="115">
        <v>375</v>
      </c>
      <c r="X12" s="114"/>
      <c r="Y12" s="115">
        <v>0</v>
      </c>
      <c r="Z12" s="114"/>
      <c r="AA12" s="115">
        <v>0</v>
      </c>
      <c r="AB12" s="114"/>
      <c r="AC12" s="115">
        <v>4810</v>
      </c>
      <c r="AD12" s="114"/>
      <c r="AE12" s="115">
        <f t="shared" si="0"/>
        <v>5185</v>
      </c>
      <c r="AF12" s="116"/>
      <c r="AG12" s="117"/>
      <c r="AH12" s="590">
        <f t="shared" si="2"/>
        <v>11.991159581352031</v>
      </c>
      <c r="AJ12" s="106">
        <f t="shared" si="1"/>
        <v>11.991159581352031</v>
      </c>
      <c r="AO12" s="333">
        <v>2041</v>
      </c>
      <c r="AP12" s="334">
        <v>2381</v>
      </c>
      <c r="AQ12" s="335">
        <v>2.2558178974185525E-3</v>
      </c>
    </row>
    <row r="13" spans="1:43" ht="15" outlineLevel="1">
      <c r="A13" s="111">
        <v>70110</v>
      </c>
      <c r="B13" s="111" t="s">
        <v>135</v>
      </c>
      <c r="C13" s="112"/>
      <c r="D13" s="108"/>
      <c r="E13" s="113"/>
      <c r="F13" s="114"/>
      <c r="G13" s="115">
        <v>5000</v>
      </c>
      <c r="H13" s="114"/>
      <c r="I13" s="115">
        <v>2500</v>
      </c>
      <c r="J13" s="114"/>
      <c r="K13" s="115">
        <v>0</v>
      </c>
      <c r="L13" s="114"/>
      <c r="M13" s="115">
        <v>5000</v>
      </c>
      <c r="N13" s="114"/>
      <c r="O13" s="115">
        <v>-2070.2600000000002</v>
      </c>
      <c r="P13" s="114"/>
      <c r="Q13" s="115">
        <v>20000</v>
      </c>
      <c r="R13" s="114"/>
      <c r="S13" s="115">
        <v>0</v>
      </c>
      <c r="T13" s="114"/>
      <c r="U13" s="115">
        <v>263.75</v>
      </c>
      <c r="V13" s="114"/>
      <c r="W13" s="115">
        <v>102500</v>
      </c>
      <c r="X13" s="114"/>
      <c r="Y13" s="115">
        <v>5500</v>
      </c>
      <c r="Z13" s="114"/>
      <c r="AA13" s="115">
        <v>0</v>
      </c>
      <c r="AB13" s="114"/>
      <c r="AC13" s="115">
        <v>0</v>
      </c>
      <c r="AD13" s="114"/>
      <c r="AE13" s="115">
        <f t="shared" si="0"/>
        <v>138693.49</v>
      </c>
      <c r="AF13" s="116"/>
      <c r="AG13" s="117"/>
      <c r="AH13" s="590">
        <f t="shared" si="2"/>
        <v>320.7513541918326</v>
      </c>
      <c r="AI13" s="106">
        <f>-AH13</f>
        <v>-320.7513541918326</v>
      </c>
      <c r="AJ13" s="106">
        <f t="shared" si="1"/>
        <v>0</v>
      </c>
      <c r="AO13" s="333">
        <v>2042</v>
      </c>
      <c r="AP13" s="334">
        <v>126</v>
      </c>
      <c r="AQ13" s="335">
        <v>1.1937549562147736E-4</v>
      </c>
    </row>
    <row r="14" spans="1:43" ht="15" outlineLevel="1">
      <c r="A14" s="111">
        <v>70112</v>
      </c>
      <c r="B14" s="111" t="s">
        <v>606</v>
      </c>
      <c r="C14" s="112"/>
      <c r="D14" s="108"/>
      <c r="E14" s="113"/>
      <c r="F14" s="114"/>
      <c r="G14" s="115">
        <v>0</v>
      </c>
      <c r="H14" s="114"/>
      <c r="I14" s="115">
        <v>0</v>
      </c>
      <c r="J14" s="114"/>
      <c r="K14" s="115">
        <v>0</v>
      </c>
      <c r="L14" s="114"/>
      <c r="M14" s="115">
        <v>0</v>
      </c>
      <c r="N14" s="114"/>
      <c r="O14" s="115">
        <v>0</v>
      </c>
      <c r="P14" s="114"/>
      <c r="Q14" s="115">
        <v>0</v>
      </c>
      <c r="R14" s="114"/>
      <c r="S14" s="115">
        <v>0</v>
      </c>
      <c r="T14" s="114"/>
      <c r="U14" s="115">
        <v>0</v>
      </c>
      <c r="V14" s="114"/>
      <c r="W14" s="115">
        <v>0</v>
      </c>
      <c r="X14" s="114"/>
      <c r="Y14" s="115">
        <v>0</v>
      </c>
      <c r="Z14" s="114"/>
      <c r="AA14" s="115">
        <v>0</v>
      </c>
      <c r="AB14" s="114"/>
      <c r="AC14" s="115">
        <v>0</v>
      </c>
      <c r="AD14" s="114"/>
      <c r="AE14" s="115">
        <f t="shared" si="0"/>
        <v>0</v>
      </c>
      <c r="AF14" s="116"/>
      <c r="AG14" s="117"/>
      <c r="AH14" s="590">
        <f t="shared" si="2"/>
        <v>0</v>
      </c>
      <c r="AI14" s="106">
        <f>-AH14</f>
        <v>0</v>
      </c>
      <c r="AJ14" s="106">
        <f t="shared" si="1"/>
        <v>0</v>
      </c>
      <c r="AO14" s="333">
        <v>2043</v>
      </c>
      <c r="AP14" s="334">
        <v>5231</v>
      </c>
      <c r="AQ14" s="335">
        <v>4.9559779174281589E-3</v>
      </c>
    </row>
    <row r="15" spans="1:43" ht="15" outlineLevel="1">
      <c r="A15" s="111">
        <v>70147</v>
      </c>
      <c r="B15" s="111" t="s">
        <v>108</v>
      </c>
      <c r="C15" s="112"/>
      <c r="D15" s="108"/>
      <c r="E15" s="113"/>
      <c r="F15" s="114"/>
      <c r="G15" s="115">
        <v>1848.82</v>
      </c>
      <c r="H15" s="114"/>
      <c r="I15" s="115">
        <v>3300.98</v>
      </c>
      <c r="J15" s="114"/>
      <c r="K15" s="115">
        <v>2681.48</v>
      </c>
      <c r="L15" s="114"/>
      <c r="M15" s="115">
        <v>2551.6999999999998</v>
      </c>
      <c r="N15" s="114"/>
      <c r="O15" s="115">
        <v>4147.8999999999996</v>
      </c>
      <c r="P15" s="114"/>
      <c r="Q15" s="115">
        <v>2415.3000000000002</v>
      </c>
      <c r="R15" s="114"/>
      <c r="S15" s="115">
        <v>2732.13</v>
      </c>
      <c r="T15" s="114"/>
      <c r="U15" s="115">
        <v>1267.57</v>
      </c>
      <c r="V15" s="114"/>
      <c r="W15" s="115">
        <v>1789.2</v>
      </c>
      <c r="X15" s="114"/>
      <c r="Y15" s="115">
        <v>4133.84</v>
      </c>
      <c r="Z15" s="114"/>
      <c r="AA15" s="115">
        <v>2715.44</v>
      </c>
      <c r="AB15" s="114"/>
      <c r="AC15" s="115">
        <v>935</v>
      </c>
      <c r="AD15" s="114"/>
      <c r="AE15" s="115">
        <f t="shared" si="0"/>
        <v>30519.359999999997</v>
      </c>
      <c r="AF15" s="116"/>
      <c r="AG15" s="117"/>
      <c r="AH15" s="590">
        <f t="shared" si="2"/>
        <v>70.581005994355252</v>
      </c>
      <c r="AJ15" s="106">
        <f t="shared" si="1"/>
        <v>70.581005994355252</v>
      </c>
      <c r="AO15" s="333">
        <v>2044</v>
      </c>
      <c r="AP15" s="334">
        <v>7646</v>
      </c>
      <c r="AQ15" s="335">
        <v>7.2440082501731414E-3</v>
      </c>
    </row>
    <row r="16" spans="1:43" ht="15" outlineLevel="1">
      <c r="A16" s="111">
        <v>70165</v>
      </c>
      <c r="B16" s="111" t="s">
        <v>50</v>
      </c>
      <c r="C16" s="112"/>
      <c r="D16" s="108"/>
      <c r="E16" s="113"/>
      <c r="F16" s="114"/>
      <c r="G16" s="115">
        <v>2222.64</v>
      </c>
      <c r="H16" s="114"/>
      <c r="I16" s="115">
        <v>3516.51</v>
      </c>
      <c r="J16" s="114"/>
      <c r="K16" s="115">
        <v>3193.98</v>
      </c>
      <c r="L16" s="114"/>
      <c r="M16" s="115">
        <v>3148.78</v>
      </c>
      <c r="N16" s="114"/>
      <c r="O16" s="115">
        <v>2972.75</v>
      </c>
      <c r="P16" s="114"/>
      <c r="Q16" s="115">
        <v>3152.4</v>
      </c>
      <c r="R16" s="114"/>
      <c r="S16" s="115">
        <v>3659.38</v>
      </c>
      <c r="T16" s="114"/>
      <c r="U16" s="115">
        <v>2341.25</v>
      </c>
      <c r="V16" s="114"/>
      <c r="W16" s="115">
        <v>3266.67</v>
      </c>
      <c r="X16" s="114"/>
      <c r="Y16" s="115">
        <v>3231.86</v>
      </c>
      <c r="Z16" s="114"/>
      <c r="AA16" s="115">
        <v>3443.12</v>
      </c>
      <c r="AB16" s="114"/>
      <c r="AC16" s="115">
        <v>4854.32</v>
      </c>
      <c r="AD16" s="114"/>
      <c r="AE16" s="115">
        <f t="shared" si="0"/>
        <v>39003.660000000003</v>
      </c>
      <c r="AF16" s="116"/>
      <c r="AG16" s="117"/>
      <c r="AH16" s="590">
        <f t="shared" si="2"/>
        <v>90.202335837376481</v>
      </c>
      <c r="AJ16" s="106">
        <f t="shared" si="1"/>
        <v>90.202335837376481</v>
      </c>
      <c r="AO16" s="333">
        <v>2045</v>
      </c>
      <c r="AP16" s="334">
        <v>6253</v>
      </c>
      <c r="AQ16" s="335">
        <v>5.9242458263579203E-3</v>
      </c>
    </row>
    <row r="17" spans="1:43" ht="15" outlineLevel="1">
      <c r="A17" s="111">
        <v>70167</v>
      </c>
      <c r="B17" s="111" t="s">
        <v>276</v>
      </c>
      <c r="C17" s="112"/>
      <c r="D17" s="108"/>
      <c r="E17" s="113"/>
      <c r="F17" s="114"/>
      <c r="G17" s="115">
        <v>2713.67</v>
      </c>
      <c r="H17" s="114"/>
      <c r="I17" s="115">
        <v>2365.73</v>
      </c>
      <c r="J17" s="114"/>
      <c r="K17" s="115">
        <v>3270.14</v>
      </c>
      <c r="L17" s="114"/>
      <c r="M17" s="115">
        <v>2317.11</v>
      </c>
      <c r="N17" s="114"/>
      <c r="O17" s="115">
        <v>2654.65</v>
      </c>
      <c r="P17" s="114"/>
      <c r="Q17" s="115">
        <v>2820.64</v>
      </c>
      <c r="R17" s="114"/>
      <c r="S17" s="115">
        <v>2867.62</v>
      </c>
      <c r="T17" s="114"/>
      <c r="U17" s="115">
        <v>2373.94</v>
      </c>
      <c r="V17" s="114"/>
      <c r="W17" s="115">
        <v>2785.83</v>
      </c>
      <c r="X17" s="114"/>
      <c r="Y17" s="115">
        <v>2923.7</v>
      </c>
      <c r="Z17" s="114"/>
      <c r="AA17" s="115">
        <v>2320.56</v>
      </c>
      <c r="AB17" s="114"/>
      <c r="AC17" s="115">
        <v>2656.98</v>
      </c>
      <c r="AD17" s="114"/>
      <c r="AE17" s="115">
        <f t="shared" si="0"/>
        <v>32070.57</v>
      </c>
      <c r="AF17" s="116"/>
      <c r="AG17" s="117"/>
      <c r="AH17" s="590">
        <f t="shared" si="2"/>
        <v>74.168432542897008</v>
      </c>
      <c r="AJ17" s="106">
        <f t="shared" si="1"/>
        <v>74.168432542897008</v>
      </c>
      <c r="AO17" s="333">
        <v>2046</v>
      </c>
      <c r="AP17" s="334">
        <v>9287</v>
      </c>
      <c r="AQ17" s="335">
        <v>8.7987319669576205E-3</v>
      </c>
    </row>
    <row r="18" spans="1:43" ht="15" outlineLevel="1">
      <c r="A18" s="111">
        <v>70170</v>
      </c>
      <c r="B18" s="111" t="s">
        <v>258</v>
      </c>
      <c r="C18" s="112"/>
      <c r="D18" s="108"/>
      <c r="E18" s="113"/>
      <c r="F18" s="114"/>
      <c r="G18" s="115">
        <v>21327.35</v>
      </c>
      <c r="H18" s="114"/>
      <c r="I18" s="115">
        <v>21327.35</v>
      </c>
      <c r="J18" s="114"/>
      <c r="K18" s="115">
        <v>21327.35</v>
      </c>
      <c r="L18" s="114"/>
      <c r="M18" s="115">
        <v>21327.35</v>
      </c>
      <c r="N18" s="114"/>
      <c r="O18" s="115">
        <v>21327.35</v>
      </c>
      <c r="P18" s="114"/>
      <c r="Q18" s="115">
        <v>20997</v>
      </c>
      <c r="R18" s="114"/>
      <c r="S18" s="115">
        <v>21327</v>
      </c>
      <c r="T18" s="114"/>
      <c r="U18" s="115">
        <v>21327</v>
      </c>
      <c r="V18" s="114"/>
      <c r="W18" s="115">
        <v>21327</v>
      </c>
      <c r="X18" s="114"/>
      <c r="Y18" s="115">
        <v>21327</v>
      </c>
      <c r="Z18" s="114"/>
      <c r="AA18" s="115">
        <v>21327</v>
      </c>
      <c r="AB18" s="114"/>
      <c r="AC18" s="115">
        <v>21327.35</v>
      </c>
      <c r="AD18" s="114"/>
      <c r="AE18" s="115">
        <f t="shared" si="0"/>
        <v>255596.10000000003</v>
      </c>
      <c r="AF18" s="116"/>
      <c r="AG18" s="117"/>
      <c r="AH18" s="590">
        <f t="shared" si="2"/>
        <v>591.10773837439001</v>
      </c>
      <c r="AJ18" s="106">
        <f t="shared" si="1"/>
        <v>591.10773837439001</v>
      </c>
      <c r="AO18" s="333">
        <v>2047</v>
      </c>
      <c r="AP18" s="334">
        <v>13578</v>
      </c>
      <c r="AQ18" s="335">
        <v>1.2864130790066822E-2</v>
      </c>
    </row>
    <row r="19" spans="1:43" ht="15" outlineLevel="1">
      <c r="A19" s="111">
        <v>70171</v>
      </c>
      <c r="B19" s="111" t="s">
        <v>607</v>
      </c>
      <c r="C19" s="112"/>
      <c r="D19" s="108"/>
      <c r="E19" s="113"/>
      <c r="F19" s="114"/>
      <c r="G19" s="115">
        <v>0</v>
      </c>
      <c r="H19" s="114"/>
      <c r="I19" s="115">
        <v>0</v>
      </c>
      <c r="J19" s="114"/>
      <c r="K19" s="115">
        <v>0</v>
      </c>
      <c r="L19" s="114"/>
      <c r="M19" s="115">
        <v>0</v>
      </c>
      <c r="N19" s="114"/>
      <c r="O19" s="115">
        <v>0</v>
      </c>
      <c r="P19" s="114"/>
      <c r="Q19" s="115">
        <v>0</v>
      </c>
      <c r="R19" s="114"/>
      <c r="S19" s="115">
        <v>0</v>
      </c>
      <c r="T19" s="114"/>
      <c r="U19" s="115">
        <v>0</v>
      </c>
      <c r="V19" s="114"/>
      <c r="W19" s="115">
        <v>0</v>
      </c>
      <c r="X19" s="114"/>
      <c r="Y19" s="115">
        <v>0</v>
      </c>
      <c r="Z19" s="114"/>
      <c r="AA19" s="115">
        <v>0</v>
      </c>
      <c r="AB19" s="114"/>
      <c r="AC19" s="115">
        <v>1132.3399999999999</v>
      </c>
      <c r="AD19" s="114"/>
      <c r="AE19" s="115">
        <f t="shared" si="0"/>
        <v>1132.3399999999999</v>
      </c>
      <c r="AF19" s="116"/>
      <c r="AG19" s="117"/>
      <c r="AH19" s="590">
        <f t="shared" si="2"/>
        <v>2.6187212421115058</v>
      </c>
      <c r="AO19" s="333"/>
      <c r="AP19" s="334"/>
      <c r="AQ19" s="335"/>
    </row>
    <row r="20" spans="1:43" ht="15" outlineLevel="1">
      <c r="A20" s="111">
        <v>70175</v>
      </c>
      <c r="B20" s="111" t="s">
        <v>51</v>
      </c>
      <c r="C20" s="112"/>
      <c r="D20" s="108"/>
      <c r="E20" s="113"/>
      <c r="F20" s="114"/>
      <c r="G20" s="115">
        <v>0</v>
      </c>
      <c r="H20" s="114"/>
      <c r="I20" s="115">
        <v>0</v>
      </c>
      <c r="J20" s="114"/>
      <c r="K20" s="115">
        <v>0</v>
      </c>
      <c r="L20" s="114"/>
      <c r="M20" s="115">
        <v>0</v>
      </c>
      <c r="N20" s="114"/>
      <c r="O20" s="115">
        <v>0</v>
      </c>
      <c r="P20" s="114"/>
      <c r="Q20" s="115">
        <v>0</v>
      </c>
      <c r="R20" s="114"/>
      <c r="S20" s="115">
        <v>0</v>
      </c>
      <c r="T20" s="114"/>
      <c r="U20" s="115">
        <v>0</v>
      </c>
      <c r="V20" s="114"/>
      <c r="W20" s="115">
        <v>0</v>
      </c>
      <c r="X20" s="114"/>
      <c r="Y20" s="115">
        <v>82.42</v>
      </c>
      <c r="Z20" s="114"/>
      <c r="AA20" s="115">
        <v>0</v>
      </c>
      <c r="AB20" s="114"/>
      <c r="AC20" s="115">
        <v>0</v>
      </c>
      <c r="AD20" s="114"/>
      <c r="AE20" s="115">
        <f t="shared" si="0"/>
        <v>82.42</v>
      </c>
      <c r="AF20" s="116"/>
      <c r="AG20" s="117"/>
      <c r="AH20" s="590">
        <f t="shared" si="2"/>
        <v>0.19060971508100955</v>
      </c>
      <c r="AJ20" s="106">
        <f t="shared" si="1"/>
        <v>0.19060971508100955</v>
      </c>
      <c r="AO20" s="333">
        <v>2048</v>
      </c>
      <c r="AP20" s="334">
        <v>119</v>
      </c>
      <c r="AQ20" s="335">
        <v>1.1274352364250639E-4</v>
      </c>
    </row>
    <row r="21" spans="1:43" ht="15" outlineLevel="1">
      <c r="A21" s="111">
        <v>70185</v>
      </c>
      <c r="B21" s="111" t="s">
        <v>106</v>
      </c>
      <c r="C21" s="112"/>
      <c r="D21" s="108"/>
      <c r="E21" s="113"/>
      <c r="F21" s="114"/>
      <c r="G21" s="115">
        <v>868.07</v>
      </c>
      <c r="H21" s="114"/>
      <c r="I21" s="115">
        <v>1535.61</v>
      </c>
      <c r="J21" s="114"/>
      <c r="K21" s="115">
        <v>1324.17</v>
      </c>
      <c r="L21" s="114"/>
      <c r="M21" s="115">
        <v>927.05</v>
      </c>
      <c r="N21" s="114"/>
      <c r="O21" s="115">
        <v>1472.87</v>
      </c>
      <c r="P21" s="114"/>
      <c r="Q21" s="115">
        <v>2278.41</v>
      </c>
      <c r="R21" s="114"/>
      <c r="S21" s="115">
        <v>420.99</v>
      </c>
      <c r="T21" s="114"/>
      <c r="U21" s="115">
        <v>454.99</v>
      </c>
      <c r="V21" s="114"/>
      <c r="W21" s="115">
        <v>436.33</v>
      </c>
      <c r="X21" s="114"/>
      <c r="Y21" s="115">
        <v>8.7799999999999994</v>
      </c>
      <c r="Z21" s="114"/>
      <c r="AA21" s="115">
        <v>1522.63</v>
      </c>
      <c r="AB21" s="114"/>
      <c r="AC21" s="115">
        <v>102.59</v>
      </c>
      <c r="AD21" s="114"/>
      <c r="AE21" s="115">
        <f t="shared" si="0"/>
        <v>11352.49</v>
      </c>
      <c r="AF21" s="116"/>
      <c r="AG21" s="117"/>
      <c r="AH21" s="590">
        <f t="shared" si="2"/>
        <v>26.254487798592699</v>
      </c>
      <c r="AJ21" s="106">
        <f t="shared" si="1"/>
        <v>26.254487798592699</v>
      </c>
      <c r="AO21" s="333">
        <v>2049</v>
      </c>
      <c r="AP21" s="334">
        <v>16</v>
      </c>
      <c r="AQ21" s="335">
        <v>1.5158793094790775E-5</v>
      </c>
    </row>
    <row r="22" spans="1:43" ht="15" outlineLevel="1">
      <c r="A22" s="111">
        <v>70190</v>
      </c>
      <c r="B22" s="111" t="s">
        <v>608</v>
      </c>
      <c r="C22" s="112"/>
      <c r="D22" s="108"/>
      <c r="E22" s="113"/>
      <c r="F22" s="114"/>
      <c r="G22" s="115">
        <v>0</v>
      </c>
      <c r="H22" s="114"/>
      <c r="I22" s="115">
        <v>0</v>
      </c>
      <c r="J22" s="114"/>
      <c r="K22" s="115">
        <v>0</v>
      </c>
      <c r="L22" s="114"/>
      <c r="M22" s="115">
        <v>120</v>
      </c>
      <c r="N22" s="114"/>
      <c r="O22" s="115">
        <v>1630</v>
      </c>
      <c r="P22" s="114"/>
      <c r="Q22" s="115">
        <v>0</v>
      </c>
      <c r="R22" s="114"/>
      <c r="S22" s="115">
        <v>0</v>
      </c>
      <c r="T22" s="114"/>
      <c r="U22" s="115">
        <v>0</v>
      </c>
      <c r="V22" s="114"/>
      <c r="W22" s="115">
        <v>0</v>
      </c>
      <c r="X22" s="114"/>
      <c r="Y22" s="115">
        <v>554</v>
      </c>
      <c r="Z22" s="114"/>
      <c r="AA22" s="115">
        <v>0</v>
      </c>
      <c r="AB22" s="114"/>
      <c r="AC22" s="115">
        <v>150</v>
      </c>
      <c r="AD22" s="114"/>
      <c r="AE22" s="115">
        <f t="shared" si="0"/>
        <v>2454</v>
      </c>
      <c r="AF22" s="116"/>
      <c r="AG22" s="117"/>
      <c r="AH22" s="590">
        <f t="shared" si="2"/>
        <v>5.6752759137199398</v>
      </c>
      <c r="AJ22" s="106">
        <f t="shared" si="1"/>
        <v>5.6752759137199398</v>
      </c>
      <c r="AO22" s="333">
        <v>2050</v>
      </c>
      <c r="AP22" s="334">
        <v>44</v>
      </c>
      <c r="AQ22" s="335">
        <v>4.1686681010674631E-5</v>
      </c>
    </row>
    <row r="23" spans="1:43" ht="15" outlineLevel="1">
      <c r="A23" s="111">
        <v>70195</v>
      </c>
      <c r="B23" s="111" t="s">
        <v>609</v>
      </c>
      <c r="C23" s="112"/>
      <c r="D23" s="108"/>
      <c r="E23" s="113"/>
      <c r="F23" s="114"/>
      <c r="G23" s="115">
        <v>4631.71</v>
      </c>
      <c r="H23" s="114"/>
      <c r="I23" s="115">
        <v>4093.86</v>
      </c>
      <c r="J23" s="114"/>
      <c r="K23" s="115">
        <v>3550.71</v>
      </c>
      <c r="L23" s="114"/>
      <c r="M23" s="115">
        <v>5315.03</v>
      </c>
      <c r="N23" s="114"/>
      <c r="O23" s="115">
        <v>2532.9299999999998</v>
      </c>
      <c r="P23" s="114"/>
      <c r="Q23" s="115">
        <v>5386.75</v>
      </c>
      <c r="R23" s="114"/>
      <c r="S23" s="115">
        <v>2871.88</v>
      </c>
      <c r="T23" s="114"/>
      <c r="U23" s="115">
        <v>701.71</v>
      </c>
      <c r="V23" s="114"/>
      <c r="W23" s="115">
        <v>1480.72</v>
      </c>
      <c r="X23" s="114"/>
      <c r="Y23" s="115">
        <v>2666.93</v>
      </c>
      <c r="Z23" s="114"/>
      <c r="AA23" s="115">
        <v>84.99</v>
      </c>
      <c r="AB23" s="114"/>
      <c r="AC23" s="115">
        <v>1771.37</v>
      </c>
      <c r="AD23" s="114"/>
      <c r="AE23" s="115">
        <f t="shared" si="0"/>
        <v>35088.589999999997</v>
      </c>
      <c r="AF23" s="116"/>
      <c r="AG23" s="117"/>
      <c r="AH23" s="590">
        <f t="shared" si="2"/>
        <v>81.148096851423929</v>
      </c>
      <c r="AJ23" s="106">
        <f t="shared" si="1"/>
        <v>81.148096851423929</v>
      </c>
      <c r="AO23" s="333">
        <v>2051</v>
      </c>
      <c r="AP23" s="334">
        <v>485</v>
      </c>
      <c r="AQ23" s="335">
        <v>4.595009156858454E-4</v>
      </c>
    </row>
    <row r="24" spans="1:43" ht="15" outlineLevel="1">
      <c r="A24" s="111">
        <v>70200</v>
      </c>
      <c r="B24" s="111" t="s">
        <v>53</v>
      </c>
      <c r="C24" s="112"/>
      <c r="D24" s="108"/>
      <c r="E24" s="113"/>
      <c r="F24" s="114"/>
      <c r="G24" s="115">
        <v>8716.02</v>
      </c>
      <c r="H24" s="114"/>
      <c r="I24" s="115">
        <v>18435.41</v>
      </c>
      <c r="J24" s="114"/>
      <c r="K24" s="115">
        <v>9377.2099999999991</v>
      </c>
      <c r="L24" s="114"/>
      <c r="M24" s="115">
        <v>17510.849999999999</v>
      </c>
      <c r="N24" s="114"/>
      <c r="O24" s="115">
        <v>13531.08</v>
      </c>
      <c r="P24" s="114"/>
      <c r="Q24" s="115">
        <v>16733.71</v>
      </c>
      <c r="R24" s="114"/>
      <c r="S24" s="115">
        <v>14364.57</v>
      </c>
      <c r="T24" s="114"/>
      <c r="U24" s="115">
        <v>10576.76</v>
      </c>
      <c r="V24" s="114"/>
      <c r="W24" s="115">
        <v>10234.06</v>
      </c>
      <c r="X24" s="114"/>
      <c r="Y24" s="115">
        <v>7599.54</v>
      </c>
      <c r="Z24" s="114"/>
      <c r="AA24" s="115">
        <v>13092.06</v>
      </c>
      <c r="AB24" s="114"/>
      <c r="AC24" s="115">
        <v>13046.47</v>
      </c>
      <c r="AD24" s="114"/>
      <c r="AE24" s="115">
        <f t="shared" si="0"/>
        <v>153217.73999999996</v>
      </c>
      <c r="AF24" s="116"/>
      <c r="AG24" s="117"/>
      <c r="AH24" s="590">
        <f t="shared" si="2"/>
        <v>354.34105516569031</v>
      </c>
      <c r="AJ24" s="106">
        <f t="shared" si="1"/>
        <v>354.34105516569031</v>
      </c>
      <c r="AO24" s="333">
        <v>2053</v>
      </c>
      <c r="AP24" s="334">
        <v>102</v>
      </c>
      <c r="AQ24" s="335">
        <v>9.6637305979291197E-5</v>
      </c>
    </row>
    <row r="25" spans="1:43" ht="15" outlineLevel="1">
      <c r="A25" s="111">
        <v>70201</v>
      </c>
      <c r="B25" s="111" t="s">
        <v>139</v>
      </c>
      <c r="C25" s="112"/>
      <c r="D25" s="108"/>
      <c r="E25" s="113"/>
      <c r="F25" s="114"/>
      <c r="G25" s="115">
        <v>1940.97</v>
      </c>
      <c r="H25" s="114"/>
      <c r="I25" s="115">
        <v>2647.49</v>
      </c>
      <c r="J25" s="114"/>
      <c r="K25" s="115">
        <v>5169.2</v>
      </c>
      <c r="L25" s="114"/>
      <c r="M25" s="115">
        <v>4069.28</v>
      </c>
      <c r="N25" s="114"/>
      <c r="O25" s="115">
        <v>3695.13</v>
      </c>
      <c r="P25" s="114"/>
      <c r="Q25" s="115">
        <v>2854.23</v>
      </c>
      <c r="R25" s="114"/>
      <c r="S25" s="115">
        <v>4962.91</v>
      </c>
      <c r="T25" s="114"/>
      <c r="U25" s="115">
        <v>1718.1</v>
      </c>
      <c r="V25" s="114"/>
      <c r="W25" s="115">
        <v>5085.79</v>
      </c>
      <c r="X25" s="114"/>
      <c r="Y25" s="115">
        <v>2014.71</v>
      </c>
      <c r="Z25" s="114"/>
      <c r="AA25" s="115">
        <v>4694.1899999999996</v>
      </c>
      <c r="AB25" s="114"/>
      <c r="AC25" s="115">
        <v>3145.88</v>
      </c>
      <c r="AD25" s="114"/>
      <c r="AE25" s="115">
        <f t="shared" si="0"/>
        <v>41997.88</v>
      </c>
      <c r="AF25" s="116"/>
      <c r="AG25" s="117"/>
      <c r="AH25" s="590">
        <f t="shared" si="2"/>
        <v>97.1269587576611</v>
      </c>
      <c r="AI25" s="106">
        <f>-AH25</f>
        <v>-97.1269587576611</v>
      </c>
      <c r="AJ25" s="106">
        <f t="shared" si="1"/>
        <v>0</v>
      </c>
      <c r="AO25" s="333">
        <v>2111</v>
      </c>
      <c r="AP25" s="334">
        <v>56674</v>
      </c>
      <c r="AQ25" s="335">
        <v>5.3694339990885777E-2</v>
      </c>
    </row>
    <row r="26" spans="1:43" ht="15" outlineLevel="1">
      <c r="A26" s="111">
        <v>70202</v>
      </c>
      <c r="B26" s="111" t="s">
        <v>610</v>
      </c>
      <c r="C26" s="112"/>
      <c r="D26" s="108"/>
      <c r="E26" s="113"/>
      <c r="F26" s="114"/>
      <c r="G26" s="115">
        <v>50882.92</v>
      </c>
      <c r="H26" s="114"/>
      <c r="I26" s="115">
        <v>166702.69</v>
      </c>
      <c r="J26" s="114"/>
      <c r="K26" s="115">
        <v>86205.17</v>
      </c>
      <c r="L26" s="114"/>
      <c r="M26" s="115">
        <v>17740.310000000001</v>
      </c>
      <c r="N26" s="114"/>
      <c r="O26" s="115">
        <v>109760.31</v>
      </c>
      <c r="P26" s="114"/>
      <c r="Q26" s="115">
        <v>33603.99</v>
      </c>
      <c r="R26" s="114"/>
      <c r="S26" s="115">
        <v>27896.720000000001</v>
      </c>
      <c r="T26" s="114"/>
      <c r="U26" s="115">
        <v>47252</v>
      </c>
      <c r="V26" s="114"/>
      <c r="W26" s="115">
        <v>19094.14</v>
      </c>
      <c r="X26" s="114"/>
      <c r="Y26" s="115">
        <v>11167.04</v>
      </c>
      <c r="Z26" s="114"/>
      <c r="AA26" s="115">
        <v>2211.6</v>
      </c>
      <c r="AB26" s="114"/>
      <c r="AC26" s="115">
        <v>23479.599999999999</v>
      </c>
      <c r="AD26" s="114"/>
      <c r="AE26" s="115">
        <f t="shared" si="0"/>
        <v>595996.49000000011</v>
      </c>
      <c r="AF26" s="116"/>
      <c r="AG26" s="117"/>
      <c r="AH26" s="590">
        <f t="shared" si="2"/>
        <v>1378.3392519798804</v>
      </c>
      <c r="AJ26" s="106">
        <f t="shared" si="1"/>
        <v>1378.3392519798804</v>
      </c>
      <c r="AO26" s="333">
        <v>2112</v>
      </c>
      <c r="AP26" s="334">
        <v>25553</v>
      </c>
      <c r="AQ26" s="335">
        <v>2.4209539996949293E-2</v>
      </c>
    </row>
    <row r="27" spans="1:43" ht="15" outlineLevel="1">
      <c r="A27" s="111">
        <v>70203</v>
      </c>
      <c r="B27" s="111" t="s">
        <v>140</v>
      </c>
      <c r="C27" s="112"/>
      <c r="D27" s="108"/>
      <c r="E27" s="113"/>
      <c r="F27" s="114"/>
      <c r="G27" s="115">
        <v>4126.08</v>
      </c>
      <c r="H27" s="114"/>
      <c r="I27" s="115">
        <v>7701.45</v>
      </c>
      <c r="J27" s="114"/>
      <c r="K27" s="115">
        <v>12406.79</v>
      </c>
      <c r="L27" s="114"/>
      <c r="M27" s="115">
        <v>7618.94</v>
      </c>
      <c r="N27" s="114"/>
      <c r="O27" s="115">
        <v>9066.32</v>
      </c>
      <c r="P27" s="114"/>
      <c r="Q27" s="115">
        <v>10821.57</v>
      </c>
      <c r="R27" s="114"/>
      <c r="S27" s="115">
        <v>7297.86</v>
      </c>
      <c r="T27" s="114"/>
      <c r="U27" s="115">
        <v>14021.14</v>
      </c>
      <c r="V27" s="114"/>
      <c r="W27" s="115">
        <v>10386.33</v>
      </c>
      <c r="X27" s="114"/>
      <c r="Y27" s="115">
        <v>5387.01</v>
      </c>
      <c r="Z27" s="114"/>
      <c r="AA27" s="115">
        <v>8612.75</v>
      </c>
      <c r="AB27" s="114"/>
      <c r="AC27" s="115">
        <v>9060.7999999999993</v>
      </c>
      <c r="AD27" s="114"/>
      <c r="AE27" s="115">
        <f t="shared" si="0"/>
        <v>106507.04000000001</v>
      </c>
      <c r="AF27" s="116"/>
      <c r="AG27" s="117"/>
      <c r="AH27" s="590">
        <f t="shared" si="2"/>
        <v>246.31493021744339</v>
      </c>
      <c r="AJ27" s="106">
        <f t="shared" si="1"/>
        <v>246.31493021744339</v>
      </c>
      <c r="AO27" s="333">
        <v>2113</v>
      </c>
      <c r="AP27" s="334">
        <v>1</v>
      </c>
      <c r="AQ27" s="335">
        <v>9.4742456842442343E-7</v>
      </c>
    </row>
    <row r="28" spans="1:43" ht="15" outlineLevel="1">
      <c r="A28" s="111">
        <v>70204</v>
      </c>
      <c r="B28" s="111" t="s">
        <v>611</v>
      </c>
      <c r="C28" s="112"/>
      <c r="D28" s="108"/>
      <c r="E28" s="113"/>
      <c r="F28" s="114"/>
      <c r="G28" s="115">
        <v>0</v>
      </c>
      <c r="H28" s="114"/>
      <c r="I28" s="115">
        <v>0</v>
      </c>
      <c r="J28" s="114"/>
      <c r="K28" s="115">
        <v>0</v>
      </c>
      <c r="L28" s="114"/>
      <c r="M28" s="115">
        <v>0</v>
      </c>
      <c r="N28" s="114"/>
      <c r="O28" s="115">
        <v>0</v>
      </c>
      <c r="P28" s="114"/>
      <c r="Q28" s="115">
        <v>0</v>
      </c>
      <c r="R28" s="114"/>
      <c r="S28" s="115">
        <v>0</v>
      </c>
      <c r="T28" s="114"/>
      <c r="U28" s="115">
        <v>0</v>
      </c>
      <c r="V28" s="114"/>
      <c r="W28" s="115">
        <v>0</v>
      </c>
      <c r="X28" s="114"/>
      <c r="Y28" s="115">
        <v>0</v>
      </c>
      <c r="Z28" s="114"/>
      <c r="AA28" s="115">
        <v>0</v>
      </c>
      <c r="AB28" s="114"/>
      <c r="AC28" s="115">
        <v>0</v>
      </c>
      <c r="AD28" s="114"/>
      <c r="AE28" s="115">
        <f t="shared" si="0"/>
        <v>0</v>
      </c>
      <c r="AF28" s="116"/>
      <c r="AG28" s="117"/>
      <c r="AH28" s="590">
        <f t="shared" si="2"/>
        <v>0</v>
      </c>
      <c r="AJ28" s="106">
        <f t="shared" si="1"/>
        <v>0</v>
      </c>
      <c r="AO28" s="333">
        <v>2120</v>
      </c>
      <c r="AP28" s="334">
        <v>6363</v>
      </c>
      <c r="AQ28" s="335">
        <v>6.0284625288846063E-3</v>
      </c>
    </row>
    <row r="29" spans="1:43" ht="15" outlineLevel="1">
      <c r="A29" s="111">
        <v>70205</v>
      </c>
      <c r="B29" s="111" t="s">
        <v>277</v>
      </c>
      <c r="C29" s="112"/>
      <c r="D29" s="108"/>
      <c r="E29" s="113"/>
      <c r="F29" s="114"/>
      <c r="G29" s="115">
        <v>8524.26</v>
      </c>
      <c r="H29" s="114"/>
      <c r="I29" s="115">
        <v>6509.39</v>
      </c>
      <c r="J29" s="114"/>
      <c r="K29" s="115">
        <v>14037.55</v>
      </c>
      <c r="L29" s="114"/>
      <c r="M29" s="115">
        <v>8045.05</v>
      </c>
      <c r="N29" s="114"/>
      <c r="O29" s="115">
        <v>9399.2999999999993</v>
      </c>
      <c r="P29" s="114"/>
      <c r="Q29" s="115">
        <v>10875.55</v>
      </c>
      <c r="R29" s="114"/>
      <c r="S29" s="115">
        <v>8744.1</v>
      </c>
      <c r="T29" s="114"/>
      <c r="U29" s="115">
        <v>9536.61</v>
      </c>
      <c r="V29" s="114"/>
      <c r="W29" s="115">
        <v>11346.82</v>
      </c>
      <c r="X29" s="114"/>
      <c r="Y29" s="115">
        <v>6602.36</v>
      </c>
      <c r="Z29" s="114"/>
      <c r="AA29" s="115">
        <v>10264.27</v>
      </c>
      <c r="AB29" s="114"/>
      <c r="AC29" s="115">
        <v>7152.97</v>
      </c>
      <c r="AD29" s="114"/>
      <c r="AE29" s="115">
        <f t="shared" si="0"/>
        <v>111038.23</v>
      </c>
      <c r="AF29" s="116"/>
      <c r="AG29" s="117"/>
      <c r="AH29" s="590">
        <f t="shared" si="2"/>
        <v>256.79404735985935</v>
      </c>
      <c r="AJ29" s="106">
        <f t="shared" si="1"/>
        <v>256.79404735985935</v>
      </c>
      <c r="AO29" s="333">
        <v>2121</v>
      </c>
      <c r="AP29" s="334">
        <v>0</v>
      </c>
      <c r="AQ29" s="335">
        <v>0</v>
      </c>
    </row>
    <row r="30" spans="1:43" ht="15" outlineLevel="1">
      <c r="A30" s="111">
        <v>70206</v>
      </c>
      <c r="B30" s="111" t="s">
        <v>142</v>
      </c>
      <c r="C30" s="112"/>
      <c r="D30" s="108"/>
      <c r="E30" s="113"/>
      <c r="F30" s="114"/>
      <c r="G30" s="115">
        <v>2593.6999999999998</v>
      </c>
      <c r="H30" s="114"/>
      <c r="I30" s="115">
        <v>2056.94</v>
      </c>
      <c r="J30" s="114"/>
      <c r="K30" s="115">
        <v>4101.83</v>
      </c>
      <c r="L30" s="114"/>
      <c r="M30" s="115">
        <v>1642.77</v>
      </c>
      <c r="N30" s="114"/>
      <c r="O30" s="115">
        <v>1841.68</v>
      </c>
      <c r="P30" s="114"/>
      <c r="Q30" s="115">
        <v>2254.4499999999998</v>
      </c>
      <c r="R30" s="114"/>
      <c r="S30" s="115">
        <v>1771.53</v>
      </c>
      <c r="T30" s="114"/>
      <c r="U30" s="115">
        <v>3467.63</v>
      </c>
      <c r="V30" s="114"/>
      <c r="W30" s="115">
        <v>1285.6099999999999</v>
      </c>
      <c r="X30" s="114"/>
      <c r="Y30" s="115">
        <v>2086.87</v>
      </c>
      <c r="Z30" s="114"/>
      <c r="AA30" s="115">
        <v>2596.9699999999998</v>
      </c>
      <c r="AB30" s="114"/>
      <c r="AC30" s="115">
        <v>1827.09</v>
      </c>
      <c r="AD30" s="114"/>
      <c r="AE30" s="115">
        <f t="shared" si="0"/>
        <v>27527.07</v>
      </c>
      <c r="AF30" s="116"/>
      <c r="AG30" s="117"/>
      <c r="AH30" s="590">
        <f t="shared" si="2"/>
        <v>63.660846514377639</v>
      </c>
      <c r="AJ30" s="106">
        <f t="shared" si="1"/>
        <v>63.660846514377639</v>
      </c>
      <c r="AO30" s="333">
        <v>2125</v>
      </c>
      <c r="AP30" s="334">
        <v>1</v>
      </c>
      <c r="AQ30" s="335">
        <v>9.4742456842442343E-7</v>
      </c>
    </row>
    <row r="31" spans="1:43" ht="15" outlineLevel="1">
      <c r="A31" s="111">
        <v>70207</v>
      </c>
      <c r="B31" s="111" t="s">
        <v>143</v>
      </c>
      <c r="C31" s="112"/>
      <c r="D31" s="108"/>
      <c r="E31" s="113"/>
      <c r="F31" s="114"/>
      <c r="G31" s="115">
        <v>0</v>
      </c>
      <c r="H31" s="114"/>
      <c r="I31" s="115">
        <v>0</v>
      </c>
      <c r="J31" s="114"/>
      <c r="K31" s="115">
        <v>0</v>
      </c>
      <c r="L31" s="114"/>
      <c r="M31" s="115">
        <v>0</v>
      </c>
      <c r="N31" s="114"/>
      <c r="O31" s="115">
        <v>0</v>
      </c>
      <c r="P31" s="114"/>
      <c r="Q31" s="115">
        <v>0</v>
      </c>
      <c r="R31" s="114"/>
      <c r="S31" s="115">
        <v>0</v>
      </c>
      <c r="T31" s="114"/>
      <c r="U31" s="115">
        <v>0</v>
      </c>
      <c r="V31" s="114"/>
      <c r="W31" s="115">
        <v>0</v>
      </c>
      <c r="X31" s="114"/>
      <c r="Y31" s="115">
        <v>0</v>
      </c>
      <c r="Z31" s="114"/>
      <c r="AA31" s="115">
        <v>0</v>
      </c>
      <c r="AB31" s="114"/>
      <c r="AC31" s="115">
        <v>0</v>
      </c>
      <c r="AD31" s="114"/>
      <c r="AE31" s="115">
        <f t="shared" si="0"/>
        <v>0</v>
      </c>
      <c r="AF31" s="116"/>
      <c r="AG31" s="117"/>
      <c r="AH31" s="590">
        <f t="shared" si="2"/>
        <v>0</v>
      </c>
      <c r="AJ31" s="106">
        <f t="shared" si="1"/>
        <v>0</v>
      </c>
      <c r="AO31" s="333">
        <v>2131</v>
      </c>
      <c r="AP31" s="334">
        <v>0</v>
      </c>
      <c r="AQ31" s="335">
        <v>0</v>
      </c>
    </row>
    <row r="32" spans="1:43" ht="15" outlineLevel="1">
      <c r="A32" s="111">
        <v>70210</v>
      </c>
      <c r="B32" s="111" t="s">
        <v>105</v>
      </c>
      <c r="C32" s="112"/>
      <c r="D32" s="108"/>
      <c r="E32" s="113"/>
      <c r="F32" s="114"/>
      <c r="G32" s="115">
        <v>6149.85</v>
      </c>
      <c r="H32" s="114"/>
      <c r="I32" s="115">
        <v>3904.92</v>
      </c>
      <c r="J32" s="114"/>
      <c r="K32" s="115">
        <v>2211.67</v>
      </c>
      <c r="L32" s="114"/>
      <c r="M32" s="115">
        <v>5483.39</v>
      </c>
      <c r="N32" s="114"/>
      <c r="O32" s="115">
        <v>4382.53</v>
      </c>
      <c r="P32" s="114"/>
      <c r="Q32" s="115">
        <v>4164.82</v>
      </c>
      <c r="R32" s="114"/>
      <c r="S32" s="115">
        <v>4304.5200000000004</v>
      </c>
      <c r="T32" s="114"/>
      <c r="U32" s="115">
        <v>2960.13</v>
      </c>
      <c r="V32" s="114"/>
      <c r="W32" s="115">
        <v>1788.53</v>
      </c>
      <c r="X32" s="114"/>
      <c r="Y32" s="115">
        <v>3236.67</v>
      </c>
      <c r="Z32" s="114"/>
      <c r="AA32" s="115">
        <v>3534.42</v>
      </c>
      <c r="AB32" s="114"/>
      <c r="AC32" s="115">
        <v>2592.52</v>
      </c>
      <c r="AD32" s="114"/>
      <c r="AE32" s="115">
        <f t="shared" si="0"/>
        <v>44713.969999999994</v>
      </c>
      <c r="AF32" s="116"/>
      <c r="AG32" s="117"/>
      <c r="AH32" s="590">
        <f t="shared" si="2"/>
        <v>103.40836061442377</v>
      </c>
      <c r="AJ32" s="106">
        <f t="shared" si="1"/>
        <v>103.40836061442377</v>
      </c>
      <c r="AO32" s="333">
        <v>2132</v>
      </c>
      <c r="AP32" s="334">
        <v>2185</v>
      </c>
      <c r="AQ32" s="335">
        <v>2.0701226820073653E-3</v>
      </c>
    </row>
    <row r="33" spans="1:43" ht="15" outlineLevel="1">
      <c r="A33" s="111">
        <v>70215</v>
      </c>
      <c r="B33" s="111" t="s">
        <v>110</v>
      </c>
      <c r="C33" s="112"/>
      <c r="D33" s="108"/>
      <c r="E33" s="113"/>
      <c r="F33" s="114"/>
      <c r="G33" s="115">
        <v>0</v>
      </c>
      <c r="H33" s="114"/>
      <c r="I33" s="115">
        <v>109.2</v>
      </c>
      <c r="J33" s="114"/>
      <c r="K33" s="115">
        <v>1.54</v>
      </c>
      <c r="L33" s="114"/>
      <c r="M33" s="115">
        <v>0</v>
      </c>
      <c r="N33" s="114"/>
      <c r="O33" s="115">
        <v>0</v>
      </c>
      <c r="P33" s="114"/>
      <c r="Q33" s="115">
        <v>0</v>
      </c>
      <c r="R33" s="114"/>
      <c r="S33" s="115">
        <v>0</v>
      </c>
      <c r="T33" s="114"/>
      <c r="U33" s="115">
        <v>0</v>
      </c>
      <c r="V33" s="114"/>
      <c r="W33" s="115">
        <v>0</v>
      </c>
      <c r="X33" s="114"/>
      <c r="Y33" s="115">
        <v>0</v>
      </c>
      <c r="Z33" s="114"/>
      <c r="AA33" s="115">
        <v>0</v>
      </c>
      <c r="AB33" s="114"/>
      <c r="AC33" s="115">
        <v>0</v>
      </c>
      <c r="AD33" s="114"/>
      <c r="AE33" s="115">
        <f t="shared" si="0"/>
        <v>110.74000000000001</v>
      </c>
      <c r="AF33" s="116"/>
      <c r="AG33" s="117"/>
      <c r="AH33" s="590">
        <f t="shared" si="2"/>
        <v>0.25610434176256974</v>
      </c>
      <c r="AJ33" s="106">
        <f t="shared" si="1"/>
        <v>0.25610434176256974</v>
      </c>
      <c r="AO33" s="333">
        <v>2140</v>
      </c>
      <c r="AP33" s="334">
        <v>29801</v>
      </c>
      <c r="AQ33" s="335">
        <v>2.8234199563616245E-2</v>
      </c>
    </row>
    <row r="34" spans="1:43" ht="15" outlineLevel="1">
      <c r="A34" s="111">
        <v>70214</v>
      </c>
      <c r="B34" s="111" t="s">
        <v>144</v>
      </c>
      <c r="C34" s="112"/>
      <c r="D34" s="108"/>
      <c r="E34" s="113"/>
      <c r="F34" s="114"/>
      <c r="G34" s="115">
        <v>0</v>
      </c>
      <c r="H34" s="114"/>
      <c r="I34" s="115">
        <v>0</v>
      </c>
      <c r="J34" s="114"/>
      <c r="K34" s="115">
        <v>0</v>
      </c>
      <c r="L34" s="114"/>
      <c r="M34" s="115">
        <v>0</v>
      </c>
      <c r="N34" s="114"/>
      <c r="O34" s="115">
        <v>0</v>
      </c>
      <c r="P34" s="114"/>
      <c r="Q34" s="115">
        <v>0</v>
      </c>
      <c r="R34" s="114"/>
      <c r="S34" s="115">
        <v>6.15</v>
      </c>
      <c r="T34" s="114"/>
      <c r="U34" s="115">
        <v>0</v>
      </c>
      <c r="V34" s="114"/>
      <c r="W34" s="115">
        <v>0</v>
      </c>
      <c r="X34" s="114"/>
      <c r="Y34" s="115">
        <v>0</v>
      </c>
      <c r="Z34" s="114"/>
      <c r="AA34" s="115">
        <v>0</v>
      </c>
      <c r="AB34" s="114"/>
      <c r="AC34" s="115">
        <v>0</v>
      </c>
      <c r="AD34" s="114"/>
      <c r="AE34" s="115">
        <f t="shared" si="0"/>
        <v>6.15</v>
      </c>
      <c r="AF34" s="116"/>
      <c r="AG34" s="117"/>
      <c r="AH34" s="590">
        <f t="shared" si="2"/>
        <v>1.422287973487271E-2</v>
      </c>
      <c r="AJ34" s="106">
        <f t="shared" si="1"/>
        <v>1.422287973487271E-2</v>
      </c>
      <c r="AO34" s="333"/>
      <c r="AP34" s="334"/>
      <c r="AQ34" s="335"/>
    </row>
    <row r="35" spans="1:43" ht="15" outlineLevel="1">
      <c r="A35" s="111">
        <v>70225</v>
      </c>
      <c r="B35" s="111" t="s">
        <v>86</v>
      </c>
      <c r="C35" s="112"/>
      <c r="D35" s="108"/>
      <c r="E35" s="113"/>
      <c r="F35" s="114"/>
      <c r="G35" s="115">
        <v>0</v>
      </c>
      <c r="H35" s="114"/>
      <c r="I35" s="115">
        <v>0</v>
      </c>
      <c r="J35" s="114"/>
      <c r="K35" s="115">
        <v>423.84</v>
      </c>
      <c r="L35" s="114"/>
      <c r="M35" s="115">
        <v>0</v>
      </c>
      <c r="N35" s="114"/>
      <c r="O35" s="115">
        <v>0</v>
      </c>
      <c r="P35" s="114"/>
      <c r="Q35" s="115">
        <v>0</v>
      </c>
      <c r="R35" s="114"/>
      <c r="S35" s="115">
        <v>0</v>
      </c>
      <c r="T35" s="114"/>
      <c r="U35" s="115">
        <v>10</v>
      </c>
      <c r="V35" s="114"/>
      <c r="W35" s="115">
        <v>0</v>
      </c>
      <c r="X35" s="114"/>
      <c r="Y35" s="115">
        <v>0</v>
      </c>
      <c r="Z35" s="114"/>
      <c r="AA35" s="115">
        <v>0</v>
      </c>
      <c r="AB35" s="114"/>
      <c r="AC35" s="115">
        <v>0</v>
      </c>
      <c r="AD35" s="114"/>
      <c r="AE35" s="115">
        <f t="shared" si="0"/>
        <v>433.84</v>
      </c>
      <c r="AF35" s="116"/>
      <c r="AG35" s="117"/>
      <c r="AH35" s="590">
        <f t="shared" si="2"/>
        <v>1.0033258771019797</v>
      </c>
      <c r="AI35" s="106">
        <f>-AH35</f>
        <v>-1.0033258771019797</v>
      </c>
      <c r="AJ35" s="106">
        <f t="shared" si="1"/>
        <v>0</v>
      </c>
      <c r="AO35" s="333">
        <v>2143</v>
      </c>
      <c r="AP35" s="334">
        <v>0</v>
      </c>
      <c r="AQ35" s="335">
        <v>0</v>
      </c>
    </row>
    <row r="36" spans="1:43" ht="15" outlineLevel="1">
      <c r="A36" s="111">
        <v>70230</v>
      </c>
      <c r="B36" s="111" t="s">
        <v>145</v>
      </c>
      <c r="C36" s="112"/>
      <c r="D36" s="108"/>
      <c r="E36" s="113"/>
      <c r="F36" s="114"/>
      <c r="G36" s="115">
        <v>16000</v>
      </c>
      <c r="H36" s="114"/>
      <c r="I36" s="115">
        <v>-16000</v>
      </c>
      <c r="J36" s="114"/>
      <c r="K36" s="115">
        <v>0</v>
      </c>
      <c r="L36" s="114"/>
      <c r="M36" s="115">
        <v>0</v>
      </c>
      <c r="N36" s="114"/>
      <c r="O36" s="115">
        <v>0</v>
      </c>
      <c r="P36" s="114"/>
      <c r="Q36" s="115">
        <v>0</v>
      </c>
      <c r="R36" s="114"/>
      <c r="S36" s="115">
        <v>0</v>
      </c>
      <c r="T36" s="114"/>
      <c r="U36" s="115">
        <v>0</v>
      </c>
      <c r="V36" s="114"/>
      <c r="W36" s="115">
        <v>0</v>
      </c>
      <c r="X36" s="114"/>
      <c r="Y36" s="115">
        <v>0</v>
      </c>
      <c r="Z36" s="114"/>
      <c r="AA36" s="115">
        <v>0</v>
      </c>
      <c r="AB36" s="114"/>
      <c r="AC36" s="115">
        <v>99</v>
      </c>
      <c r="AD36" s="114"/>
      <c r="AE36" s="115">
        <f t="shared" si="0"/>
        <v>99</v>
      </c>
      <c r="AF36" s="116"/>
      <c r="AG36" s="117"/>
      <c r="AH36" s="590">
        <f t="shared" si="2"/>
        <v>0.22895367378087775</v>
      </c>
      <c r="AJ36" s="106">
        <f t="shared" si="1"/>
        <v>0.22895367378087775</v>
      </c>
      <c r="AO36" s="333">
        <v>2144</v>
      </c>
      <c r="AP36" s="334">
        <v>12945</v>
      </c>
      <c r="AQ36" s="335">
        <v>1.2264411038254161E-2</v>
      </c>
    </row>
    <row r="37" spans="1:43" ht="15" outlineLevel="1">
      <c r="A37" s="111">
        <v>70231</v>
      </c>
      <c r="B37" s="111" t="s">
        <v>146</v>
      </c>
      <c r="C37" s="112"/>
      <c r="D37" s="108"/>
      <c r="E37" s="113"/>
      <c r="F37" s="114"/>
      <c r="G37" s="115">
        <v>14019.99</v>
      </c>
      <c r="H37" s="114"/>
      <c r="I37" s="115">
        <v>61.46</v>
      </c>
      <c r="J37" s="114"/>
      <c r="K37" s="115">
        <v>138.91</v>
      </c>
      <c r="L37" s="114"/>
      <c r="M37" s="115">
        <v>397.92</v>
      </c>
      <c r="N37" s="114"/>
      <c r="O37" s="115">
        <v>466.46</v>
      </c>
      <c r="P37" s="114"/>
      <c r="Q37" s="115">
        <v>501.7</v>
      </c>
      <c r="R37" s="114"/>
      <c r="S37" s="115">
        <v>97.02</v>
      </c>
      <c r="T37" s="114"/>
      <c r="U37" s="115">
        <v>6.6</v>
      </c>
      <c r="V37" s="114"/>
      <c r="W37" s="115">
        <v>3277.6</v>
      </c>
      <c r="X37" s="114"/>
      <c r="Y37" s="115">
        <v>2474.79</v>
      </c>
      <c r="Z37" s="114"/>
      <c r="AA37" s="115">
        <v>842.39</v>
      </c>
      <c r="AB37" s="114"/>
      <c r="AC37" s="115">
        <v>173.37</v>
      </c>
      <c r="AD37" s="114"/>
      <c r="AE37" s="115">
        <f t="shared" si="0"/>
        <v>22458.21</v>
      </c>
      <c r="AF37" s="116"/>
      <c r="AG37" s="117"/>
      <c r="AH37" s="590">
        <f t="shared" si="2"/>
        <v>51.938279656994403</v>
      </c>
      <c r="AJ37" s="106">
        <f t="shared" si="1"/>
        <v>51.938279656994403</v>
      </c>
      <c r="AO37" s="333">
        <v>2146</v>
      </c>
      <c r="AP37" s="334">
        <v>7439</v>
      </c>
      <c r="AQ37" s="335">
        <v>7.0478913645092862E-3</v>
      </c>
    </row>
    <row r="38" spans="1:43" ht="15" outlineLevel="1">
      <c r="A38" s="111">
        <v>70232</v>
      </c>
      <c r="B38" s="111" t="s">
        <v>147</v>
      </c>
      <c r="C38" s="112"/>
      <c r="D38" s="108"/>
      <c r="E38" s="113"/>
      <c r="F38" s="114"/>
      <c r="G38" s="115">
        <v>0</v>
      </c>
      <c r="H38" s="114"/>
      <c r="I38" s="115">
        <v>0</v>
      </c>
      <c r="J38" s="114"/>
      <c r="K38" s="115">
        <v>0</v>
      </c>
      <c r="L38" s="114"/>
      <c r="M38" s="115">
        <v>0</v>
      </c>
      <c r="N38" s="114"/>
      <c r="O38" s="115">
        <v>960.91</v>
      </c>
      <c r="P38" s="114"/>
      <c r="Q38" s="115">
        <v>197.62</v>
      </c>
      <c r="R38" s="114"/>
      <c r="S38" s="115">
        <v>32</v>
      </c>
      <c r="T38" s="114"/>
      <c r="U38" s="115">
        <v>0</v>
      </c>
      <c r="V38" s="114"/>
      <c r="W38" s="115">
        <v>0</v>
      </c>
      <c r="X38" s="114"/>
      <c r="Y38" s="115">
        <v>0</v>
      </c>
      <c r="Z38" s="114"/>
      <c r="AA38" s="115">
        <v>29.95</v>
      </c>
      <c r="AB38" s="114"/>
      <c r="AC38" s="115">
        <v>0</v>
      </c>
      <c r="AD38" s="114"/>
      <c r="AE38" s="115">
        <f t="shared" si="0"/>
        <v>1220.48</v>
      </c>
      <c r="AF38" s="116"/>
      <c r="AG38" s="117"/>
      <c r="AH38" s="590">
        <f t="shared" si="2"/>
        <v>2.822559391677633</v>
      </c>
      <c r="AJ38" s="106">
        <f t="shared" si="1"/>
        <v>2.822559391677633</v>
      </c>
      <c r="AO38" s="333"/>
      <c r="AP38" s="334"/>
      <c r="AQ38" s="335"/>
    </row>
    <row r="39" spans="1:43" ht="15" outlineLevel="1">
      <c r="A39" s="111">
        <v>70245</v>
      </c>
      <c r="B39" s="111" t="s">
        <v>278</v>
      </c>
      <c r="C39" s="112"/>
      <c r="D39" s="108"/>
      <c r="E39" s="113"/>
      <c r="F39" s="114"/>
      <c r="G39" s="115">
        <v>131.36000000000001</v>
      </c>
      <c r="H39" s="114"/>
      <c r="I39" s="115">
        <v>131.36000000000001</v>
      </c>
      <c r="J39" s="114"/>
      <c r="K39" s="115">
        <v>131.36000000000001</v>
      </c>
      <c r="L39" s="114"/>
      <c r="M39" s="115">
        <v>0</v>
      </c>
      <c r="N39" s="114"/>
      <c r="O39" s="115">
        <v>0</v>
      </c>
      <c r="P39" s="114"/>
      <c r="Q39" s="115">
        <v>0</v>
      </c>
      <c r="R39" s="114"/>
      <c r="S39" s="115">
        <v>0</v>
      </c>
      <c r="T39" s="114"/>
      <c r="U39" s="115">
        <v>0</v>
      </c>
      <c r="V39" s="114"/>
      <c r="W39" s="115">
        <v>0</v>
      </c>
      <c r="X39" s="114"/>
      <c r="Y39" s="115">
        <v>0</v>
      </c>
      <c r="Z39" s="114"/>
      <c r="AA39" s="115">
        <v>0</v>
      </c>
      <c r="AB39" s="114"/>
      <c r="AC39" s="115">
        <v>0</v>
      </c>
      <c r="AD39" s="114"/>
      <c r="AE39" s="115">
        <f t="shared" si="0"/>
        <v>394.08000000000004</v>
      </c>
      <c r="AF39" s="116"/>
      <c r="AG39" s="117"/>
      <c r="AH39" s="590">
        <f t="shared" si="2"/>
        <v>0.91137438145018501</v>
      </c>
      <c r="AJ39" s="106">
        <f t="shared" si="1"/>
        <v>0.91137438145018501</v>
      </c>
      <c r="AO39" s="333">
        <v>2148</v>
      </c>
      <c r="AP39" s="334"/>
      <c r="AQ39" s="335">
        <v>0</v>
      </c>
    </row>
    <row r="40" spans="1:43" ht="15" outlineLevel="1">
      <c r="A40" s="111">
        <v>70255</v>
      </c>
      <c r="B40" s="111" t="s">
        <v>73</v>
      </c>
      <c r="C40" s="112"/>
      <c r="D40" s="108"/>
      <c r="E40" s="113"/>
      <c r="F40" s="114"/>
      <c r="G40" s="115">
        <v>9500</v>
      </c>
      <c r="H40" s="114"/>
      <c r="I40" s="115">
        <v>30875.84</v>
      </c>
      <c r="J40" s="114"/>
      <c r="K40" s="115">
        <v>11999.5</v>
      </c>
      <c r="L40" s="114"/>
      <c r="M40" s="115">
        <v>4000</v>
      </c>
      <c r="N40" s="114"/>
      <c r="O40" s="115">
        <v>11424.28</v>
      </c>
      <c r="P40" s="114"/>
      <c r="Q40" s="115">
        <v>21498.36</v>
      </c>
      <c r="R40" s="114"/>
      <c r="S40" s="115">
        <v>0</v>
      </c>
      <c r="T40" s="114"/>
      <c r="U40" s="115">
        <v>-32331.79</v>
      </c>
      <c r="V40" s="114"/>
      <c r="W40" s="115">
        <v>5465.76</v>
      </c>
      <c r="X40" s="114"/>
      <c r="Y40" s="115">
        <v>339.5</v>
      </c>
      <c r="Z40" s="114"/>
      <c r="AA40" s="115">
        <v>0</v>
      </c>
      <c r="AB40" s="114"/>
      <c r="AC40" s="115">
        <v>3500</v>
      </c>
      <c r="AD40" s="114"/>
      <c r="AE40" s="115">
        <f t="shared" si="0"/>
        <v>66271.45</v>
      </c>
      <c r="AF40" s="116"/>
      <c r="AG40" s="117"/>
      <c r="AH40" s="590">
        <f t="shared" si="2"/>
        <v>153.26355499278534</v>
      </c>
      <c r="AJ40" s="106">
        <f t="shared" si="1"/>
        <v>153.26355499278534</v>
      </c>
      <c r="AO40" s="333">
        <v>2149</v>
      </c>
      <c r="AP40" s="334">
        <v>12817</v>
      </c>
      <c r="AQ40" s="335">
        <v>1.2143140693495836E-2</v>
      </c>
    </row>
    <row r="41" spans="1:43" ht="15" outlineLevel="1">
      <c r="A41" s="111">
        <v>70275</v>
      </c>
      <c r="B41" s="111" t="s">
        <v>260</v>
      </c>
      <c r="C41" s="112"/>
      <c r="D41" s="108"/>
      <c r="E41" s="113"/>
      <c r="F41" s="114"/>
      <c r="G41" s="115">
        <v>0</v>
      </c>
      <c r="H41" s="114"/>
      <c r="I41" s="115">
        <v>0</v>
      </c>
      <c r="J41" s="114"/>
      <c r="K41" s="115">
        <v>0</v>
      </c>
      <c r="L41" s="114"/>
      <c r="M41" s="115">
        <v>0</v>
      </c>
      <c r="N41" s="114"/>
      <c r="O41" s="115">
        <v>0</v>
      </c>
      <c r="P41" s="114"/>
      <c r="Q41" s="115">
        <v>0</v>
      </c>
      <c r="R41" s="114"/>
      <c r="S41" s="115">
        <v>0</v>
      </c>
      <c r="T41" s="114"/>
      <c r="U41" s="115">
        <v>0</v>
      </c>
      <c r="V41" s="114"/>
      <c r="W41" s="115">
        <v>0</v>
      </c>
      <c r="X41" s="114"/>
      <c r="Y41" s="115">
        <v>0</v>
      </c>
      <c r="Z41" s="114"/>
      <c r="AA41" s="115">
        <v>0</v>
      </c>
      <c r="AB41" s="114"/>
      <c r="AC41" s="115">
        <v>0</v>
      </c>
      <c r="AD41" s="114"/>
      <c r="AE41" s="115">
        <f t="shared" si="0"/>
        <v>0</v>
      </c>
      <c r="AF41" s="116"/>
      <c r="AG41" s="117"/>
      <c r="AH41" s="590">
        <f t="shared" si="2"/>
        <v>0</v>
      </c>
      <c r="AJ41" s="106">
        <f t="shared" si="1"/>
        <v>0</v>
      </c>
      <c r="AO41" s="333">
        <v>2150</v>
      </c>
      <c r="AP41" s="334">
        <v>0</v>
      </c>
      <c r="AQ41" s="335">
        <v>0</v>
      </c>
    </row>
    <row r="42" spans="1:43" ht="15" outlineLevel="1">
      <c r="A42" s="111">
        <v>70302</v>
      </c>
      <c r="B42" s="111" t="s">
        <v>114</v>
      </c>
      <c r="C42" s="112"/>
      <c r="D42" s="108"/>
      <c r="E42" s="113"/>
      <c r="F42" s="114"/>
      <c r="G42" s="115">
        <v>144.43</v>
      </c>
      <c r="H42" s="114"/>
      <c r="I42" s="115">
        <v>13.97</v>
      </c>
      <c r="J42" s="114"/>
      <c r="K42" s="115">
        <v>5.18</v>
      </c>
      <c r="L42" s="114"/>
      <c r="M42" s="115">
        <v>286.52999999999997</v>
      </c>
      <c r="N42" s="114"/>
      <c r="O42" s="115">
        <v>892.37</v>
      </c>
      <c r="P42" s="114"/>
      <c r="Q42" s="115">
        <v>560.29</v>
      </c>
      <c r="R42" s="114"/>
      <c r="S42" s="115">
        <v>1059.02</v>
      </c>
      <c r="T42" s="114"/>
      <c r="U42" s="115">
        <v>142.16999999999999</v>
      </c>
      <c r="V42" s="114"/>
      <c r="W42" s="115">
        <v>607.03</v>
      </c>
      <c r="X42" s="114"/>
      <c r="Y42" s="115">
        <v>74.63</v>
      </c>
      <c r="Z42" s="114"/>
      <c r="AA42" s="115">
        <v>425.75</v>
      </c>
      <c r="AB42" s="114"/>
      <c r="AC42" s="115">
        <v>172.4</v>
      </c>
      <c r="AD42" s="114"/>
      <c r="AE42" s="115">
        <f t="shared" si="0"/>
        <v>4383.7700000000004</v>
      </c>
      <c r="AF42" s="116"/>
      <c r="AG42" s="117"/>
      <c r="AH42" s="590">
        <f t="shared" si="2"/>
        <v>10.138184308185842</v>
      </c>
      <c r="AJ42" s="106">
        <f t="shared" si="1"/>
        <v>10.138184308185842</v>
      </c>
      <c r="AO42" s="333">
        <v>2160</v>
      </c>
      <c r="AP42" s="334">
        <v>0</v>
      </c>
      <c r="AQ42" s="335">
        <v>0</v>
      </c>
    </row>
    <row r="43" spans="1:43" ht="15" outlineLevel="1">
      <c r="A43" s="111">
        <v>70320</v>
      </c>
      <c r="B43" s="111" t="s">
        <v>115</v>
      </c>
      <c r="C43" s="112"/>
      <c r="D43" s="108"/>
      <c r="E43" s="113"/>
      <c r="F43" s="114"/>
      <c r="G43" s="115">
        <v>140.6</v>
      </c>
      <c r="H43" s="114"/>
      <c r="I43" s="115">
        <v>207.05</v>
      </c>
      <c r="J43" s="114"/>
      <c r="K43" s="115">
        <v>213.76</v>
      </c>
      <c r="L43" s="114"/>
      <c r="M43" s="115">
        <v>233.52</v>
      </c>
      <c r="N43" s="114"/>
      <c r="O43" s="115">
        <v>57.05</v>
      </c>
      <c r="P43" s="114"/>
      <c r="Q43" s="115">
        <v>207.05</v>
      </c>
      <c r="R43" s="114"/>
      <c r="S43" s="115">
        <v>307.75</v>
      </c>
      <c r="T43" s="114"/>
      <c r="U43" s="115">
        <v>67.75</v>
      </c>
      <c r="V43" s="114"/>
      <c r="W43" s="115">
        <v>60.22</v>
      </c>
      <c r="X43" s="114"/>
      <c r="Y43" s="115">
        <v>14880.38</v>
      </c>
      <c r="Z43" s="114"/>
      <c r="AA43" s="115">
        <v>4638.72</v>
      </c>
      <c r="AB43" s="114"/>
      <c r="AC43" s="115">
        <v>3380.72</v>
      </c>
      <c r="AD43" s="114"/>
      <c r="AE43" s="115">
        <f t="shared" si="0"/>
        <v>24394.569999999996</v>
      </c>
      <c r="AF43" s="116"/>
      <c r="AG43" s="117"/>
      <c r="AH43" s="590">
        <f t="shared" si="2"/>
        <v>56.416428503078656</v>
      </c>
      <c r="AJ43" s="106">
        <f t="shared" si="1"/>
        <v>56.416428503078656</v>
      </c>
      <c r="AO43" s="333">
        <v>2170</v>
      </c>
      <c r="AP43" s="334">
        <v>0</v>
      </c>
      <c r="AQ43" s="335">
        <v>0</v>
      </c>
    </row>
    <row r="44" spans="1:43" ht="15" outlineLevel="1">
      <c r="A44" s="111">
        <v>70335</v>
      </c>
      <c r="B44" s="111" t="s">
        <v>72</v>
      </c>
      <c r="C44" s="112"/>
      <c r="D44" s="108"/>
      <c r="E44" s="113"/>
      <c r="F44" s="114"/>
      <c r="G44" s="115">
        <v>0</v>
      </c>
      <c r="H44" s="114"/>
      <c r="I44" s="115">
        <v>0</v>
      </c>
      <c r="J44" s="114"/>
      <c r="K44" s="115">
        <v>0</v>
      </c>
      <c r="L44" s="114"/>
      <c r="M44" s="115">
        <v>0</v>
      </c>
      <c r="N44" s="114"/>
      <c r="O44" s="115">
        <v>0</v>
      </c>
      <c r="P44" s="114"/>
      <c r="Q44" s="115">
        <v>-150.46</v>
      </c>
      <c r="R44" s="114"/>
      <c r="S44" s="115">
        <v>0</v>
      </c>
      <c r="T44" s="114"/>
      <c r="U44" s="115">
        <v>0</v>
      </c>
      <c r="V44" s="114"/>
      <c r="W44" s="115">
        <v>0</v>
      </c>
      <c r="X44" s="114"/>
      <c r="Y44" s="115">
        <v>0</v>
      </c>
      <c r="Z44" s="114"/>
      <c r="AA44" s="115">
        <v>0</v>
      </c>
      <c r="AB44" s="114"/>
      <c r="AC44" s="115">
        <v>0</v>
      </c>
      <c r="AD44" s="114"/>
      <c r="AE44" s="115">
        <f t="shared" si="0"/>
        <v>-150.46</v>
      </c>
      <c r="AF44" s="116"/>
      <c r="AG44" s="117"/>
      <c r="AH44" s="590">
        <f t="shared" si="2"/>
        <v>-0.34796333087950371</v>
      </c>
      <c r="AJ44" s="106">
        <f t="shared" si="1"/>
        <v>-0.34796333087950371</v>
      </c>
      <c r="AO44" s="333">
        <v>2171</v>
      </c>
      <c r="AP44" s="334">
        <v>62</v>
      </c>
      <c r="AQ44" s="335">
        <v>5.8740323242314253E-5</v>
      </c>
    </row>
    <row r="45" spans="1:43" ht="15" outlineLevel="1">
      <c r="A45" s="111">
        <v>70336</v>
      </c>
      <c r="B45" s="111" t="s">
        <v>150</v>
      </c>
      <c r="C45" s="112"/>
      <c r="D45" s="108"/>
      <c r="E45" s="113"/>
      <c r="F45" s="114"/>
      <c r="G45" s="115">
        <v>911.11</v>
      </c>
      <c r="H45" s="114"/>
      <c r="I45" s="115">
        <v>279.52</v>
      </c>
      <c r="J45" s="114"/>
      <c r="K45" s="115">
        <v>321.27</v>
      </c>
      <c r="L45" s="114"/>
      <c r="M45" s="115">
        <v>855.38</v>
      </c>
      <c r="N45" s="114"/>
      <c r="O45" s="115">
        <v>561.62</v>
      </c>
      <c r="P45" s="114"/>
      <c r="Q45" s="115">
        <v>536.61</v>
      </c>
      <c r="R45" s="114"/>
      <c r="S45" s="115">
        <v>189.1</v>
      </c>
      <c r="T45" s="114"/>
      <c r="U45" s="115">
        <v>902.12</v>
      </c>
      <c r="V45" s="114"/>
      <c r="W45" s="115">
        <v>494.45</v>
      </c>
      <c r="X45" s="114"/>
      <c r="Y45" s="115">
        <v>1176.54</v>
      </c>
      <c r="Z45" s="114"/>
      <c r="AA45" s="115">
        <v>-26.41</v>
      </c>
      <c r="AB45" s="114"/>
      <c r="AC45" s="115">
        <v>768.23</v>
      </c>
      <c r="AD45" s="114"/>
      <c r="AE45" s="115">
        <f t="shared" si="0"/>
        <v>6969.54</v>
      </c>
      <c r="AF45" s="116"/>
      <c r="AG45" s="117"/>
      <c r="AH45" s="590">
        <f t="shared" si="2"/>
        <v>16.118199874371506</v>
      </c>
      <c r="AJ45" s="106">
        <f t="shared" si="1"/>
        <v>16.118199874371506</v>
      </c>
      <c r="AO45" s="333">
        <v>2172</v>
      </c>
      <c r="AP45" s="334">
        <v>10</v>
      </c>
      <c r="AQ45" s="335">
        <v>9.4742456842442343E-6</v>
      </c>
    </row>
    <row r="46" spans="1:43" ht="15.75" outlineLevel="1">
      <c r="A46" s="112"/>
      <c r="B46" s="112"/>
      <c r="C46" s="112"/>
      <c r="D46" s="112"/>
      <c r="E46" s="113"/>
      <c r="F46" s="113"/>
      <c r="G46" s="148"/>
      <c r="H46" s="146"/>
      <c r="I46" s="148"/>
      <c r="J46" s="146"/>
      <c r="K46" s="148"/>
      <c r="L46" s="146"/>
      <c r="M46" s="148"/>
      <c r="N46" s="146"/>
      <c r="O46" s="148"/>
      <c r="P46" s="146"/>
      <c r="Q46" s="148"/>
      <c r="R46" s="146"/>
      <c r="S46" s="148"/>
      <c r="T46" s="146"/>
      <c r="U46" s="148"/>
      <c r="V46" s="146"/>
      <c r="W46" s="148"/>
      <c r="X46" s="146"/>
      <c r="Y46" s="148"/>
      <c r="Z46" s="146"/>
      <c r="AA46" s="148"/>
      <c r="AB46" s="146"/>
      <c r="AC46" s="148"/>
      <c r="AD46" s="146"/>
      <c r="AE46" s="148"/>
      <c r="AF46" s="142"/>
      <c r="AG46" s="122"/>
      <c r="AH46" s="341"/>
      <c r="AI46" s="342"/>
      <c r="AJ46" s="342"/>
      <c r="AK46" s="343"/>
      <c r="AL46" s="113"/>
      <c r="AO46" s="333">
        <v>2173</v>
      </c>
      <c r="AP46" s="334">
        <v>12</v>
      </c>
      <c r="AQ46" s="335">
        <v>1.1369094821093081E-5</v>
      </c>
    </row>
    <row r="47" spans="1:43" ht="15.75" outlineLevel="1">
      <c r="A47" s="113"/>
      <c r="B47" s="113"/>
      <c r="C47" s="112" t="s">
        <v>279</v>
      </c>
      <c r="D47" s="113"/>
      <c r="E47" s="113"/>
      <c r="F47" s="113"/>
      <c r="G47" s="145">
        <f>SUM(G7:G46)</f>
        <v>182527.27</v>
      </c>
      <c r="H47" s="146"/>
      <c r="I47" s="145">
        <f>SUM(I7:I46)</f>
        <v>278524.48</v>
      </c>
      <c r="J47" s="146"/>
      <c r="K47" s="145">
        <f>SUM(K7:K46)</f>
        <v>200112.69999999998</v>
      </c>
      <c r="L47" s="146"/>
      <c r="M47" s="145">
        <f>SUM(M7:M46)</f>
        <v>116341.47000000002</v>
      </c>
      <c r="N47" s="146"/>
      <c r="O47" s="145">
        <f>SUM(O7:O46)</f>
        <v>209539.76999999996</v>
      </c>
      <c r="P47" s="146"/>
      <c r="Q47" s="145">
        <f>SUM(Q7:Q46)</f>
        <v>167164.54999999999</v>
      </c>
      <c r="R47" s="146"/>
      <c r="S47" s="145">
        <f>SUM(S7:S46)</f>
        <v>160430.86999999997</v>
      </c>
      <c r="T47" s="146"/>
      <c r="U47" s="145">
        <f>SUM(U7:U46)</f>
        <v>96389.2</v>
      </c>
      <c r="V47" s="146"/>
      <c r="W47" s="145">
        <f>SUM(W7:W46)</f>
        <v>208429.23</v>
      </c>
      <c r="X47" s="146"/>
      <c r="Y47" s="145">
        <f>SUM(Y7:Y46)</f>
        <v>107169.69999999998</v>
      </c>
      <c r="Z47" s="146"/>
      <c r="AA47" s="145">
        <f>SUM(AA7:AA46)</f>
        <v>94846.949999999983</v>
      </c>
      <c r="AB47" s="146"/>
      <c r="AC47" s="145">
        <f>SUM(AC7:AC46)</f>
        <v>128715.05</v>
      </c>
      <c r="AD47" s="146"/>
      <c r="AE47" s="145">
        <f>SUM(AE7:AE46)</f>
        <v>1950191.2400000002</v>
      </c>
      <c r="AF47" s="116"/>
      <c r="AG47" s="122"/>
      <c r="AH47" s="145">
        <f>SUM(AH8:AH46)</f>
        <v>4510.1358482150044</v>
      </c>
      <c r="AI47" s="145">
        <f>SUM(AI8:AI46)</f>
        <v>-666.02681519441614</v>
      </c>
      <c r="AJ47" s="145">
        <f>SUM(AJ8:AJ46)</f>
        <v>3841.490311778477</v>
      </c>
      <c r="AK47" s="145"/>
      <c r="AL47" s="113"/>
      <c r="AO47" s="333">
        <v>2180</v>
      </c>
      <c r="AP47" s="334">
        <v>75048</v>
      </c>
      <c r="AQ47" s="335">
        <v>7.1102319011116133E-2</v>
      </c>
    </row>
    <row r="48" spans="1:43" s="113" customFormat="1" ht="11.25" customHeight="1" outlineLevel="1">
      <c r="G48" s="147"/>
      <c r="H48" s="146"/>
      <c r="I48" s="147"/>
      <c r="J48" s="146"/>
      <c r="K48" s="147"/>
      <c r="L48" s="146"/>
      <c r="M48" s="147"/>
      <c r="N48" s="146"/>
      <c r="O48" s="147"/>
      <c r="P48" s="146"/>
      <c r="Q48" s="147"/>
      <c r="R48" s="146"/>
      <c r="S48" s="147"/>
      <c r="T48" s="146"/>
      <c r="U48" s="147"/>
      <c r="V48" s="146"/>
      <c r="W48" s="147"/>
      <c r="X48" s="146"/>
      <c r="Y48" s="147"/>
      <c r="Z48" s="146"/>
      <c r="AA48" s="147"/>
      <c r="AB48" s="146"/>
      <c r="AC48" s="147"/>
      <c r="AD48" s="146"/>
      <c r="AE48" s="147"/>
      <c r="AF48" s="142"/>
      <c r="AG48" s="122"/>
      <c r="AO48" s="333">
        <v>2182</v>
      </c>
      <c r="AP48" s="334">
        <v>1</v>
      </c>
      <c r="AQ48" s="335">
        <v>9.4742456842442343E-7</v>
      </c>
    </row>
    <row r="49" spans="1:43" s="113" customFormat="1" ht="16.5" thickBot="1">
      <c r="A49" s="118"/>
      <c r="B49" s="118"/>
      <c r="C49" s="118"/>
      <c r="D49" s="118"/>
      <c r="E49" s="106"/>
      <c r="F49" s="106"/>
      <c r="G49" s="173"/>
      <c r="H49" s="106"/>
      <c r="I49" s="173"/>
      <c r="J49" s="122"/>
      <c r="K49" s="173"/>
      <c r="L49" s="122"/>
      <c r="M49" s="173"/>
      <c r="N49" s="106"/>
      <c r="O49" s="173"/>
      <c r="P49" s="122"/>
      <c r="Q49" s="173"/>
      <c r="R49" s="122"/>
      <c r="S49" s="173"/>
      <c r="T49" s="106"/>
      <c r="U49" s="173"/>
      <c r="V49" s="122"/>
      <c r="W49" s="173"/>
      <c r="X49" s="122"/>
      <c r="Y49" s="173"/>
      <c r="Z49" s="106"/>
      <c r="AA49" s="173"/>
      <c r="AB49" s="122"/>
      <c r="AC49" s="173"/>
      <c r="AD49" s="122"/>
      <c r="AE49" s="173"/>
      <c r="AF49" s="344" t="s">
        <v>612</v>
      </c>
      <c r="AG49" s="106"/>
      <c r="AH49" s="345">
        <f>'Bingen Consolidated IS'!C187</f>
        <v>4429.28</v>
      </c>
      <c r="AI49" s="173"/>
      <c r="AJ49" s="346">
        <f>AH49+AI47</f>
        <v>3763.2531848055837</v>
      </c>
      <c r="AK49" s="347"/>
      <c r="AL49" s="348"/>
      <c r="AO49" s="333">
        <v>2183</v>
      </c>
      <c r="AP49" s="334">
        <v>57936</v>
      </c>
      <c r="AQ49" s="335">
        <v>5.4889989796237396E-2</v>
      </c>
    </row>
    <row r="50" spans="1:43" s="113" customFormat="1" ht="15.75" outlineLevel="1">
      <c r="A50" s="112"/>
      <c r="B50" s="112"/>
      <c r="C50" s="112"/>
      <c r="D50" s="112"/>
      <c r="E50" s="106"/>
      <c r="F50" s="106"/>
      <c r="G50" s="173"/>
      <c r="H50" s="106"/>
      <c r="I50" s="173"/>
      <c r="J50" s="122"/>
      <c r="K50" s="173"/>
      <c r="L50" s="122"/>
      <c r="M50" s="173"/>
      <c r="N50" s="106"/>
      <c r="O50" s="173"/>
      <c r="P50" s="122"/>
      <c r="Q50" s="173"/>
      <c r="R50" s="122"/>
      <c r="S50" s="173"/>
      <c r="T50" s="106"/>
      <c r="U50" s="173"/>
      <c r="V50" s="122"/>
      <c r="W50" s="173"/>
      <c r="X50" s="122"/>
      <c r="Y50" s="173"/>
      <c r="Z50" s="106"/>
      <c r="AA50" s="173"/>
      <c r="AB50" s="122"/>
      <c r="AC50" s="173"/>
      <c r="AD50" s="122"/>
      <c r="AE50" s="173"/>
      <c r="AF50" s="173"/>
      <c r="AG50" s="106"/>
      <c r="AH50" s="173">
        <f>AH47-AH49</f>
        <v>80.855848215004698</v>
      </c>
      <c r="AI50" s="1231" t="s">
        <v>613</v>
      </c>
      <c r="AJ50" s="173">
        <f>AJ47-AJ49</f>
        <v>78.237126972893293</v>
      </c>
      <c r="AK50" s="1232" t="s">
        <v>613</v>
      </c>
      <c r="AL50" s="173"/>
      <c r="AO50" s="333">
        <v>2184</v>
      </c>
      <c r="AP50" s="334">
        <v>1</v>
      </c>
      <c r="AQ50" s="335">
        <v>9.4742456842442343E-7</v>
      </c>
    </row>
    <row r="51" spans="1:43" s="173" customFormat="1" ht="15.75">
      <c r="A51" s="113"/>
      <c r="B51" s="113"/>
      <c r="C51" s="112"/>
      <c r="D51" s="113"/>
      <c r="E51" s="106"/>
      <c r="F51" s="106"/>
      <c r="H51" s="106"/>
      <c r="J51" s="122"/>
      <c r="L51" s="122"/>
      <c r="N51" s="106"/>
      <c r="P51" s="122"/>
      <c r="R51" s="122"/>
      <c r="T51" s="106"/>
      <c r="V51" s="122"/>
      <c r="X51" s="122"/>
      <c r="Z51" s="106"/>
      <c r="AB51" s="122"/>
      <c r="AD51" s="122"/>
      <c r="AG51" s="106"/>
      <c r="AO51" s="333">
        <v>2185</v>
      </c>
      <c r="AP51" s="334">
        <v>2839</v>
      </c>
      <c r="AQ51" s="335">
        <v>2.6897383497569384E-3</v>
      </c>
    </row>
    <row r="52" spans="1:43" s="173" customFormat="1" ht="15.75">
      <c r="A52" s="180" t="s">
        <v>614</v>
      </c>
      <c r="B52" s="113"/>
      <c r="C52" s="113"/>
      <c r="D52" s="113"/>
      <c r="E52" s="106"/>
      <c r="F52" s="106"/>
      <c r="H52" s="106"/>
      <c r="J52" s="122"/>
      <c r="L52" s="122"/>
      <c r="N52" s="106"/>
      <c r="P52" s="122"/>
      <c r="R52" s="122"/>
      <c r="T52" s="106"/>
      <c r="V52" s="122"/>
      <c r="X52" s="122"/>
      <c r="Z52" s="106"/>
      <c r="AB52" s="122"/>
      <c r="AD52" s="122"/>
      <c r="AG52" s="106"/>
      <c r="AO52" s="333">
        <v>2186</v>
      </c>
      <c r="AP52" s="334">
        <v>20384</v>
      </c>
      <c r="AQ52" s="335">
        <v>1.9312302402763448E-2</v>
      </c>
    </row>
    <row r="53" spans="1:43" s="173" customFormat="1" ht="15.75">
      <c r="A53" s="113"/>
      <c r="B53" s="150"/>
      <c r="C53" s="113"/>
      <c r="D53" s="113"/>
      <c r="E53" s="106"/>
      <c r="F53" s="106"/>
      <c r="H53" s="106"/>
      <c r="P53" s="122"/>
      <c r="R53" s="122"/>
      <c r="T53" s="106"/>
      <c r="V53" s="122"/>
      <c r="X53" s="122"/>
      <c r="Z53" s="106"/>
      <c r="AB53" s="122"/>
      <c r="AD53" s="122"/>
      <c r="AG53" s="106"/>
      <c r="AO53" s="333">
        <v>2187</v>
      </c>
      <c r="AP53" s="334">
        <v>1</v>
      </c>
      <c r="AQ53" s="335">
        <v>9.4742456842442343E-7</v>
      </c>
    </row>
    <row r="54" spans="1:43" s="173" customFormat="1" ht="15.75">
      <c r="A54" s="113"/>
      <c r="B54" s="113"/>
      <c r="C54" s="113"/>
      <c r="D54" s="113"/>
      <c r="E54" s="106"/>
      <c r="F54" s="106"/>
      <c r="H54" s="106"/>
      <c r="P54" s="122"/>
      <c r="R54" s="122"/>
      <c r="T54" s="106"/>
      <c r="V54" s="122"/>
      <c r="X54" s="122"/>
      <c r="Z54" s="106"/>
      <c r="AB54" s="122"/>
      <c r="AD54" s="122"/>
      <c r="AG54" s="106"/>
      <c r="AO54" s="333">
        <v>2188</v>
      </c>
      <c r="AP54" s="334">
        <v>24910</v>
      </c>
      <c r="AQ54" s="335">
        <v>2.3600345999452387E-2</v>
      </c>
    </row>
    <row r="55" spans="1:43" s="173" customFormat="1" ht="15.75">
      <c r="A55" s="118"/>
      <c r="B55" s="118"/>
      <c r="C55" s="118"/>
      <c r="D55" s="118"/>
      <c r="E55" s="106"/>
      <c r="F55" s="106"/>
      <c r="H55" s="106"/>
      <c r="P55" s="122"/>
      <c r="R55" s="122"/>
      <c r="T55" s="106"/>
      <c r="V55" s="122"/>
      <c r="X55" s="122"/>
      <c r="Z55" s="106"/>
      <c r="AB55" s="122"/>
      <c r="AD55" s="122"/>
      <c r="AG55" s="106"/>
      <c r="AO55" s="333">
        <v>2189</v>
      </c>
      <c r="AP55" s="334">
        <v>1</v>
      </c>
      <c r="AQ55" s="335">
        <v>9.4742456842442343E-7</v>
      </c>
    </row>
    <row r="56" spans="1:43" s="173" customFormat="1" ht="15.75">
      <c r="A56" s="112"/>
      <c r="B56" s="112"/>
      <c r="C56" s="112"/>
      <c r="D56" s="112"/>
      <c r="E56" s="106"/>
      <c r="F56" s="106"/>
      <c r="H56" s="106"/>
      <c r="P56" s="122"/>
      <c r="R56" s="122"/>
      <c r="T56" s="106"/>
      <c r="V56" s="122"/>
      <c r="X56" s="122"/>
      <c r="Z56" s="106"/>
      <c r="AB56" s="122"/>
      <c r="AD56" s="122"/>
      <c r="AG56" s="106"/>
      <c r="AO56" s="333">
        <v>2190</v>
      </c>
      <c r="AP56" s="334">
        <v>431</v>
      </c>
      <c r="AQ56" s="335">
        <v>4.083399889909265E-4</v>
      </c>
    </row>
    <row r="57" spans="1:43" s="173" customFormat="1" ht="15.75">
      <c r="A57" s="113"/>
      <c r="B57" s="113"/>
      <c r="C57" s="111"/>
      <c r="D57" s="113"/>
      <c r="E57" s="106"/>
      <c r="F57" s="106"/>
      <c r="H57" s="106"/>
      <c r="P57" s="122"/>
      <c r="R57" s="122"/>
      <c r="T57" s="106"/>
      <c r="V57" s="122"/>
      <c r="X57" s="122"/>
      <c r="Z57" s="106"/>
      <c r="AB57" s="122"/>
      <c r="AD57" s="122"/>
      <c r="AG57" s="106"/>
      <c r="AO57" s="333">
        <v>2191</v>
      </c>
      <c r="AP57" s="334">
        <v>7</v>
      </c>
      <c r="AQ57" s="335">
        <v>6.631971978970964E-6</v>
      </c>
    </row>
    <row r="58" spans="1:43" s="173" customFormat="1" ht="15.75">
      <c r="A58" s="113"/>
      <c r="B58" s="113"/>
      <c r="C58" s="113"/>
      <c r="D58" s="113"/>
      <c r="E58" s="106"/>
      <c r="F58" s="106"/>
      <c r="H58" s="106"/>
      <c r="P58" s="122"/>
      <c r="R58" s="122"/>
      <c r="T58" s="106"/>
      <c r="V58" s="122"/>
      <c r="X58" s="122"/>
      <c r="Z58" s="106"/>
      <c r="AB58" s="122"/>
      <c r="AD58" s="122"/>
      <c r="AG58" s="106"/>
      <c r="AO58" s="333">
        <v>2195</v>
      </c>
      <c r="AP58" s="334">
        <v>30828</v>
      </c>
      <c r="AQ58" s="335">
        <v>2.9207204595388128E-2</v>
      </c>
    </row>
    <row r="59" spans="1:43" s="173" customFormat="1" ht="15.75">
      <c r="A59" s="113"/>
      <c r="B59" s="150"/>
      <c r="C59" s="113"/>
      <c r="D59" s="113"/>
      <c r="E59" s="106"/>
      <c r="F59" s="106"/>
      <c r="H59" s="106"/>
      <c r="P59" s="122"/>
      <c r="R59" s="122"/>
      <c r="T59" s="106"/>
      <c r="V59" s="122"/>
      <c r="X59" s="122"/>
      <c r="Z59" s="106"/>
      <c r="AB59" s="122"/>
      <c r="AD59" s="122"/>
      <c r="AG59" s="106"/>
      <c r="AO59" s="333">
        <v>2210</v>
      </c>
      <c r="AP59" s="334">
        <v>20315</v>
      </c>
      <c r="AQ59" s="335">
        <v>1.9246930107542162E-2</v>
      </c>
    </row>
    <row r="60" spans="1:43" s="173" customFormat="1" ht="15.75">
      <c r="A60" s="106"/>
      <c r="B60" s="106"/>
      <c r="C60" s="106"/>
      <c r="D60" s="106"/>
      <c r="E60" s="106"/>
      <c r="F60" s="106"/>
      <c r="H60" s="106"/>
      <c r="P60" s="122"/>
      <c r="R60" s="122"/>
      <c r="T60" s="106"/>
      <c r="V60" s="122"/>
      <c r="X60" s="122"/>
      <c r="Z60" s="106"/>
      <c r="AB60" s="122"/>
      <c r="AD60" s="122"/>
      <c r="AG60" s="106"/>
      <c r="AO60" s="333">
        <v>2211</v>
      </c>
      <c r="AP60" s="334">
        <v>23360</v>
      </c>
      <c r="AQ60" s="335">
        <v>2.2131837918394532E-2</v>
      </c>
    </row>
    <row r="61" spans="1:43" s="173" customFormat="1" ht="15.75">
      <c r="A61" s="118"/>
      <c r="B61" s="118"/>
      <c r="C61" s="118"/>
      <c r="D61" s="118"/>
      <c r="E61" s="106"/>
      <c r="F61" s="106"/>
      <c r="H61" s="106"/>
      <c r="P61" s="122"/>
      <c r="R61" s="122"/>
      <c r="T61" s="106"/>
      <c r="V61" s="122"/>
      <c r="X61" s="122"/>
      <c r="Z61" s="106"/>
      <c r="AB61" s="122"/>
      <c r="AD61" s="122"/>
      <c r="AG61" s="106"/>
      <c r="AO61" s="333">
        <v>2212</v>
      </c>
      <c r="AP61" s="334">
        <v>5061</v>
      </c>
      <c r="AQ61" s="335">
        <v>4.7949157407960073E-3</v>
      </c>
    </row>
    <row r="62" spans="1:43" s="173" customFormat="1" ht="15.75">
      <c r="A62" s="112"/>
      <c r="B62" s="112"/>
      <c r="C62" s="112"/>
      <c r="D62" s="112"/>
      <c r="E62" s="106"/>
      <c r="F62" s="106"/>
      <c r="H62" s="106"/>
      <c r="P62" s="122"/>
      <c r="R62" s="122"/>
      <c r="T62" s="106"/>
      <c r="V62" s="122"/>
      <c r="X62" s="122"/>
      <c r="Z62" s="106"/>
      <c r="AB62" s="122"/>
      <c r="AD62" s="122"/>
      <c r="AG62" s="106"/>
      <c r="AO62" s="333">
        <v>2213</v>
      </c>
      <c r="AP62" s="334">
        <v>0</v>
      </c>
      <c r="AQ62" s="335">
        <v>0</v>
      </c>
    </row>
    <row r="63" spans="1:43" s="173" customFormat="1" ht="15.75">
      <c r="A63" s="113"/>
      <c r="B63" s="113"/>
      <c r="C63" s="111"/>
      <c r="D63" s="113"/>
      <c r="E63" s="106"/>
      <c r="F63" s="106"/>
      <c r="H63" s="106"/>
      <c r="P63" s="122"/>
      <c r="R63" s="122"/>
      <c r="T63" s="106"/>
      <c r="V63" s="122"/>
      <c r="X63" s="122"/>
      <c r="Z63" s="106"/>
      <c r="AB63" s="122"/>
      <c r="AD63" s="122"/>
      <c r="AG63" s="106"/>
      <c r="AO63" s="333">
        <v>2214</v>
      </c>
      <c r="AP63" s="334">
        <v>8448</v>
      </c>
      <c r="AQ63" s="335">
        <v>8.00384275404953E-3</v>
      </c>
    </row>
    <row r="64" spans="1:43" s="173" customFormat="1" ht="15.75">
      <c r="A64" s="113"/>
      <c r="B64" s="113"/>
      <c r="C64" s="113"/>
      <c r="D64" s="113"/>
      <c r="E64" s="106"/>
      <c r="F64" s="106"/>
      <c r="H64" s="106"/>
      <c r="P64" s="122"/>
      <c r="R64" s="122"/>
      <c r="T64" s="106"/>
      <c r="V64" s="122"/>
      <c r="X64" s="122"/>
      <c r="Z64" s="106"/>
      <c r="AB64" s="122"/>
      <c r="AD64" s="122"/>
      <c r="AG64" s="106"/>
      <c r="AO64" s="333">
        <v>2310</v>
      </c>
      <c r="AP64" s="334">
        <v>12082</v>
      </c>
      <c r="AQ64" s="335">
        <v>1.1446783635703884E-2</v>
      </c>
    </row>
    <row r="65" spans="1:43" s="173" customFormat="1" ht="15.75">
      <c r="A65" s="113"/>
      <c r="B65" s="150"/>
      <c r="C65" s="113"/>
      <c r="D65" s="113"/>
      <c r="E65" s="106"/>
      <c r="F65" s="106"/>
      <c r="H65" s="106"/>
      <c r="P65" s="122"/>
      <c r="R65" s="122"/>
      <c r="T65" s="106"/>
      <c r="V65" s="122"/>
      <c r="X65" s="122"/>
      <c r="Z65" s="106"/>
      <c r="AB65" s="122"/>
      <c r="AD65" s="122"/>
      <c r="AG65" s="106"/>
      <c r="AO65" s="333">
        <v>2410</v>
      </c>
      <c r="AP65" s="334">
        <v>92616</v>
      </c>
      <c r="AQ65" s="335">
        <v>8.7746673829196403E-2</v>
      </c>
    </row>
    <row r="66" spans="1:43" s="173" customFormat="1" ht="15.75">
      <c r="A66" s="113"/>
      <c r="B66" s="113"/>
      <c r="C66" s="113"/>
      <c r="D66" s="113"/>
      <c r="E66" s="106"/>
      <c r="F66" s="106"/>
      <c r="H66" s="106"/>
      <c r="P66" s="122"/>
      <c r="R66" s="122"/>
      <c r="T66" s="106"/>
      <c r="V66" s="122"/>
      <c r="X66" s="122"/>
      <c r="Z66" s="106"/>
      <c r="AB66" s="122"/>
      <c r="AD66" s="122"/>
      <c r="AG66" s="106"/>
      <c r="AO66" s="333">
        <v>2411</v>
      </c>
      <c r="AP66" s="334">
        <v>0</v>
      </c>
      <c r="AQ66" s="335">
        <v>0</v>
      </c>
    </row>
    <row r="67" spans="1:43" s="173" customFormat="1" ht="15.75">
      <c r="A67" s="118"/>
      <c r="B67" s="118"/>
      <c r="C67" s="118"/>
      <c r="D67" s="118"/>
      <c r="E67" s="106"/>
      <c r="F67" s="106"/>
      <c r="H67" s="106"/>
      <c r="P67" s="122"/>
      <c r="R67" s="122"/>
      <c r="T67" s="106"/>
      <c r="V67" s="122"/>
      <c r="X67" s="122"/>
      <c r="Z67" s="106"/>
      <c r="AB67" s="122"/>
      <c r="AD67" s="122"/>
      <c r="AG67" s="106"/>
      <c r="AO67" s="333">
        <v>2412</v>
      </c>
      <c r="AP67" s="334">
        <v>0</v>
      </c>
      <c r="AQ67" s="335">
        <v>0</v>
      </c>
    </row>
    <row r="68" spans="1:43" s="173" customFormat="1" ht="15.75">
      <c r="A68" s="112"/>
      <c r="B68" s="112"/>
      <c r="C68" s="112"/>
      <c r="D68" s="112"/>
      <c r="E68" s="106"/>
      <c r="F68" s="106"/>
      <c r="H68" s="106"/>
      <c r="P68" s="122"/>
      <c r="R68" s="122"/>
      <c r="T68" s="106"/>
      <c r="V68" s="122"/>
      <c r="X68" s="122"/>
      <c r="Z68" s="106"/>
      <c r="AB68" s="122"/>
      <c r="AD68" s="122"/>
      <c r="AG68" s="106"/>
      <c r="AO68" s="333">
        <v>2413</v>
      </c>
      <c r="AP68" s="334">
        <v>0</v>
      </c>
      <c r="AQ68" s="335">
        <v>0</v>
      </c>
    </row>
    <row r="69" spans="1:43" s="173" customFormat="1" ht="15.75">
      <c r="A69" s="113"/>
      <c r="B69" s="113"/>
      <c r="C69" s="111"/>
      <c r="D69" s="113"/>
      <c r="E69" s="106"/>
      <c r="F69" s="106"/>
      <c r="H69" s="106"/>
      <c r="P69" s="122"/>
      <c r="R69" s="122"/>
      <c r="T69" s="106"/>
      <c r="V69" s="122"/>
      <c r="X69" s="122"/>
      <c r="Z69" s="106"/>
      <c r="AB69" s="122"/>
      <c r="AD69" s="122"/>
      <c r="AG69" s="106"/>
      <c r="AO69" s="333">
        <v>2414</v>
      </c>
      <c r="AP69" s="334">
        <v>0</v>
      </c>
      <c r="AQ69" s="335">
        <v>0</v>
      </c>
    </row>
    <row r="70" spans="1:43" s="173" customFormat="1" ht="15.75">
      <c r="A70" s="113"/>
      <c r="B70" s="113"/>
      <c r="C70" s="113"/>
      <c r="D70" s="113"/>
      <c r="E70" s="106"/>
      <c r="F70" s="106"/>
      <c r="H70" s="106"/>
      <c r="P70" s="122"/>
      <c r="R70" s="122"/>
      <c r="T70" s="106"/>
      <c r="V70" s="122"/>
      <c r="X70" s="122"/>
      <c r="Z70" s="106"/>
      <c r="AB70" s="122"/>
      <c r="AD70" s="122"/>
      <c r="AG70" s="106"/>
      <c r="AO70" s="333">
        <v>2420</v>
      </c>
      <c r="AP70" s="334">
        <v>0</v>
      </c>
      <c r="AQ70" s="335">
        <v>0</v>
      </c>
    </row>
    <row r="71" spans="1:43" s="173" customFormat="1" ht="15.75">
      <c r="A71" s="113"/>
      <c r="B71" s="150"/>
      <c r="C71" s="113"/>
      <c r="D71" s="113"/>
      <c r="E71" s="106"/>
      <c r="F71" s="106"/>
      <c r="H71" s="106"/>
      <c r="P71" s="122"/>
      <c r="R71" s="122"/>
      <c r="T71" s="106"/>
      <c r="V71" s="122"/>
      <c r="X71" s="122"/>
      <c r="Z71" s="106"/>
      <c r="AB71" s="122"/>
      <c r="AD71" s="122"/>
      <c r="AG71" s="106"/>
      <c r="AO71" s="333">
        <v>2430</v>
      </c>
      <c r="AP71" s="334">
        <v>0</v>
      </c>
      <c r="AQ71" s="335">
        <v>0</v>
      </c>
    </row>
    <row r="72" spans="1:43" s="173" customFormat="1" ht="15.75">
      <c r="A72" s="106"/>
      <c r="B72" s="106"/>
      <c r="C72" s="106"/>
      <c r="D72" s="106"/>
      <c r="E72" s="106"/>
      <c r="F72" s="106"/>
      <c r="H72" s="106"/>
      <c r="P72" s="122"/>
      <c r="R72" s="122"/>
      <c r="T72" s="106"/>
      <c r="V72" s="122"/>
      <c r="X72" s="122"/>
      <c r="Z72" s="106"/>
      <c r="AB72" s="122"/>
      <c r="AD72" s="122"/>
      <c r="AG72" s="106"/>
      <c r="AO72" s="333">
        <v>2431</v>
      </c>
      <c r="AP72" s="334">
        <v>0</v>
      </c>
      <c r="AQ72" s="335">
        <v>0</v>
      </c>
    </row>
    <row r="73" spans="1:43" s="173" customFormat="1" ht="15.75">
      <c r="A73" s="106"/>
      <c r="B73" s="106"/>
      <c r="C73" s="106"/>
      <c r="D73" s="106"/>
      <c r="E73" s="106"/>
      <c r="F73" s="106"/>
      <c r="H73" s="106"/>
      <c r="P73" s="122"/>
      <c r="R73" s="122"/>
      <c r="T73" s="106"/>
      <c r="V73" s="122"/>
      <c r="X73" s="122"/>
      <c r="Z73" s="106"/>
      <c r="AB73" s="122"/>
      <c r="AD73" s="122"/>
      <c r="AG73" s="106"/>
      <c r="AO73" s="333">
        <v>2432</v>
      </c>
      <c r="AP73" s="334">
        <v>0</v>
      </c>
      <c r="AQ73" s="335">
        <v>0</v>
      </c>
    </row>
    <row r="74" spans="1:43" s="173" customFormat="1" ht="15.75">
      <c r="A74" s="106"/>
      <c r="B74" s="106"/>
      <c r="C74" s="106"/>
      <c r="D74" s="106"/>
      <c r="E74" s="106"/>
      <c r="F74" s="106"/>
      <c r="H74" s="106"/>
      <c r="P74" s="122"/>
      <c r="R74" s="122"/>
      <c r="T74" s="106"/>
      <c r="V74" s="122"/>
      <c r="X74" s="122"/>
      <c r="Z74" s="106"/>
      <c r="AB74" s="122"/>
      <c r="AD74" s="122"/>
      <c r="AG74" s="106"/>
      <c r="AO74" s="333">
        <v>2440</v>
      </c>
      <c r="AP74" s="334">
        <v>0</v>
      </c>
      <c r="AQ74" s="335">
        <v>0</v>
      </c>
    </row>
    <row r="75" spans="1:43" s="173" customFormat="1" ht="15.75">
      <c r="A75" s="106"/>
      <c r="B75" s="106"/>
      <c r="C75" s="106"/>
      <c r="D75" s="106"/>
      <c r="E75" s="106"/>
      <c r="F75" s="106"/>
      <c r="H75" s="106"/>
      <c r="P75" s="122"/>
      <c r="R75" s="122"/>
      <c r="T75" s="106"/>
      <c r="V75" s="122"/>
      <c r="X75" s="122"/>
      <c r="Z75" s="106"/>
      <c r="AB75" s="122"/>
      <c r="AD75" s="122"/>
      <c r="AG75" s="106"/>
      <c r="AO75" s="333">
        <v>2450</v>
      </c>
      <c r="AP75" s="334">
        <v>0</v>
      </c>
      <c r="AQ75" s="335">
        <v>0</v>
      </c>
    </row>
    <row r="76" spans="1:43" s="173" customFormat="1" ht="15.75">
      <c r="A76" s="106"/>
      <c r="B76" s="106"/>
      <c r="C76" s="106"/>
      <c r="D76" s="106"/>
      <c r="E76" s="106"/>
      <c r="F76" s="106"/>
      <c r="H76" s="106"/>
      <c r="P76" s="122"/>
      <c r="R76" s="122"/>
      <c r="T76" s="106"/>
      <c r="V76" s="122"/>
      <c r="X76" s="122"/>
      <c r="Z76" s="106"/>
      <c r="AB76" s="122"/>
      <c r="AD76" s="122"/>
      <c r="AG76" s="106"/>
      <c r="AO76" s="333">
        <v>2451</v>
      </c>
      <c r="AP76" s="334">
        <v>0</v>
      </c>
      <c r="AQ76" s="335">
        <v>0</v>
      </c>
    </row>
    <row r="77" spans="1:43" s="173" customFormat="1" ht="15.75">
      <c r="A77" s="106"/>
      <c r="B77" s="106"/>
      <c r="C77" s="106"/>
      <c r="D77" s="106"/>
      <c r="E77" s="106"/>
      <c r="F77" s="106"/>
      <c r="H77" s="106"/>
      <c r="P77" s="122"/>
      <c r="R77" s="122"/>
      <c r="T77" s="106"/>
      <c r="V77" s="122"/>
      <c r="X77" s="122"/>
      <c r="Z77" s="106"/>
      <c r="AB77" s="122"/>
      <c r="AD77" s="122"/>
      <c r="AG77" s="106"/>
      <c r="AO77" s="333">
        <v>3022</v>
      </c>
      <c r="AP77" s="334">
        <v>4762</v>
      </c>
      <c r="AQ77" s="335">
        <v>4.5116357948371049E-3</v>
      </c>
    </row>
    <row r="78" spans="1:43" s="173" customFormat="1" ht="15.75">
      <c r="A78" s="106"/>
      <c r="B78" s="106"/>
      <c r="C78" s="106"/>
      <c r="D78" s="106"/>
      <c r="E78" s="106"/>
      <c r="F78" s="106"/>
      <c r="H78" s="106"/>
      <c r="P78" s="122"/>
      <c r="R78" s="122"/>
      <c r="T78" s="106"/>
      <c r="V78" s="122"/>
      <c r="X78" s="122"/>
      <c r="Z78" s="106"/>
      <c r="AB78" s="122"/>
      <c r="AD78" s="122"/>
      <c r="AG78" s="106"/>
      <c r="AO78" s="333">
        <v>3023</v>
      </c>
      <c r="AP78" s="334">
        <v>8536</v>
      </c>
      <c r="AQ78" s="335">
        <v>8.0872161160708781E-3</v>
      </c>
    </row>
    <row r="79" spans="1:43" s="173" customFormat="1" ht="15.75">
      <c r="A79" s="106"/>
      <c r="B79" s="106"/>
      <c r="C79" s="106"/>
      <c r="D79" s="106"/>
      <c r="E79" s="106"/>
      <c r="F79" s="106"/>
      <c r="H79" s="106"/>
      <c r="P79" s="122"/>
      <c r="R79" s="122"/>
      <c r="T79" s="106"/>
      <c r="V79" s="122"/>
      <c r="X79" s="122"/>
      <c r="Z79" s="106"/>
      <c r="AB79" s="122"/>
      <c r="AD79" s="122"/>
      <c r="AG79" s="106"/>
      <c r="AO79" s="333">
        <v>3024</v>
      </c>
      <c r="AP79" s="334">
        <v>4397</v>
      </c>
      <c r="AQ79" s="335">
        <v>4.1658258273621898E-3</v>
      </c>
    </row>
    <row r="80" spans="1:43" s="173" customFormat="1" ht="15.75">
      <c r="A80" s="106"/>
      <c r="B80" s="106"/>
      <c r="C80" s="106"/>
      <c r="D80" s="106"/>
      <c r="E80" s="106"/>
      <c r="F80" s="106"/>
      <c r="H80" s="106"/>
      <c r="P80" s="122"/>
      <c r="R80" s="122"/>
      <c r="T80" s="106"/>
      <c r="V80" s="122"/>
      <c r="X80" s="122"/>
      <c r="Z80" s="106"/>
      <c r="AB80" s="122"/>
      <c r="AD80" s="122"/>
      <c r="AG80" s="106"/>
      <c r="AO80" s="333">
        <v>3025</v>
      </c>
      <c r="AP80" s="334">
        <v>988</v>
      </c>
      <c r="AQ80" s="335">
        <v>9.3605547360333036E-4</v>
      </c>
    </row>
    <row r="81" spans="1:43" s="173" customFormat="1" ht="15.75">
      <c r="A81" s="106"/>
      <c r="B81" s="106"/>
      <c r="C81" s="106"/>
      <c r="D81" s="106"/>
      <c r="E81" s="106"/>
      <c r="F81" s="106"/>
      <c r="H81" s="106"/>
      <c r="P81" s="122"/>
      <c r="R81" s="122"/>
      <c r="T81" s="106"/>
      <c r="V81" s="122"/>
      <c r="X81" s="122"/>
      <c r="Z81" s="106"/>
      <c r="AB81" s="122"/>
      <c r="AD81" s="122"/>
      <c r="AG81" s="106"/>
      <c r="AO81" s="333">
        <v>4008</v>
      </c>
      <c r="AP81" s="334">
        <v>0</v>
      </c>
      <c r="AQ81" s="335">
        <v>0</v>
      </c>
    </row>
    <row r="82" spans="1:43" s="173" customFormat="1" ht="15.75">
      <c r="A82" s="106"/>
      <c r="B82" s="106"/>
      <c r="C82" s="106"/>
      <c r="D82" s="106"/>
      <c r="E82" s="106"/>
      <c r="F82" s="106"/>
      <c r="H82" s="106"/>
      <c r="P82" s="122"/>
      <c r="R82" s="122"/>
      <c r="T82" s="106"/>
      <c r="V82" s="122"/>
      <c r="X82" s="122"/>
      <c r="Z82" s="106"/>
      <c r="AB82" s="122"/>
      <c r="AD82" s="122"/>
      <c r="AG82" s="106"/>
      <c r="AO82" s="333">
        <v>4009</v>
      </c>
      <c r="AP82" s="334">
        <v>0</v>
      </c>
      <c r="AQ82" s="335">
        <v>0</v>
      </c>
    </row>
    <row r="83" spans="1:43" s="173" customFormat="1" ht="15.75">
      <c r="A83" s="106"/>
      <c r="B83" s="106"/>
      <c r="C83" s="106"/>
      <c r="D83" s="106"/>
      <c r="E83" s="106"/>
      <c r="F83" s="106"/>
      <c r="H83" s="106"/>
      <c r="P83" s="122"/>
      <c r="R83" s="122"/>
      <c r="T83" s="106"/>
      <c r="V83" s="122"/>
      <c r="X83" s="122"/>
      <c r="Z83" s="106"/>
      <c r="AB83" s="122"/>
      <c r="AD83" s="122"/>
      <c r="AG83" s="106"/>
      <c r="AO83" s="333">
        <v>4010</v>
      </c>
      <c r="AP83" s="334">
        <v>0</v>
      </c>
      <c r="AQ83" s="335">
        <v>0</v>
      </c>
    </row>
    <row r="84" spans="1:43" s="173" customFormat="1" ht="15.75">
      <c r="A84" s="106"/>
      <c r="B84" s="106"/>
      <c r="C84" s="106"/>
      <c r="D84" s="106"/>
      <c r="E84" s="106"/>
      <c r="F84" s="106"/>
      <c r="H84" s="106"/>
      <c r="P84" s="122"/>
      <c r="R84" s="122"/>
      <c r="T84" s="106"/>
      <c r="V84" s="122"/>
      <c r="X84" s="122"/>
      <c r="Z84" s="106"/>
      <c r="AB84" s="122"/>
      <c r="AD84" s="122"/>
      <c r="AG84" s="106"/>
      <c r="AO84" s="333">
        <v>4012</v>
      </c>
      <c r="AP84" s="334">
        <v>0</v>
      </c>
      <c r="AQ84" s="335">
        <v>0</v>
      </c>
    </row>
    <row r="85" spans="1:43" s="173" customFormat="1" ht="15.75">
      <c r="A85" s="106"/>
      <c r="B85" s="106"/>
      <c r="C85" s="106"/>
      <c r="D85" s="106"/>
      <c r="E85" s="106"/>
      <c r="F85" s="106"/>
      <c r="H85" s="106"/>
      <c r="P85" s="122"/>
      <c r="R85" s="122"/>
      <c r="T85" s="106"/>
      <c r="V85" s="122"/>
      <c r="X85" s="122"/>
      <c r="Z85" s="106"/>
      <c r="AB85" s="122"/>
      <c r="AD85" s="122"/>
      <c r="AG85" s="106"/>
      <c r="AO85" s="333">
        <v>4013</v>
      </c>
      <c r="AP85" s="334">
        <v>0</v>
      </c>
      <c r="AQ85" s="335">
        <v>0</v>
      </c>
    </row>
    <row r="86" spans="1:43" s="173" customFormat="1" ht="15.75">
      <c r="A86" s="106"/>
      <c r="B86" s="106"/>
      <c r="C86" s="106"/>
      <c r="D86" s="106"/>
      <c r="E86" s="106"/>
      <c r="F86" s="106"/>
      <c r="H86" s="106"/>
      <c r="P86" s="122"/>
      <c r="R86" s="122"/>
      <c r="T86" s="106"/>
      <c r="V86" s="122"/>
      <c r="X86" s="122"/>
      <c r="Z86" s="106"/>
      <c r="AB86" s="122"/>
      <c r="AD86" s="122"/>
      <c r="AG86" s="106"/>
      <c r="AO86" s="333">
        <v>4014</v>
      </c>
      <c r="AP86" s="334">
        <v>5367</v>
      </c>
      <c r="AQ86" s="335">
        <v>5.0848276587338809E-3</v>
      </c>
    </row>
    <row r="87" spans="1:43" s="173" customFormat="1" ht="15.75">
      <c r="A87" s="106"/>
      <c r="B87" s="106"/>
      <c r="C87" s="106"/>
      <c r="D87" s="106"/>
      <c r="E87" s="106"/>
      <c r="F87" s="106"/>
      <c r="H87" s="106"/>
      <c r="P87" s="122"/>
      <c r="R87" s="122"/>
      <c r="T87" s="106"/>
      <c r="V87" s="122"/>
      <c r="X87" s="122"/>
      <c r="Z87" s="106"/>
      <c r="AB87" s="122"/>
      <c r="AD87" s="122"/>
      <c r="AG87" s="106"/>
      <c r="AO87" s="333">
        <v>4016</v>
      </c>
      <c r="AP87" s="334">
        <v>48</v>
      </c>
      <c r="AQ87" s="335">
        <v>4.5476379284372325E-5</v>
      </c>
    </row>
    <row r="88" spans="1:43" s="173" customFormat="1" ht="15.75">
      <c r="A88" s="106"/>
      <c r="B88" s="106"/>
      <c r="C88" s="106"/>
      <c r="D88" s="106"/>
      <c r="E88" s="106"/>
      <c r="F88" s="106"/>
      <c r="H88" s="106"/>
      <c r="P88" s="122"/>
      <c r="R88" s="122"/>
      <c r="T88" s="106"/>
      <c r="V88" s="122"/>
      <c r="X88" s="122"/>
      <c r="Z88" s="106"/>
      <c r="AB88" s="122"/>
      <c r="AD88" s="122"/>
      <c r="AG88" s="106"/>
      <c r="AO88" s="333">
        <v>4018</v>
      </c>
      <c r="AP88" s="334">
        <v>14782</v>
      </c>
      <c r="AQ88" s="335">
        <v>1.4004829970449828E-2</v>
      </c>
    </row>
    <row r="89" spans="1:43" s="173" customFormat="1" ht="15.75">
      <c r="A89" s="106"/>
      <c r="B89" s="106"/>
      <c r="C89" s="106"/>
      <c r="D89" s="106"/>
      <c r="E89" s="106"/>
      <c r="F89" s="106"/>
      <c r="H89" s="106"/>
      <c r="P89" s="122"/>
      <c r="R89" s="122"/>
      <c r="T89" s="106"/>
      <c r="V89" s="122"/>
      <c r="X89" s="122"/>
      <c r="Z89" s="106"/>
      <c r="AB89" s="122"/>
      <c r="AD89" s="122"/>
      <c r="AG89" s="106"/>
      <c r="AO89" s="333">
        <v>4019</v>
      </c>
      <c r="AP89" s="334">
        <v>77</v>
      </c>
      <c r="AQ89" s="335">
        <v>7.2951691768680601E-5</v>
      </c>
    </row>
    <row r="90" spans="1:43" s="173" customFormat="1" ht="15.75">
      <c r="A90" s="106"/>
      <c r="B90" s="106"/>
      <c r="C90" s="106"/>
      <c r="D90" s="106"/>
      <c r="E90" s="106"/>
      <c r="F90" s="106"/>
      <c r="H90" s="106"/>
      <c r="P90" s="122"/>
      <c r="R90" s="122"/>
      <c r="T90" s="106"/>
      <c r="V90" s="122"/>
      <c r="X90" s="122"/>
      <c r="Z90" s="106"/>
      <c r="AB90" s="122"/>
      <c r="AD90" s="122"/>
      <c r="AG90" s="106"/>
      <c r="AO90" s="333">
        <v>4020</v>
      </c>
      <c r="AP90" s="334">
        <v>59683</v>
      </c>
      <c r="AQ90" s="335">
        <v>5.6545140517274863E-2</v>
      </c>
    </row>
    <row r="91" spans="1:43" s="173" customFormat="1" ht="15.75">
      <c r="A91" s="106"/>
      <c r="B91" s="106"/>
      <c r="C91" s="106"/>
      <c r="D91" s="106"/>
      <c r="E91" s="106"/>
      <c r="F91" s="106"/>
      <c r="H91" s="106"/>
      <c r="P91" s="122"/>
      <c r="R91" s="122"/>
      <c r="T91" s="106"/>
      <c r="V91" s="122"/>
      <c r="X91" s="122"/>
      <c r="Z91" s="106"/>
      <c r="AB91" s="122"/>
      <c r="AD91" s="122"/>
      <c r="AG91" s="106"/>
      <c r="AO91" s="333">
        <v>4021</v>
      </c>
      <c r="AP91" s="334">
        <v>163</v>
      </c>
      <c r="AQ91" s="335">
        <v>1.5443020465318104E-4</v>
      </c>
    </row>
    <row r="92" spans="1:43" s="173" customFormat="1" ht="15.75">
      <c r="A92" s="106"/>
      <c r="B92" s="106"/>
      <c r="C92" s="106"/>
      <c r="D92" s="106"/>
      <c r="E92" s="106"/>
      <c r="F92" s="106"/>
      <c r="H92" s="106"/>
      <c r="P92" s="122"/>
      <c r="R92" s="122"/>
      <c r="T92" s="106"/>
      <c r="V92" s="122"/>
      <c r="X92" s="122"/>
      <c r="Z92" s="106"/>
      <c r="AB92" s="122"/>
      <c r="AD92" s="122"/>
      <c r="AG92" s="106"/>
      <c r="AO92" s="333">
        <v>4022</v>
      </c>
      <c r="AP92" s="334">
        <v>0</v>
      </c>
      <c r="AQ92" s="335">
        <v>0</v>
      </c>
    </row>
    <row r="93" spans="1:43" s="173" customFormat="1" ht="15.75">
      <c r="A93" s="106"/>
      <c r="B93" s="106"/>
      <c r="C93" s="106"/>
      <c r="D93" s="106"/>
      <c r="E93" s="106"/>
      <c r="F93" s="106"/>
      <c r="H93" s="106"/>
      <c r="P93" s="122"/>
      <c r="R93" s="122"/>
      <c r="T93" s="106"/>
      <c r="V93" s="122"/>
      <c r="X93" s="122"/>
      <c r="Z93" s="106"/>
      <c r="AB93" s="122"/>
      <c r="AD93" s="122"/>
      <c r="AG93" s="106"/>
      <c r="AO93" s="333">
        <v>4025</v>
      </c>
      <c r="AP93" s="334">
        <v>0</v>
      </c>
      <c r="AQ93" s="335">
        <v>0</v>
      </c>
    </row>
    <row r="94" spans="1:43" s="173" customFormat="1" ht="15.75">
      <c r="A94" s="106"/>
      <c r="B94" s="106"/>
      <c r="C94" s="106"/>
      <c r="D94" s="106"/>
      <c r="E94" s="106"/>
      <c r="F94" s="106"/>
      <c r="H94" s="106"/>
      <c r="P94" s="122"/>
      <c r="R94" s="122"/>
      <c r="T94" s="106"/>
      <c r="V94" s="122"/>
      <c r="X94" s="122"/>
      <c r="Z94" s="106"/>
      <c r="AB94" s="122"/>
      <c r="AD94" s="122"/>
      <c r="AG94" s="106"/>
      <c r="AO94" s="333">
        <v>4030</v>
      </c>
      <c r="AP94" s="334">
        <v>44733</v>
      </c>
      <c r="AQ94" s="335">
        <v>4.2381143219329738E-2</v>
      </c>
    </row>
    <row r="95" spans="1:43" s="173" customFormat="1" ht="15.75">
      <c r="A95" s="106"/>
      <c r="B95" s="106"/>
      <c r="C95" s="106"/>
      <c r="D95" s="106"/>
      <c r="E95" s="106"/>
      <c r="F95" s="106"/>
      <c r="H95" s="106"/>
      <c r="P95" s="122"/>
      <c r="R95" s="122"/>
      <c r="T95" s="106"/>
      <c r="V95" s="122"/>
      <c r="X95" s="122"/>
      <c r="Z95" s="106"/>
      <c r="AB95" s="122"/>
      <c r="AD95" s="122"/>
      <c r="AG95" s="106"/>
      <c r="AO95" s="333">
        <v>4031</v>
      </c>
      <c r="AP95" s="334">
        <v>184</v>
      </c>
      <c r="AQ95" s="335">
        <v>1.7432612059009391E-4</v>
      </c>
    </row>
    <row r="96" spans="1:43" s="173" customFormat="1" ht="15.75">
      <c r="A96" s="106"/>
      <c r="B96" s="106"/>
      <c r="C96" s="106"/>
      <c r="D96" s="106"/>
      <c r="E96" s="106"/>
      <c r="F96" s="106"/>
      <c r="H96" s="106"/>
      <c r="P96" s="122"/>
      <c r="R96" s="122"/>
      <c r="T96" s="106"/>
      <c r="V96" s="122"/>
      <c r="X96" s="122"/>
      <c r="Z96" s="106"/>
      <c r="AB96" s="122"/>
      <c r="AD96" s="122"/>
      <c r="AG96" s="106"/>
      <c r="AO96" s="333">
        <v>4040</v>
      </c>
      <c r="AP96" s="334">
        <v>310</v>
      </c>
      <c r="AQ96" s="335">
        <v>2.937016162115713E-4</v>
      </c>
    </row>
    <row r="97" spans="1:43" s="173" customFormat="1" ht="15.75">
      <c r="A97" s="106"/>
      <c r="B97" s="106"/>
      <c r="C97" s="106"/>
      <c r="D97" s="106"/>
      <c r="E97" s="106"/>
      <c r="F97" s="106"/>
      <c r="H97" s="106"/>
      <c r="P97" s="122"/>
      <c r="R97" s="122"/>
      <c r="T97" s="106"/>
      <c r="V97" s="122"/>
      <c r="X97" s="122"/>
      <c r="Z97" s="106"/>
      <c r="AB97" s="122"/>
      <c r="AD97" s="122"/>
      <c r="AG97" s="106"/>
      <c r="AO97" s="333">
        <v>4050</v>
      </c>
      <c r="AP97" s="334">
        <v>137</v>
      </c>
      <c r="AQ97" s="335">
        <v>1.2979716587414601E-4</v>
      </c>
    </row>
    <row r="98" spans="1:43" s="173" customFormat="1" ht="15.75">
      <c r="A98" s="106"/>
      <c r="B98" s="106"/>
      <c r="C98" s="106"/>
      <c r="D98" s="106"/>
      <c r="E98" s="106"/>
      <c r="F98" s="106"/>
      <c r="H98" s="106"/>
      <c r="P98" s="122"/>
      <c r="R98" s="122"/>
      <c r="T98" s="106"/>
      <c r="V98" s="122"/>
      <c r="X98" s="122"/>
      <c r="Z98" s="106"/>
      <c r="AB98" s="122"/>
      <c r="AD98" s="122"/>
      <c r="AG98" s="106"/>
      <c r="AO98" s="333">
        <v>4100</v>
      </c>
      <c r="AP98" s="334">
        <v>207</v>
      </c>
      <c r="AQ98" s="335">
        <v>1.9611688566385565E-4</v>
      </c>
    </row>
    <row r="99" spans="1:43" s="173" customFormat="1" ht="15.75">
      <c r="A99" s="106"/>
      <c r="B99" s="106"/>
      <c r="C99" s="106"/>
      <c r="D99" s="106"/>
      <c r="E99" s="106"/>
      <c r="F99" s="106"/>
      <c r="H99" s="106"/>
      <c r="P99" s="122"/>
      <c r="R99" s="122"/>
      <c r="T99" s="106"/>
      <c r="V99" s="122"/>
      <c r="X99" s="122"/>
      <c r="Z99" s="106"/>
      <c r="AB99" s="122"/>
      <c r="AD99" s="122"/>
      <c r="AG99" s="106"/>
      <c r="AO99" s="333">
        <v>4105</v>
      </c>
      <c r="AP99" s="334">
        <v>16</v>
      </c>
      <c r="AQ99" s="335">
        <v>1.5158793094790775E-5</v>
      </c>
    </row>
    <row r="100" spans="1:43" s="173" customFormat="1" ht="15.75">
      <c r="A100" s="106"/>
      <c r="B100" s="106"/>
      <c r="C100" s="106"/>
      <c r="D100" s="106"/>
      <c r="E100" s="106"/>
      <c r="F100" s="106"/>
      <c r="H100" s="106"/>
      <c r="P100" s="122"/>
      <c r="R100" s="122"/>
      <c r="T100" s="106"/>
      <c r="V100" s="122"/>
      <c r="X100" s="122"/>
      <c r="Z100" s="106"/>
      <c r="AB100" s="122"/>
      <c r="AD100" s="122"/>
      <c r="AG100" s="106"/>
      <c r="AO100" s="333">
        <v>4110</v>
      </c>
      <c r="AP100" s="334">
        <v>13871</v>
      </c>
      <c r="AQ100" s="335">
        <v>1.3141726188615178E-2</v>
      </c>
    </row>
    <row r="101" spans="1:43" s="173" customFormat="1" ht="15.75">
      <c r="A101" s="106"/>
      <c r="B101" s="106"/>
      <c r="C101" s="106"/>
      <c r="D101" s="106"/>
      <c r="E101" s="106"/>
      <c r="F101" s="106"/>
      <c r="H101" s="106"/>
      <c r="P101" s="122"/>
      <c r="R101" s="122"/>
      <c r="T101" s="106"/>
      <c r="V101" s="122"/>
      <c r="X101" s="122"/>
      <c r="Z101" s="106"/>
      <c r="AB101" s="122"/>
      <c r="AD101" s="122"/>
      <c r="AG101" s="106"/>
      <c r="AO101" s="333">
        <v>4120</v>
      </c>
      <c r="AP101" s="334">
        <v>28094</v>
      </c>
      <c r="AQ101" s="335">
        <v>2.6616945825315753E-2</v>
      </c>
    </row>
    <row r="102" spans="1:43" s="173" customFormat="1" ht="15.75">
      <c r="A102" s="106"/>
      <c r="B102" s="106"/>
      <c r="C102" s="106"/>
      <c r="D102" s="106"/>
      <c r="E102" s="106"/>
      <c r="F102" s="106"/>
      <c r="H102" s="106"/>
      <c r="P102" s="122"/>
      <c r="R102" s="122"/>
      <c r="T102" s="106"/>
      <c r="V102" s="122"/>
      <c r="X102" s="122"/>
      <c r="Z102" s="106"/>
      <c r="AB102" s="122"/>
      <c r="AD102" s="122"/>
      <c r="AG102" s="106"/>
      <c r="AO102" s="333">
        <v>4130</v>
      </c>
      <c r="AP102" s="334">
        <v>11635</v>
      </c>
      <c r="AQ102" s="335">
        <v>1.1023284853618167E-2</v>
      </c>
    </row>
    <row r="103" spans="1:43" s="173" customFormat="1" ht="15.75">
      <c r="A103" s="106"/>
      <c r="B103" s="106"/>
      <c r="C103" s="106"/>
      <c r="D103" s="106"/>
      <c r="E103" s="106"/>
      <c r="F103" s="106"/>
      <c r="H103" s="106"/>
      <c r="P103" s="122"/>
      <c r="R103" s="122"/>
      <c r="T103" s="106"/>
      <c r="V103" s="122"/>
      <c r="X103" s="122"/>
      <c r="Z103" s="106"/>
      <c r="AB103" s="122"/>
      <c r="AD103" s="122"/>
      <c r="AG103" s="106"/>
      <c r="AO103" s="333">
        <v>4140</v>
      </c>
      <c r="AP103" s="334">
        <v>5157</v>
      </c>
      <c r="AQ103" s="335">
        <v>4.8858684993647516E-3</v>
      </c>
    </row>
    <row r="104" spans="1:43" s="173" customFormat="1" ht="15.75">
      <c r="A104" s="106"/>
      <c r="B104" s="106"/>
      <c r="C104" s="106"/>
      <c r="D104" s="106"/>
      <c r="E104" s="106"/>
      <c r="F104" s="106"/>
      <c r="H104" s="106"/>
      <c r="P104" s="122"/>
      <c r="R104" s="122"/>
      <c r="T104" s="106"/>
      <c r="V104" s="122"/>
      <c r="X104" s="122"/>
      <c r="Z104" s="106"/>
      <c r="AB104" s="122"/>
      <c r="AD104" s="122"/>
      <c r="AG104" s="106"/>
      <c r="AO104" s="333">
        <v>4150</v>
      </c>
      <c r="AP104" s="334">
        <v>94</v>
      </c>
      <c r="AQ104" s="335">
        <v>8.9057909431895809E-5</v>
      </c>
    </row>
    <row r="105" spans="1:43" s="173" customFormat="1" ht="15.75">
      <c r="A105" s="106"/>
      <c r="B105" s="106"/>
      <c r="C105" s="106"/>
      <c r="D105" s="106"/>
      <c r="E105" s="106"/>
      <c r="F105" s="106"/>
      <c r="H105" s="106"/>
      <c r="P105" s="122"/>
      <c r="R105" s="122"/>
      <c r="T105" s="106"/>
      <c r="V105" s="122"/>
      <c r="X105" s="122"/>
      <c r="Z105" s="106"/>
      <c r="AB105" s="122"/>
      <c r="AD105" s="122"/>
      <c r="AG105" s="106"/>
      <c r="AO105" s="333">
        <v>4160</v>
      </c>
      <c r="AP105" s="334">
        <v>0</v>
      </c>
      <c r="AQ105" s="335">
        <v>0</v>
      </c>
    </row>
    <row r="106" spans="1:43" s="173" customFormat="1" ht="15.75">
      <c r="A106" s="106"/>
      <c r="B106" s="106"/>
      <c r="C106" s="106"/>
      <c r="D106" s="106"/>
      <c r="E106" s="106"/>
      <c r="F106" s="106"/>
      <c r="H106" s="106"/>
      <c r="P106" s="122"/>
      <c r="R106" s="122"/>
      <c r="T106" s="106"/>
      <c r="V106" s="122"/>
      <c r="X106" s="122"/>
      <c r="Z106" s="106"/>
      <c r="AB106" s="122"/>
      <c r="AD106" s="122"/>
      <c r="AG106" s="106"/>
      <c r="AO106" s="333">
        <v>5411</v>
      </c>
      <c r="AP106" s="334">
        <v>14700</v>
      </c>
      <c r="AQ106" s="335">
        <v>1.3927141155839024E-2</v>
      </c>
    </row>
    <row r="107" spans="1:43" s="173" customFormat="1" ht="15.75">
      <c r="A107" s="106"/>
      <c r="B107" s="106"/>
      <c r="C107" s="106"/>
      <c r="D107" s="106"/>
      <c r="E107" s="106"/>
      <c r="F107" s="106"/>
      <c r="H107" s="106"/>
      <c r="P107" s="122"/>
      <c r="R107" s="122"/>
      <c r="T107" s="106"/>
      <c r="V107" s="122"/>
      <c r="X107" s="122"/>
      <c r="Z107" s="106"/>
      <c r="AB107" s="122"/>
      <c r="AD107" s="122"/>
      <c r="AG107" s="106"/>
      <c r="AO107" s="333">
        <v>5412</v>
      </c>
      <c r="AP107" s="334">
        <v>9611</v>
      </c>
      <c r="AQ107" s="335">
        <v>9.1056975271271347E-3</v>
      </c>
    </row>
    <row r="108" spans="1:43" s="173" customFormat="1" ht="15.75">
      <c r="A108" s="106"/>
      <c r="B108" s="106"/>
      <c r="C108" s="106"/>
      <c r="D108" s="106"/>
      <c r="E108" s="106"/>
      <c r="F108" s="106"/>
      <c r="H108" s="106"/>
      <c r="P108" s="122"/>
      <c r="R108" s="122"/>
      <c r="T108" s="106"/>
      <c r="V108" s="122"/>
      <c r="X108" s="122"/>
      <c r="Z108" s="106"/>
      <c r="AB108" s="122"/>
      <c r="AD108" s="122"/>
      <c r="AG108" s="106"/>
      <c r="AO108" s="333">
        <v>5414</v>
      </c>
      <c r="AP108" s="334">
        <v>8</v>
      </c>
      <c r="AQ108" s="335">
        <v>7.5793965473953874E-6</v>
      </c>
    </row>
    <row r="109" spans="1:43" s="173" customFormat="1" ht="15.75">
      <c r="A109" s="106"/>
      <c r="B109" s="106"/>
      <c r="C109" s="106"/>
      <c r="D109" s="106"/>
      <c r="E109" s="106"/>
      <c r="F109" s="106"/>
      <c r="H109" s="106"/>
      <c r="P109" s="122"/>
      <c r="R109" s="122"/>
      <c r="T109" s="106"/>
      <c r="V109" s="122"/>
      <c r="X109" s="122"/>
      <c r="Z109" s="106"/>
      <c r="AB109" s="122"/>
      <c r="AD109" s="122"/>
      <c r="AG109" s="106"/>
      <c r="AO109" s="333" t="s">
        <v>586</v>
      </c>
      <c r="AP109" s="334">
        <v>1055493</v>
      </c>
      <c r="AQ109" s="335">
        <v>1.0000000000000002</v>
      </c>
    </row>
    <row r="110" spans="1:43" s="173" customFormat="1" ht="15.75">
      <c r="A110" s="106"/>
      <c r="B110" s="106"/>
      <c r="C110" s="106"/>
      <c r="D110" s="106"/>
      <c r="E110" s="106"/>
      <c r="F110" s="106"/>
      <c r="H110" s="106"/>
      <c r="P110" s="122"/>
      <c r="R110" s="122"/>
      <c r="T110" s="106"/>
      <c r="V110" s="122"/>
      <c r="X110" s="122"/>
      <c r="Z110" s="106"/>
      <c r="AB110" s="122"/>
      <c r="AD110" s="122"/>
      <c r="AG110" s="106"/>
      <c r="AO110" s="333" t="s">
        <v>615</v>
      </c>
      <c r="AP110" s="334">
        <v>0</v>
      </c>
      <c r="AQ110" s="335"/>
    </row>
    <row r="111" spans="1:43" s="173" customFormat="1" ht="15">
      <c r="A111" s="106"/>
      <c r="B111" s="106"/>
      <c r="C111" s="106"/>
      <c r="D111" s="106"/>
      <c r="E111" s="106"/>
      <c r="F111" s="106"/>
      <c r="H111" s="106"/>
      <c r="P111" s="122"/>
      <c r="R111" s="122"/>
      <c r="T111" s="106"/>
      <c r="V111" s="122"/>
      <c r="X111" s="122"/>
      <c r="Z111" s="106"/>
      <c r="AB111" s="122"/>
      <c r="AD111" s="122"/>
      <c r="AG111" s="106"/>
    </row>
    <row r="112" spans="1:43" s="173" customFormat="1" ht="15">
      <c r="A112" s="106"/>
      <c r="B112" s="106"/>
      <c r="C112" s="106"/>
      <c r="D112" s="106"/>
      <c r="E112" s="106"/>
      <c r="F112" s="106"/>
      <c r="H112" s="106"/>
      <c r="P112" s="122"/>
      <c r="R112" s="122"/>
      <c r="T112" s="106"/>
      <c r="V112" s="122"/>
      <c r="X112" s="122"/>
      <c r="Z112" s="106"/>
      <c r="AB112" s="122"/>
      <c r="AD112" s="122"/>
      <c r="AG112" s="106"/>
    </row>
    <row r="113" spans="1:33" s="173" customFormat="1" ht="15">
      <c r="A113" s="106"/>
      <c r="B113" s="106"/>
      <c r="C113" s="106"/>
      <c r="D113" s="106"/>
      <c r="E113" s="106"/>
      <c r="F113" s="106"/>
      <c r="H113" s="106"/>
      <c r="P113" s="122"/>
      <c r="R113" s="122"/>
      <c r="T113" s="106"/>
      <c r="V113" s="122"/>
      <c r="X113" s="122"/>
      <c r="Z113" s="106"/>
      <c r="AB113" s="122"/>
      <c r="AD113" s="122"/>
      <c r="AG113" s="106"/>
    </row>
    <row r="114" spans="1:33" s="173" customFormat="1" ht="15">
      <c r="A114" s="106"/>
      <c r="B114" s="106"/>
      <c r="C114" s="106"/>
      <c r="D114" s="106"/>
      <c r="E114" s="106"/>
      <c r="F114" s="106"/>
      <c r="H114" s="106"/>
      <c r="P114" s="122"/>
      <c r="R114" s="122"/>
      <c r="T114" s="106"/>
      <c r="V114" s="122"/>
      <c r="X114" s="122"/>
      <c r="Z114" s="106"/>
      <c r="AB114" s="122"/>
      <c r="AD114" s="122"/>
      <c r="AG114" s="106"/>
    </row>
    <row r="115" spans="1:33" s="173" customFormat="1" ht="15">
      <c r="A115" s="106"/>
      <c r="B115" s="106"/>
      <c r="C115" s="106"/>
      <c r="D115" s="106"/>
      <c r="E115" s="106"/>
      <c r="F115" s="106"/>
      <c r="H115" s="106"/>
      <c r="P115" s="122"/>
      <c r="R115" s="122"/>
      <c r="T115" s="106"/>
      <c r="V115" s="122"/>
      <c r="X115" s="122"/>
      <c r="Z115" s="106"/>
      <c r="AB115" s="122"/>
      <c r="AD115" s="122"/>
      <c r="AG115" s="106"/>
    </row>
    <row r="116" spans="1:33" s="173" customFormat="1" ht="15">
      <c r="A116" s="106"/>
      <c r="B116" s="106"/>
      <c r="C116" s="106"/>
      <c r="D116" s="106"/>
      <c r="E116" s="106"/>
      <c r="F116" s="106"/>
      <c r="H116" s="106"/>
      <c r="P116" s="122"/>
      <c r="R116" s="122"/>
      <c r="T116" s="106"/>
      <c r="V116" s="122"/>
      <c r="X116" s="122"/>
      <c r="Z116" s="106"/>
      <c r="AB116" s="122"/>
      <c r="AD116" s="122"/>
      <c r="AG116" s="106"/>
    </row>
    <row r="117" spans="1:33" s="173" customFormat="1" ht="15">
      <c r="A117" s="106"/>
      <c r="B117" s="106"/>
      <c r="C117" s="106"/>
      <c r="D117" s="106"/>
      <c r="E117" s="106"/>
      <c r="F117" s="106"/>
      <c r="H117" s="106"/>
      <c r="P117" s="122"/>
      <c r="R117" s="122"/>
      <c r="T117" s="106"/>
      <c r="V117" s="122"/>
      <c r="X117" s="122"/>
      <c r="Z117" s="106"/>
      <c r="AB117" s="122"/>
      <c r="AD117" s="122"/>
      <c r="AG117" s="106"/>
    </row>
    <row r="118" spans="1:33" s="173" customFormat="1" ht="15">
      <c r="A118" s="106"/>
      <c r="B118" s="106"/>
      <c r="C118" s="106"/>
      <c r="D118" s="106"/>
      <c r="E118" s="106"/>
      <c r="F118" s="106"/>
      <c r="H118" s="106"/>
      <c r="P118" s="122"/>
      <c r="R118" s="122"/>
      <c r="T118" s="106"/>
      <c r="V118" s="122"/>
      <c r="X118" s="122"/>
      <c r="Z118" s="106"/>
      <c r="AB118" s="122"/>
      <c r="AD118" s="122"/>
      <c r="AG118" s="106"/>
    </row>
    <row r="119" spans="1:33" s="173" customFormat="1" ht="15">
      <c r="A119" s="106"/>
      <c r="B119" s="106"/>
      <c r="C119" s="106"/>
      <c r="D119" s="106"/>
      <c r="E119" s="106"/>
      <c r="F119" s="106"/>
      <c r="H119" s="106"/>
      <c r="P119" s="122"/>
      <c r="R119" s="122"/>
      <c r="T119" s="106"/>
      <c r="V119" s="122"/>
      <c r="X119" s="122"/>
      <c r="Z119" s="106"/>
      <c r="AB119" s="122"/>
      <c r="AD119" s="122"/>
      <c r="AG119" s="106"/>
    </row>
    <row r="120" spans="1:33" s="173" customFormat="1" ht="15">
      <c r="A120" s="106"/>
      <c r="B120" s="106"/>
      <c r="C120" s="106"/>
      <c r="D120" s="106"/>
      <c r="E120" s="106"/>
      <c r="F120" s="106"/>
      <c r="H120" s="106"/>
      <c r="P120" s="122"/>
      <c r="R120" s="122"/>
      <c r="T120" s="106"/>
      <c r="V120" s="122"/>
      <c r="X120" s="122"/>
      <c r="Z120" s="106"/>
      <c r="AB120" s="122"/>
      <c r="AD120" s="122"/>
      <c r="AG120" s="106"/>
    </row>
    <row r="121" spans="1:33" s="173" customFormat="1" ht="15">
      <c r="A121" s="106"/>
      <c r="B121" s="106"/>
      <c r="C121" s="106"/>
      <c r="D121" s="106"/>
      <c r="E121" s="106"/>
      <c r="F121" s="106"/>
      <c r="H121" s="106"/>
      <c r="P121" s="122"/>
      <c r="R121" s="122"/>
      <c r="T121" s="106"/>
      <c r="V121" s="122"/>
      <c r="X121" s="122"/>
      <c r="Z121" s="106"/>
      <c r="AB121" s="122"/>
      <c r="AD121" s="122"/>
      <c r="AG121" s="106"/>
    </row>
    <row r="122" spans="1:33" s="173" customFormat="1" ht="15">
      <c r="A122" s="106"/>
      <c r="B122" s="106"/>
      <c r="C122" s="106"/>
      <c r="D122" s="106"/>
      <c r="E122" s="106"/>
      <c r="F122" s="106"/>
      <c r="H122" s="106"/>
      <c r="P122" s="122"/>
      <c r="R122" s="122"/>
      <c r="T122" s="106"/>
      <c r="V122" s="122"/>
      <c r="X122" s="122"/>
      <c r="Z122" s="106"/>
      <c r="AB122" s="122"/>
      <c r="AD122" s="122"/>
      <c r="AG122" s="106"/>
    </row>
    <row r="123" spans="1:33" s="173" customFormat="1" ht="15">
      <c r="A123" s="106"/>
      <c r="B123" s="106"/>
      <c r="C123" s="106"/>
      <c r="D123" s="106"/>
      <c r="E123" s="106"/>
      <c r="F123" s="106"/>
      <c r="H123" s="106"/>
      <c r="P123" s="122"/>
      <c r="R123" s="122"/>
      <c r="T123" s="106"/>
      <c r="V123" s="122"/>
      <c r="X123" s="122"/>
      <c r="Z123" s="106"/>
      <c r="AB123" s="122"/>
      <c r="AD123" s="122"/>
      <c r="AG123" s="106"/>
    </row>
    <row r="124" spans="1:33" s="173" customFormat="1" ht="15">
      <c r="A124" s="106"/>
      <c r="B124" s="106"/>
      <c r="C124" s="106"/>
      <c r="D124" s="106"/>
      <c r="E124" s="106"/>
      <c r="F124" s="106"/>
      <c r="H124" s="106"/>
      <c r="P124" s="122"/>
      <c r="R124" s="122"/>
      <c r="T124" s="106"/>
      <c r="V124" s="122"/>
      <c r="X124" s="122"/>
      <c r="Z124" s="106"/>
      <c r="AB124" s="122"/>
      <c r="AD124" s="122"/>
      <c r="AG124" s="106"/>
    </row>
    <row r="125" spans="1:33" s="173" customFormat="1" ht="15">
      <c r="A125" s="106"/>
      <c r="B125" s="106"/>
      <c r="C125" s="106"/>
      <c r="D125" s="106"/>
      <c r="E125" s="106"/>
      <c r="F125" s="106"/>
      <c r="H125" s="106"/>
      <c r="P125" s="122"/>
      <c r="R125" s="122"/>
      <c r="T125" s="106"/>
      <c r="V125" s="122"/>
      <c r="X125" s="122"/>
      <c r="Z125" s="106"/>
      <c r="AB125" s="122"/>
      <c r="AD125" s="122"/>
      <c r="AG125" s="106"/>
    </row>
    <row r="126" spans="1:33" s="173" customFormat="1" ht="15">
      <c r="A126" s="106"/>
      <c r="B126" s="106"/>
      <c r="C126" s="106"/>
      <c r="D126" s="106"/>
      <c r="E126" s="106"/>
      <c r="F126" s="106"/>
      <c r="H126" s="106"/>
      <c r="P126" s="122"/>
      <c r="R126" s="122"/>
      <c r="T126" s="106"/>
      <c r="V126" s="122"/>
      <c r="X126" s="122"/>
      <c r="Z126" s="106"/>
      <c r="AB126" s="122"/>
      <c r="AD126" s="122"/>
      <c r="AG126" s="106"/>
    </row>
    <row r="127" spans="1:33" s="173" customFormat="1" ht="15">
      <c r="A127" s="106"/>
      <c r="B127" s="106"/>
      <c r="C127" s="106"/>
      <c r="D127" s="106"/>
      <c r="E127" s="106"/>
      <c r="F127" s="106"/>
      <c r="H127" s="106"/>
      <c r="P127" s="122"/>
      <c r="R127" s="122"/>
      <c r="T127" s="106"/>
      <c r="V127" s="122"/>
      <c r="X127" s="122"/>
      <c r="Z127" s="106"/>
      <c r="AB127" s="122"/>
      <c r="AD127" s="122"/>
      <c r="AG127" s="106"/>
    </row>
    <row r="128" spans="1:33" s="173" customFormat="1" ht="15">
      <c r="A128" s="106"/>
      <c r="B128" s="106"/>
      <c r="C128" s="106"/>
      <c r="D128" s="106"/>
      <c r="E128" s="106"/>
      <c r="F128" s="106"/>
      <c r="H128" s="106"/>
      <c r="P128" s="122"/>
      <c r="R128" s="122"/>
      <c r="T128" s="106"/>
      <c r="V128" s="122"/>
      <c r="X128" s="122"/>
      <c r="Z128" s="106"/>
      <c r="AB128" s="122"/>
      <c r="AD128" s="122"/>
      <c r="AG128" s="106"/>
    </row>
    <row r="129" spans="1:33" s="173" customFormat="1" ht="15">
      <c r="A129" s="106"/>
      <c r="B129" s="106"/>
      <c r="C129" s="106"/>
      <c r="D129" s="106"/>
      <c r="E129" s="106"/>
      <c r="F129" s="106"/>
      <c r="H129" s="106"/>
      <c r="P129" s="122"/>
      <c r="R129" s="122"/>
      <c r="T129" s="106"/>
      <c r="V129" s="122"/>
      <c r="X129" s="122"/>
      <c r="Z129" s="106"/>
      <c r="AB129" s="122"/>
      <c r="AD129" s="122"/>
      <c r="AG129" s="106"/>
    </row>
    <row r="130" spans="1:33" s="173" customFormat="1" ht="15">
      <c r="A130" s="106"/>
      <c r="B130" s="106"/>
      <c r="C130" s="106"/>
      <c r="D130" s="106"/>
      <c r="E130" s="106"/>
      <c r="F130" s="106"/>
      <c r="H130" s="106"/>
      <c r="P130" s="122"/>
      <c r="R130" s="122"/>
      <c r="T130" s="106"/>
      <c r="V130" s="122"/>
      <c r="X130" s="122"/>
      <c r="Z130" s="106"/>
      <c r="AB130" s="122"/>
      <c r="AD130" s="122"/>
      <c r="AG130" s="106"/>
    </row>
    <row r="131" spans="1:33" s="173" customFormat="1" ht="15">
      <c r="A131" s="106"/>
      <c r="B131" s="106"/>
      <c r="C131" s="106"/>
      <c r="D131" s="106"/>
      <c r="E131" s="106"/>
      <c r="F131" s="106"/>
      <c r="H131" s="106"/>
      <c r="P131" s="122"/>
      <c r="R131" s="122"/>
      <c r="T131" s="106"/>
      <c r="V131" s="122"/>
      <c r="X131" s="122"/>
      <c r="Z131" s="106"/>
      <c r="AB131" s="122"/>
      <c r="AD131" s="122"/>
      <c r="AG131" s="106"/>
    </row>
    <row r="132" spans="1:33" s="173" customFormat="1" ht="15">
      <c r="A132" s="106"/>
      <c r="B132" s="106"/>
      <c r="C132" s="106"/>
      <c r="D132" s="106"/>
      <c r="E132" s="106"/>
      <c r="F132" s="106"/>
      <c r="H132" s="106"/>
      <c r="P132" s="122"/>
      <c r="R132" s="122"/>
      <c r="T132" s="106"/>
      <c r="V132" s="122"/>
      <c r="X132" s="122"/>
      <c r="Z132" s="106"/>
      <c r="AB132" s="122"/>
      <c r="AD132" s="122"/>
      <c r="AG132" s="106"/>
    </row>
    <row r="133" spans="1:33" s="173" customFormat="1" ht="15">
      <c r="A133" s="106"/>
      <c r="B133" s="106"/>
      <c r="C133" s="106"/>
      <c r="D133" s="106"/>
      <c r="E133" s="106"/>
      <c r="F133" s="106"/>
      <c r="H133" s="106"/>
      <c r="P133" s="122"/>
      <c r="R133" s="122"/>
      <c r="T133" s="106"/>
      <c r="V133" s="122"/>
      <c r="X133" s="122"/>
      <c r="Z133" s="106"/>
      <c r="AB133" s="122"/>
      <c r="AD133" s="122"/>
      <c r="AG133" s="106"/>
    </row>
    <row r="134" spans="1:33" s="173" customFormat="1" ht="15">
      <c r="A134" s="106"/>
      <c r="B134" s="106"/>
      <c r="C134" s="106"/>
      <c r="D134" s="106"/>
      <c r="E134" s="106"/>
      <c r="F134" s="106"/>
      <c r="H134" s="106"/>
      <c r="P134" s="122"/>
      <c r="R134" s="122"/>
      <c r="T134" s="106"/>
      <c r="V134" s="122"/>
      <c r="X134" s="122"/>
      <c r="Z134" s="106"/>
      <c r="AB134" s="122"/>
      <c r="AD134" s="122"/>
      <c r="AG134" s="106"/>
    </row>
    <row r="135" spans="1:33" s="173" customFormat="1" ht="15">
      <c r="A135" s="106"/>
      <c r="B135" s="106"/>
      <c r="C135" s="106"/>
      <c r="D135" s="106"/>
      <c r="E135" s="106"/>
      <c r="F135" s="106"/>
      <c r="H135" s="106"/>
      <c r="P135" s="122"/>
      <c r="R135" s="122"/>
      <c r="T135" s="106"/>
      <c r="V135" s="122"/>
      <c r="X135" s="122"/>
      <c r="Z135" s="106"/>
      <c r="AB135" s="122"/>
      <c r="AD135" s="122"/>
      <c r="AG135" s="106"/>
    </row>
    <row r="136" spans="1:33" s="173" customFormat="1" ht="15">
      <c r="A136" s="106"/>
      <c r="B136" s="106"/>
      <c r="C136" s="106"/>
      <c r="D136" s="106"/>
      <c r="E136" s="106"/>
      <c r="F136" s="106"/>
      <c r="H136" s="106"/>
      <c r="P136" s="122"/>
      <c r="R136" s="122"/>
      <c r="T136" s="106"/>
      <c r="V136" s="122"/>
      <c r="X136" s="122"/>
      <c r="Z136" s="106"/>
      <c r="AB136" s="122"/>
      <c r="AD136" s="122"/>
      <c r="AG136" s="106"/>
    </row>
    <row r="137" spans="1:33" s="173" customFormat="1" ht="15">
      <c r="A137" s="106"/>
      <c r="B137" s="106"/>
      <c r="C137" s="106"/>
      <c r="D137" s="106"/>
      <c r="E137" s="106"/>
      <c r="F137" s="106"/>
      <c r="H137" s="106"/>
      <c r="P137" s="122"/>
      <c r="R137" s="122"/>
      <c r="T137" s="106"/>
      <c r="V137" s="122"/>
      <c r="X137" s="122"/>
      <c r="Z137" s="106"/>
      <c r="AB137" s="122"/>
      <c r="AD137" s="122"/>
      <c r="AG137" s="106"/>
    </row>
    <row r="138" spans="1:33" s="173" customFormat="1" ht="15">
      <c r="A138" s="106"/>
      <c r="B138" s="106"/>
      <c r="C138" s="106"/>
      <c r="D138" s="106"/>
      <c r="E138" s="106"/>
      <c r="F138" s="106"/>
      <c r="H138" s="106"/>
      <c r="P138" s="122"/>
      <c r="R138" s="122"/>
      <c r="T138" s="106"/>
      <c r="V138" s="122"/>
      <c r="X138" s="122"/>
      <c r="Z138" s="106"/>
      <c r="AB138" s="122"/>
      <c r="AD138" s="122"/>
      <c r="AG138" s="106"/>
    </row>
    <row r="139" spans="1:33" s="173" customFormat="1" ht="15">
      <c r="A139" s="106"/>
      <c r="B139" s="106"/>
      <c r="C139" s="106"/>
      <c r="D139" s="106"/>
      <c r="E139" s="106"/>
      <c r="F139" s="106"/>
      <c r="H139" s="106"/>
      <c r="P139" s="122"/>
      <c r="R139" s="122"/>
      <c r="T139" s="106"/>
      <c r="V139" s="122"/>
      <c r="X139" s="122"/>
      <c r="Z139" s="106"/>
      <c r="AB139" s="122"/>
      <c r="AD139" s="122"/>
      <c r="AG139" s="106"/>
    </row>
    <row r="140" spans="1:33" s="173" customFormat="1" ht="15">
      <c r="A140" s="106"/>
      <c r="B140" s="106"/>
      <c r="C140" s="106"/>
      <c r="D140" s="106"/>
      <c r="E140" s="106"/>
      <c r="F140" s="106"/>
      <c r="H140" s="106"/>
      <c r="P140" s="122"/>
      <c r="R140" s="122"/>
      <c r="T140" s="106"/>
      <c r="V140" s="122"/>
      <c r="X140" s="122"/>
      <c r="Z140" s="106"/>
      <c r="AB140" s="122"/>
      <c r="AD140" s="122"/>
      <c r="AG140" s="106"/>
    </row>
    <row r="141" spans="1:33" s="173" customFormat="1" ht="15">
      <c r="A141" s="106"/>
      <c r="B141" s="106"/>
      <c r="C141" s="106"/>
      <c r="D141" s="106"/>
      <c r="E141" s="106"/>
      <c r="F141" s="106"/>
      <c r="H141" s="106"/>
      <c r="P141" s="122"/>
      <c r="R141" s="122"/>
      <c r="T141" s="106"/>
      <c r="V141" s="122"/>
      <c r="X141" s="122"/>
      <c r="Z141" s="106"/>
      <c r="AB141" s="122"/>
      <c r="AD141" s="122"/>
      <c r="AG141" s="106"/>
    </row>
    <row r="142" spans="1:33" s="173" customFormat="1" ht="15">
      <c r="A142" s="106"/>
      <c r="B142" s="106"/>
      <c r="C142" s="106"/>
      <c r="D142" s="106"/>
      <c r="E142" s="106"/>
      <c r="F142" s="106"/>
      <c r="H142" s="106"/>
      <c r="P142" s="122"/>
      <c r="R142" s="122"/>
      <c r="T142" s="106"/>
      <c r="V142" s="122"/>
      <c r="X142" s="122"/>
      <c r="Z142" s="106"/>
      <c r="AB142" s="122"/>
      <c r="AD142" s="122"/>
      <c r="AG142" s="106"/>
    </row>
    <row r="143" spans="1:33" s="173" customFormat="1" ht="15">
      <c r="A143" s="106"/>
      <c r="B143" s="106"/>
      <c r="C143" s="106"/>
      <c r="D143" s="106"/>
      <c r="E143" s="106"/>
      <c r="F143" s="106"/>
      <c r="H143" s="106"/>
      <c r="P143" s="122"/>
      <c r="R143" s="122"/>
      <c r="T143" s="106"/>
      <c r="V143" s="122"/>
      <c r="X143" s="122"/>
      <c r="Z143" s="106"/>
      <c r="AB143" s="122"/>
      <c r="AD143" s="122"/>
      <c r="AG143" s="106"/>
    </row>
    <row r="144" spans="1:33" s="173" customFormat="1" ht="15">
      <c r="A144" s="106"/>
      <c r="B144" s="106"/>
      <c r="C144" s="106"/>
      <c r="D144" s="106"/>
      <c r="E144" s="106"/>
      <c r="F144" s="106"/>
      <c r="H144" s="106"/>
      <c r="P144" s="122"/>
      <c r="R144" s="122"/>
      <c r="T144" s="106"/>
      <c r="V144" s="122"/>
      <c r="X144" s="122"/>
      <c r="Z144" s="106"/>
      <c r="AB144" s="122"/>
      <c r="AD144" s="122"/>
      <c r="AG144" s="106"/>
    </row>
    <row r="145" spans="1:33" s="173" customFormat="1" ht="15">
      <c r="A145" s="106"/>
      <c r="B145" s="106"/>
      <c r="C145" s="106"/>
      <c r="D145" s="106"/>
      <c r="E145" s="106"/>
      <c r="F145" s="106"/>
      <c r="H145" s="106"/>
      <c r="P145" s="122"/>
      <c r="R145" s="122"/>
      <c r="T145" s="106"/>
      <c r="V145" s="122"/>
      <c r="X145" s="122"/>
      <c r="Z145" s="106"/>
      <c r="AB145" s="122"/>
      <c r="AD145" s="122"/>
      <c r="AG145" s="106"/>
    </row>
    <row r="146" spans="1:33" s="173" customFormat="1" ht="15">
      <c r="A146" s="106"/>
      <c r="B146" s="106"/>
      <c r="C146" s="106"/>
      <c r="D146" s="106"/>
      <c r="E146" s="106"/>
      <c r="F146" s="106"/>
      <c r="H146" s="106"/>
      <c r="P146" s="122"/>
      <c r="R146" s="122"/>
      <c r="T146" s="106"/>
      <c r="V146" s="122"/>
      <c r="X146" s="122"/>
      <c r="Z146" s="106"/>
      <c r="AB146" s="122"/>
      <c r="AD146" s="122"/>
      <c r="AG146" s="106"/>
    </row>
    <row r="147" spans="1:33" s="173" customFormat="1" ht="15">
      <c r="A147" s="106"/>
      <c r="B147" s="106"/>
      <c r="C147" s="106"/>
      <c r="D147" s="106"/>
      <c r="E147" s="106"/>
      <c r="F147" s="106"/>
      <c r="H147" s="106"/>
      <c r="P147" s="122"/>
      <c r="R147" s="122"/>
      <c r="T147" s="106"/>
      <c r="V147" s="122"/>
      <c r="X147" s="122"/>
      <c r="Z147" s="106"/>
      <c r="AB147" s="122"/>
      <c r="AD147" s="122"/>
      <c r="AG147" s="106"/>
    </row>
    <row r="148" spans="1:33" s="173" customFormat="1" ht="15">
      <c r="A148" s="106"/>
      <c r="B148" s="106"/>
      <c r="C148" s="106"/>
      <c r="D148" s="106"/>
      <c r="E148" s="106"/>
      <c r="F148" s="106"/>
      <c r="H148" s="106"/>
      <c r="P148" s="122"/>
      <c r="R148" s="122"/>
      <c r="T148" s="106"/>
      <c r="V148" s="122"/>
      <c r="X148" s="122"/>
      <c r="Z148" s="106"/>
      <c r="AB148" s="122"/>
      <c r="AD148" s="122"/>
      <c r="AG148" s="106"/>
    </row>
    <row r="149" spans="1:33" s="173" customFormat="1" ht="15">
      <c r="A149" s="106"/>
      <c r="B149" s="106"/>
      <c r="C149" s="106"/>
      <c r="D149" s="106"/>
      <c r="E149" s="106"/>
      <c r="F149" s="106"/>
      <c r="H149" s="106"/>
      <c r="P149" s="122"/>
      <c r="R149" s="122"/>
      <c r="T149" s="106"/>
      <c r="V149" s="122"/>
      <c r="X149" s="122"/>
      <c r="Z149" s="106"/>
      <c r="AB149" s="122"/>
      <c r="AD149" s="122"/>
      <c r="AG149" s="106"/>
    </row>
    <row r="150" spans="1:33" s="173" customFormat="1" ht="15">
      <c r="A150" s="106"/>
      <c r="B150" s="106"/>
      <c r="C150" s="106"/>
      <c r="D150" s="106"/>
      <c r="E150" s="106"/>
      <c r="F150" s="106"/>
      <c r="H150" s="106"/>
      <c r="P150" s="122"/>
      <c r="R150" s="122"/>
      <c r="T150" s="106"/>
      <c r="V150" s="122"/>
      <c r="X150" s="122"/>
      <c r="Z150" s="106"/>
      <c r="AB150" s="122"/>
      <c r="AD150" s="122"/>
      <c r="AG150" s="106"/>
    </row>
    <row r="151" spans="1:33" s="173" customFormat="1" ht="15">
      <c r="A151" s="106"/>
      <c r="B151" s="106"/>
      <c r="C151" s="106"/>
      <c r="D151" s="106"/>
      <c r="E151" s="106"/>
      <c r="F151" s="106"/>
      <c r="H151" s="106"/>
      <c r="P151" s="122"/>
      <c r="R151" s="122"/>
      <c r="T151" s="106"/>
      <c r="V151" s="122"/>
      <c r="X151" s="122"/>
      <c r="Z151" s="106"/>
      <c r="AB151" s="122"/>
      <c r="AD151" s="122"/>
      <c r="AG151" s="106"/>
    </row>
    <row r="152" spans="1:33" s="173" customFormat="1" ht="15">
      <c r="A152" s="106"/>
      <c r="B152" s="106"/>
      <c r="C152" s="106"/>
      <c r="D152" s="106"/>
      <c r="E152" s="106"/>
      <c r="F152" s="106"/>
      <c r="H152" s="106"/>
      <c r="P152" s="122"/>
      <c r="R152" s="122"/>
      <c r="T152" s="106"/>
      <c r="V152" s="122"/>
      <c r="X152" s="122"/>
      <c r="Z152" s="106"/>
      <c r="AB152" s="122"/>
      <c r="AD152" s="122"/>
      <c r="AG152" s="106"/>
    </row>
    <row r="153" spans="1:33" s="173" customFormat="1" ht="15">
      <c r="A153" s="106"/>
      <c r="B153" s="106"/>
      <c r="C153" s="106"/>
      <c r="D153" s="106"/>
      <c r="E153" s="106"/>
      <c r="F153" s="106"/>
      <c r="H153" s="106"/>
      <c r="P153" s="122"/>
      <c r="R153" s="122"/>
      <c r="T153" s="106"/>
      <c r="V153" s="122"/>
      <c r="X153" s="122"/>
      <c r="Z153" s="106"/>
      <c r="AB153" s="122"/>
      <c r="AD153" s="122"/>
      <c r="AG153" s="106"/>
    </row>
    <row r="154" spans="1:33" s="173" customFormat="1" ht="15">
      <c r="A154" s="106"/>
      <c r="B154" s="106"/>
      <c r="C154" s="106"/>
      <c r="D154" s="106"/>
      <c r="E154" s="106"/>
      <c r="F154" s="106"/>
      <c r="H154" s="106"/>
      <c r="P154" s="122"/>
      <c r="R154" s="122"/>
      <c r="T154" s="106"/>
      <c r="V154" s="122"/>
      <c r="X154" s="122"/>
      <c r="Z154" s="106"/>
      <c r="AB154" s="122"/>
      <c r="AD154" s="122"/>
      <c r="AG154" s="106"/>
    </row>
    <row r="155" spans="1:33" s="173" customFormat="1" ht="15">
      <c r="A155" s="106"/>
      <c r="B155" s="106"/>
      <c r="C155" s="106"/>
      <c r="D155" s="106"/>
      <c r="E155" s="106"/>
      <c r="F155" s="106"/>
      <c r="H155" s="106"/>
      <c r="P155" s="122"/>
      <c r="R155" s="122"/>
      <c r="T155" s="106"/>
      <c r="V155" s="122"/>
      <c r="X155" s="122"/>
      <c r="Z155" s="106"/>
      <c r="AB155" s="122"/>
      <c r="AD155" s="122"/>
      <c r="AG155" s="106"/>
    </row>
    <row r="156" spans="1:33" s="173" customFormat="1" ht="15">
      <c r="A156" s="106"/>
      <c r="B156" s="106"/>
      <c r="C156" s="106"/>
      <c r="D156" s="106"/>
      <c r="E156" s="106"/>
      <c r="F156" s="106"/>
      <c r="H156" s="106"/>
      <c r="P156" s="122"/>
      <c r="R156" s="122"/>
      <c r="T156" s="106"/>
      <c r="V156" s="122"/>
      <c r="X156" s="122"/>
      <c r="Z156" s="106"/>
      <c r="AB156" s="122"/>
      <c r="AD156" s="122"/>
      <c r="AG156" s="106"/>
    </row>
    <row r="157" spans="1:33" s="173" customFormat="1" ht="15">
      <c r="A157" s="106"/>
      <c r="B157" s="106"/>
      <c r="C157" s="106"/>
      <c r="D157" s="106"/>
      <c r="E157" s="106"/>
      <c r="F157" s="106"/>
      <c r="H157" s="106"/>
      <c r="P157" s="122"/>
      <c r="R157" s="122"/>
      <c r="T157" s="106"/>
      <c r="V157" s="122"/>
      <c r="X157" s="122"/>
      <c r="Z157" s="106"/>
      <c r="AB157" s="122"/>
      <c r="AD157" s="122"/>
      <c r="AG157" s="106"/>
    </row>
    <row r="158" spans="1:33" s="173" customFormat="1" ht="15">
      <c r="A158" s="106"/>
      <c r="B158" s="106"/>
      <c r="C158" s="106"/>
      <c r="D158" s="106"/>
      <c r="E158" s="106"/>
      <c r="F158" s="106"/>
      <c r="H158" s="106"/>
      <c r="P158" s="122"/>
      <c r="R158" s="122"/>
      <c r="T158" s="106"/>
      <c r="V158" s="122"/>
      <c r="X158" s="122"/>
      <c r="Z158" s="106"/>
      <c r="AB158" s="122"/>
      <c r="AD158" s="122"/>
      <c r="AG158" s="106"/>
    </row>
    <row r="159" spans="1:33" s="173" customFormat="1" ht="15">
      <c r="A159" s="106"/>
      <c r="B159" s="106"/>
      <c r="C159" s="106"/>
      <c r="D159" s="106"/>
      <c r="E159" s="106"/>
      <c r="F159" s="106"/>
      <c r="H159" s="106"/>
      <c r="P159" s="122"/>
      <c r="R159" s="122"/>
      <c r="T159" s="106"/>
      <c r="V159" s="122"/>
      <c r="X159" s="122"/>
      <c r="Z159" s="106"/>
      <c r="AB159" s="122"/>
      <c r="AD159" s="122"/>
      <c r="AG159" s="106"/>
    </row>
    <row r="160" spans="1:33" s="173" customFormat="1" ht="15">
      <c r="A160" s="106"/>
      <c r="B160" s="106"/>
      <c r="C160" s="106"/>
      <c r="D160" s="106"/>
      <c r="E160" s="106"/>
      <c r="F160" s="106"/>
      <c r="H160" s="106"/>
      <c r="P160" s="122"/>
      <c r="R160" s="122"/>
      <c r="T160" s="106"/>
      <c r="V160" s="122"/>
      <c r="X160" s="122"/>
      <c r="Z160" s="106"/>
      <c r="AB160" s="122"/>
      <c r="AD160" s="122"/>
      <c r="AG160" s="106"/>
    </row>
    <row r="161" spans="1:33" s="173" customFormat="1" ht="15">
      <c r="A161" s="106"/>
      <c r="B161" s="106"/>
      <c r="C161" s="106"/>
      <c r="D161" s="106"/>
      <c r="E161" s="106"/>
      <c r="F161" s="106"/>
      <c r="H161" s="106"/>
      <c r="P161" s="122"/>
      <c r="R161" s="122"/>
      <c r="T161" s="106"/>
      <c r="V161" s="122"/>
      <c r="X161" s="122"/>
      <c r="Z161" s="106"/>
      <c r="AB161" s="122"/>
      <c r="AD161" s="122"/>
      <c r="AG161" s="106"/>
    </row>
    <row r="162" spans="1:33" s="173" customFormat="1" ht="15">
      <c r="A162" s="106"/>
      <c r="B162" s="106"/>
      <c r="C162" s="106"/>
      <c r="D162" s="106"/>
      <c r="E162" s="106"/>
      <c r="F162" s="106"/>
      <c r="H162" s="106"/>
      <c r="P162" s="122"/>
      <c r="R162" s="122"/>
      <c r="T162" s="106"/>
      <c r="V162" s="122"/>
      <c r="X162" s="122"/>
      <c r="Z162" s="106"/>
      <c r="AB162" s="122"/>
      <c r="AD162" s="122"/>
      <c r="AG162" s="106"/>
    </row>
    <row r="163" spans="1:33" s="173" customFormat="1" ht="15">
      <c r="A163" s="106"/>
      <c r="B163" s="106"/>
      <c r="C163" s="106"/>
      <c r="D163" s="106"/>
      <c r="E163" s="106"/>
      <c r="F163" s="106"/>
      <c r="H163" s="106"/>
      <c r="P163" s="122"/>
      <c r="R163" s="122"/>
      <c r="T163" s="106"/>
      <c r="V163" s="122"/>
      <c r="X163" s="122"/>
      <c r="Z163" s="106"/>
      <c r="AB163" s="122"/>
      <c r="AD163" s="122"/>
      <c r="AG163" s="106"/>
    </row>
    <row r="164" spans="1:33" s="173" customFormat="1" ht="15">
      <c r="A164" s="106"/>
      <c r="B164" s="106"/>
      <c r="C164" s="106"/>
      <c r="D164" s="106"/>
      <c r="E164" s="106"/>
      <c r="F164" s="106"/>
      <c r="H164" s="106"/>
      <c r="P164" s="122"/>
      <c r="R164" s="122"/>
      <c r="T164" s="106"/>
      <c r="V164" s="122"/>
      <c r="X164" s="122"/>
      <c r="Z164" s="106"/>
      <c r="AB164" s="122"/>
      <c r="AD164" s="122"/>
      <c r="AG164" s="106"/>
    </row>
    <row r="165" spans="1:33" s="173" customFormat="1" ht="15">
      <c r="A165" s="106"/>
      <c r="B165" s="106"/>
      <c r="C165" s="106"/>
      <c r="D165" s="106"/>
      <c r="E165" s="106"/>
      <c r="F165" s="106"/>
      <c r="H165" s="106"/>
      <c r="P165" s="122"/>
      <c r="R165" s="122"/>
      <c r="T165" s="106"/>
      <c r="V165" s="122"/>
      <c r="X165" s="122"/>
      <c r="Z165" s="106"/>
      <c r="AB165" s="122"/>
      <c r="AD165" s="122"/>
      <c r="AG165" s="106"/>
    </row>
    <row r="166" spans="1:33" s="173" customFormat="1" ht="15">
      <c r="A166" s="106"/>
      <c r="B166" s="106"/>
      <c r="C166" s="106"/>
      <c r="D166" s="106"/>
      <c r="E166" s="106"/>
      <c r="F166" s="106"/>
      <c r="H166" s="106"/>
      <c r="P166" s="122"/>
      <c r="R166" s="122"/>
      <c r="T166" s="106"/>
      <c r="V166" s="122"/>
      <c r="X166" s="122"/>
      <c r="Z166" s="106"/>
      <c r="AB166" s="122"/>
      <c r="AD166" s="122"/>
      <c r="AG166" s="106"/>
    </row>
    <row r="167" spans="1:33" s="173" customFormat="1" ht="15">
      <c r="A167" s="106"/>
      <c r="B167" s="106"/>
      <c r="C167" s="106"/>
      <c r="D167" s="106"/>
      <c r="E167" s="106"/>
      <c r="F167" s="106"/>
      <c r="H167" s="106"/>
      <c r="P167" s="122"/>
      <c r="R167" s="122"/>
      <c r="T167" s="106"/>
      <c r="V167" s="122"/>
      <c r="X167" s="122"/>
      <c r="Z167" s="106"/>
      <c r="AB167" s="122"/>
      <c r="AD167" s="122"/>
      <c r="AG167" s="106"/>
    </row>
    <row r="168" spans="1:33" s="173" customFormat="1" ht="15">
      <c r="A168" s="106"/>
      <c r="B168" s="106"/>
      <c r="C168" s="106"/>
      <c r="D168" s="106"/>
      <c r="E168" s="106"/>
      <c r="F168" s="106"/>
      <c r="H168" s="106"/>
      <c r="P168" s="122"/>
      <c r="R168" s="122"/>
      <c r="T168" s="106"/>
      <c r="V168" s="122"/>
      <c r="X168" s="122"/>
      <c r="Z168" s="106"/>
      <c r="AB168" s="122"/>
      <c r="AD168" s="122"/>
      <c r="AG168" s="106"/>
    </row>
    <row r="169" spans="1:33" s="173" customFormat="1" ht="15">
      <c r="A169" s="106"/>
      <c r="B169" s="106"/>
      <c r="C169" s="106"/>
      <c r="D169" s="106"/>
      <c r="E169" s="106"/>
      <c r="F169" s="106"/>
      <c r="H169" s="106"/>
      <c r="P169" s="122"/>
      <c r="R169" s="122"/>
      <c r="T169" s="106"/>
      <c r="V169" s="122"/>
      <c r="X169" s="122"/>
      <c r="Z169" s="106"/>
      <c r="AB169" s="122"/>
      <c r="AD169" s="122"/>
      <c r="AG169" s="106"/>
    </row>
    <row r="170" spans="1:33" s="173" customFormat="1" ht="15">
      <c r="A170" s="106"/>
      <c r="B170" s="106"/>
      <c r="C170" s="106"/>
      <c r="D170" s="106"/>
      <c r="E170" s="106"/>
      <c r="F170" s="106"/>
      <c r="H170" s="106"/>
      <c r="P170" s="122"/>
      <c r="R170" s="122"/>
      <c r="T170" s="106"/>
      <c r="V170" s="122"/>
      <c r="X170" s="122"/>
      <c r="Z170" s="106"/>
      <c r="AB170" s="122"/>
      <c r="AD170" s="122"/>
      <c r="AG170" s="106"/>
    </row>
    <row r="171" spans="1:33" s="173" customFormat="1" ht="15">
      <c r="A171" s="106"/>
      <c r="B171" s="106"/>
      <c r="C171" s="106"/>
      <c r="D171" s="106"/>
      <c r="E171" s="106"/>
      <c r="F171" s="106"/>
      <c r="H171" s="106"/>
      <c r="P171" s="122"/>
      <c r="R171" s="122"/>
      <c r="T171" s="106"/>
      <c r="V171" s="122"/>
      <c r="X171" s="122"/>
      <c r="Z171" s="106"/>
      <c r="AB171" s="122"/>
      <c r="AD171" s="122"/>
      <c r="AG171" s="106"/>
    </row>
    <row r="172" spans="1:33" s="173" customFormat="1" ht="15">
      <c r="A172" s="106"/>
      <c r="B172" s="106"/>
      <c r="C172" s="106"/>
      <c r="D172" s="106"/>
      <c r="E172" s="106"/>
      <c r="F172" s="106"/>
      <c r="H172" s="106"/>
      <c r="P172" s="122"/>
      <c r="R172" s="122"/>
      <c r="T172" s="106"/>
      <c r="V172" s="122"/>
      <c r="X172" s="122"/>
      <c r="Z172" s="106"/>
      <c r="AB172" s="122"/>
      <c r="AD172" s="122"/>
      <c r="AG172" s="106"/>
    </row>
    <row r="173" spans="1:33" s="173" customFormat="1" ht="15">
      <c r="A173" s="106"/>
      <c r="B173" s="106"/>
      <c r="C173" s="106"/>
      <c r="D173" s="106"/>
      <c r="E173" s="106"/>
      <c r="F173" s="106"/>
      <c r="H173" s="106"/>
      <c r="P173" s="122"/>
      <c r="R173" s="122"/>
      <c r="T173" s="106"/>
      <c r="V173" s="122"/>
      <c r="X173" s="122"/>
      <c r="Z173" s="106"/>
      <c r="AB173" s="122"/>
      <c r="AD173" s="122"/>
      <c r="AG173" s="106"/>
    </row>
    <row r="174" spans="1:33" s="173" customFormat="1" ht="15">
      <c r="A174" s="106"/>
      <c r="B174" s="106"/>
      <c r="C174" s="106"/>
      <c r="D174" s="106"/>
      <c r="E174" s="106"/>
      <c r="F174" s="106"/>
      <c r="H174" s="106"/>
      <c r="P174" s="122"/>
      <c r="R174" s="122"/>
      <c r="T174" s="106"/>
      <c r="V174" s="122"/>
      <c r="X174" s="122"/>
      <c r="Z174" s="106"/>
      <c r="AB174" s="122"/>
      <c r="AD174" s="122"/>
      <c r="AG174" s="106"/>
    </row>
    <row r="175" spans="1:33" s="173" customFormat="1" ht="15">
      <c r="A175" s="106"/>
      <c r="B175" s="106"/>
      <c r="C175" s="106"/>
      <c r="D175" s="106"/>
      <c r="E175" s="106"/>
      <c r="F175" s="106"/>
      <c r="H175" s="106"/>
      <c r="P175" s="122"/>
      <c r="R175" s="122"/>
      <c r="T175" s="106"/>
      <c r="V175" s="122"/>
      <c r="X175" s="122"/>
      <c r="Z175" s="106"/>
      <c r="AB175" s="122"/>
      <c r="AD175" s="122"/>
      <c r="AG175" s="106"/>
    </row>
    <row r="176" spans="1:33" s="173" customFormat="1" ht="15">
      <c r="A176" s="106"/>
      <c r="B176" s="106"/>
      <c r="C176" s="106"/>
      <c r="D176" s="106"/>
      <c r="E176" s="106"/>
      <c r="F176" s="106"/>
      <c r="H176" s="106"/>
      <c r="P176" s="122"/>
      <c r="R176" s="122"/>
      <c r="T176" s="106"/>
      <c r="V176" s="122"/>
      <c r="X176" s="122"/>
      <c r="Z176" s="106"/>
      <c r="AB176" s="122"/>
      <c r="AD176" s="122"/>
      <c r="AG176" s="106"/>
    </row>
    <row r="177" spans="1:33" s="173" customFormat="1" ht="15">
      <c r="A177" s="106"/>
      <c r="B177" s="106"/>
      <c r="C177" s="106"/>
      <c r="D177" s="106"/>
      <c r="E177" s="106"/>
      <c r="F177" s="106"/>
      <c r="H177" s="106"/>
      <c r="P177" s="122"/>
      <c r="R177" s="122"/>
      <c r="T177" s="106"/>
      <c r="V177" s="122"/>
      <c r="X177" s="122"/>
      <c r="Z177" s="106"/>
      <c r="AB177" s="122"/>
      <c r="AD177" s="122"/>
      <c r="AG177" s="106"/>
    </row>
    <row r="178" spans="1:33" s="173" customFormat="1" ht="15">
      <c r="A178" s="106"/>
      <c r="B178" s="106"/>
      <c r="C178" s="106"/>
      <c r="D178" s="106"/>
      <c r="E178" s="106"/>
      <c r="F178" s="106"/>
      <c r="H178" s="106"/>
      <c r="P178" s="122"/>
      <c r="R178" s="122"/>
      <c r="T178" s="106"/>
      <c r="V178" s="122"/>
      <c r="X178" s="122"/>
      <c r="Z178" s="106"/>
      <c r="AB178" s="122"/>
      <c r="AD178" s="122"/>
      <c r="AG178" s="106"/>
    </row>
    <row r="179" spans="1:33" s="173" customFormat="1" ht="15">
      <c r="A179" s="106"/>
      <c r="B179" s="106"/>
      <c r="C179" s="106"/>
      <c r="D179" s="106"/>
      <c r="E179" s="106"/>
      <c r="F179" s="106"/>
      <c r="H179" s="106"/>
      <c r="P179" s="122"/>
      <c r="R179" s="122"/>
      <c r="T179" s="106"/>
      <c r="V179" s="122"/>
      <c r="X179" s="122"/>
      <c r="Z179" s="106"/>
      <c r="AB179" s="122"/>
      <c r="AD179" s="122"/>
      <c r="AG179" s="106"/>
    </row>
    <row r="180" spans="1:33" s="173" customFormat="1" ht="15">
      <c r="A180" s="106"/>
      <c r="B180" s="106"/>
      <c r="C180" s="106"/>
      <c r="D180" s="106"/>
      <c r="E180" s="106"/>
      <c r="F180" s="106"/>
      <c r="H180" s="106"/>
      <c r="P180" s="122"/>
      <c r="R180" s="122"/>
      <c r="T180" s="106"/>
      <c r="V180" s="122"/>
      <c r="X180" s="122"/>
      <c r="Z180" s="106"/>
      <c r="AB180" s="122"/>
      <c r="AD180" s="122"/>
      <c r="AG180" s="106"/>
    </row>
    <row r="181" spans="1:33" s="173" customFormat="1" ht="15">
      <c r="A181" s="106"/>
      <c r="B181" s="106"/>
      <c r="C181" s="106"/>
      <c r="D181" s="106"/>
      <c r="E181" s="106"/>
      <c r="F181" s="106"/>
      <c r="H181" s="106"/>
      <c r="P181" s="122"/>
      <c r="R181" s="122"/>
      <c r="T181" s="106"/>
      <c r="V181" s="122"/>
      <c r="X181" s="122"/>
      <c r="Z181" s="106"/>
      <c r="AB181" s="122"/>
      <c r="AD181" s="122"/>
      <c r="AG181" s="106"/>
    </row>
    <row r="182" spans="1:33" s="173" customFormat="1" ht="15">
      <c r="A182" s="106"/>
      <c r="B182" s="106"/>
      <c r="C182" s="106"/>
      <c r="D182" s="106"/>
      <c r="E182" s="106"/>
      <c r="F182" s="106"/>
      <c r="H182" s="106"/>
      <c r="P182" s="122"/>
      <c r="R182" s="122"/>
      <c r="T182" s="106"/>
      <c r="V182" s="122"/>
      <c r="X182" s="122"/>
      <c r="Z182" s="106"/>
      <c r="AB182" s="122"/>
      <c r="AD182" s="122"/>
      <c r="AG182" s="106"/>
    </row>
    <row r="183" spans="1:33" s="173" customFormat="1" ht="15">
      <c r="A183" s="106"/>
      <c r="B183" s="106"/>
      <c r="C183" s="106"/>
      <c r="D183" s="106"/>
      <c r="E183" s="106"/>
      <c r="F183" s="106"/>
      <c r="H183" s="106"/>
      <c r="P183" s="122"/>
      <c r="R183" s="122"/>
      <c r="T183" s="106"/>
      <c r="V183" s="122"/>
      <c r="X183" s="122"/>
      <c r="Z183" s="106"/>
      <c r="AB183" s="122"/>
      <c r="AD183" s="122"/>
      <c r="AG183" s="106"/>
    </row>
    <row r="184" spans="1:33" s="173" customFormat="1" ht="15">
      <c r="A184" s="106"/>
      <c r="B184" s="106"/>
      <c r="C184" s="106"/>
      <c r="D184" s="106"/>
      <c r="E184" s="106"/>
      <c r="F184" s="106"/>
      <c r="H184" s="106"/>
      <c r="P184" s="122"/>
      <c r="R184" s="122"/>
      <c r="T184" s="106"/>
      <c r="V184" s="122"/>
      <c r="X184" s="122"/>
      <c r="Z184" s="106"/>
      <c r="AB184" s="122"/>
      <c r="AD184" s="122"/>
      <c r="AG184" s="106"/>
    </row>
    <row r="185" spans="1:33" s="173" customFormat="1" ht="15">
      <c r="A185" s="106"/>
      <c r="B185" s="106"/>
      <c r="C185" s="106"/>
      <c r="D185" s="106"/>
      <c r="E185" s="106"/>
      <c r="F185" s="106"/>
      <c r="H185" s="106"/>
      <c r="P185" s="122"/>
      <c r="R185" s="122"/>
      <c r="T185" s="106"/>
      <c r="V185" s="122"/>
      <c r="X185" s="122"/>
      <c r="Z185" s="106"/>
      <c r="AB185" s="122"/>
      <c r="AD185" s="122"/>
      <c r="AG185" s="106"/>
    </row>
    <row r="186" spans="1:33" s="173" customFormat="1" ht="15">
      <c r="A186" s="106"/>
      <c r="B186" s="106"/>
      <c r="C186" s="106"/>
      <c r="D186" s="106"/>
      <c r="E186" s="106"/>
      <c r="F186" s="106"/>
      <c r="H186" s="106"/>
      <c r="P186" s="122"/>
      <c r="R186" s="122"/>
      <c r="T186" s="106"/>
      <c r="V186" s="122"/>
      <c r="X186" s="122"/>
      <c r="Z186" s="106"/>
      <c r="AB186" s="122"/>
      <c r="AD186" s="122"/>
      <c r="AG186" s="106"/>
    </row>
    <row r="187" spans="1:33" s="173" customFormat="1" ht="15">
      <c r="A187" s="106"/>
      <c r="B187" s="106"/>
      <c r="C187" s="106"/>
      <c r="D187" s="106"/>
      <c r="E187" s="106"/>
      <c r="F187" s="106"/>
      <c r="H187" s="106"/>
      <c r="P187" s="122"/>
      <c r="R187" s="122"/>
      <c r="T187" s="106"/>
      <c r="V187" s="122"/>
      <c r="X187" s="122"/>
      <c r="Z187" s="106"/>
      <c r="AB187" s="122"/>
      <c r="AD187" s="122"/>
      <c r="AG187" s="106"/>
    </row>
    <row r="188" spans="1:33" s="173" customFormat="1" ht="15">
      <c r="A188" s="106"/>
      <c r="B188" s="106"/>
      <c r="C188" s="106"/>
      <c r="D188" s="106"/>
      <c r="E188" s="106"/>
      <c r="F188" s="106"/>
      <c r="H188" s="106"/>
      <c r="P188" s="122"/>
      <c r="R188" s="122"/>
      <c r="T188" s="106"/>
      <c r="V188" s="122"/>
      <c r="X188" s="122"/>
      <c r="Z188" s="106"/>
      <c r="AB188" s="122"/>
      <c r="AD188" s="122"/>
      <c r="AG188" s="106"/>
    </row>
    <row r="189" spans="1:33" s="173" customFormat="1" ht="15">
      <c r="A189" s="106"/>
      <c r="B189" s="106"/>
      <c r="C189" s="106"/>
      <c r="D189" s="106"/>
      <c r="E189" s="106"/>
      <c r="F189" s="106"/>
      <c r="H189" s="106"/>
      <c r="P189" s="122"/>
      <c r="R189" s="122"/>
      <c r="T189" s="106"/>
      <c r="V189" s="122"/>
      <c r="X189" s="122"/>
      <c r="Z189" s="106"/>
      <c r="AB189" s="122"/>
      <c r="AD189" s="122"/>
      <c r="AG189" s="106"/>
    </row>
    <row r="190" spans="1:33" s="173" customFormat="1" ht="15">
      <c r="A190" s="106"/>
      <c r="B190" s="106"/>
      <c r="C190" s="106"/>
      <c r="D190" s="106"/>
      <c r="E190" s="106"/>
      <c r="F190" s="106"/>
      <c r="H190" s="106"/>
      <c r="P190" s="122"/>
      <c r="R190" s="122"/>
      <c r="T190" s="106"/>
      <c r="V190" s="122"/>
      <c r="X190" s="122"/>
      <c r="Z190" s="106"/>
      <c r="AB190" s="122"/>
      <c r="AD190" s="122"/>
      <c r="AG190" s="106"/>
    </row>
    <row r="191" spans="1:33" s="173" customFormat="1" ht="15">
      <c r="A191" s="106"/>
      <c r="B191" s="106"/>
      <c r="C191" s="106"/>
      <c r="D191" s="106"/>
      <c r="E191" s="106"/>
      <c r="F191" s="106"/>
      <c r="H191" s="106"/>
      <c r="P191" s="122"/>
      <c r="R191" s="122"/>
      <c r="T191" s="106"/>
      <c r="V191" s="122"/>
      <c r="X191" s="122"/>
      <c r="Z191" s="106"/>
      <c r="AB191" s="122"/>
      <c r="AD191" s="122"/>
      <c r="AG191" s="106"/>
    </row>
    <row r="192" spans="1:33" s="173" customFormat="1" ht="15">
      <c r="A192" s="106"/>
      <c r="B192" s="106"/>
      <c r="C192" s="106"/>
      <c r="D192" s="106"/>
      <c r="E192" s="106"/>
      <c r="F192" s="106"/>
      <c r="H192" s="106"/>
      <c r="P192" s="122"/>
      <c r="R192" s="122"/>
      <c r="T192" s="106"/>
      <c r="V192" s="122"/>
      <c r="X192" s="122"/>
      <c r="Z192" s="106"/>
      <c r="AB192" s="122"/>
      <c r="AD192" s="122"/>
      <c r="AG192" s="106"/>
    </row>
    <row r="193" spans="1:33" s="173" customFormat="1" ht="15">
      <c r="A193" s="106"/>
      <c r="B193" s="106"/>
      <c r="C193" s="106"/>
      <c r="D193" s="106"/>
      <c r="E193" s="106"/>
      <c r="F193" s="106"/>
      <c r="H193" s="106"/>
      <c r="P193" s="122"/>
      <c r="R193" s="122"/>
      <c r="T193" s="106"/>
      <c r="V193" s="122"/>
      <c r="X193" s="122"/>
      <c r="Z193" s="106"/>
      <c r="AB193" s="122"/>
      <c r="AD193" s="122"/>
      <c r="AG193" s="106"/>
    </row>
    <row r="194" spans="1:33" s="173" customFormat="1" ht="15">
      <c r="A194" s="106"/>
      <c r="B194" s="106"/>
      <c r="C194" s="106"/>
      <c r="D194" s="106"/>
      <c r="E194" s="106"/>
      <c r="F194" s="106"/>
      <c r="H194" s="106"/>
      <c r="P194" s="122"/>
      <c r="R194" s="122"/>
      <c r="T194" s="106"/>
      <c r="V194" s="122"/>
      <c r="X194" s="122"/>
      <c r="Z194" s="106"/>
      <c r="AB194" s="122"/>
      <c r="AD194" s="122"/>
      <c r="AG194" s="106"/>
    </row>
    <row r="195" spans="1:33" s="173" customFormat="1" ht="15">
      <c r="A195" s="106"/>
      <c r="B195" s="106"/>
      <c r="C195" s="106"/>
      <c r="D195" s="106"/>
      <c r="E195" s="106"/>
      <c r="F195" s="106"/>
      <c r="H195" s="106"/>
      <c r="P195" s="122"/>
      <c r="R195" s="122"/>
      <c r="T195" s="106"/>
      <c r="V195" s="122"/>
      <c r="X195" s="122"/>
      <c r="Z195" s="106"/>
      <c r="AB195" s="122"/>
      <c r="AD195" s="122"/>
      <c r="AG195" s="106"/>
    </row>
    <row r="196" spans="1:33" s="173" customFormat="1" ht="15">
      <c r="A196" s="106"/>
      <c r="B196" s="106"/>
      <c r="C196" s="106"/>
      <c r="D196" s="106"/>
      <c r="E196" s="106"/>
      <c r="F196" s="106"/>
      <c r="H196" s="106"/>
      <c r="P196" s="122"/>
      <c r="R196" s="122"/>
      <c r="T196" s="106"/>
      <c r="V196" s="122"/>
      <c r="X196" s="122"/>
      <c r="Z196" s="106"/>
      <c r="AB196" s="122"/>
      <c r="AD196" s="122"/>
      <c r="AG196" s="106"/>
    </row>
    <row r="197" spans="1:33" s="173" customFormat="1" ht="15">
      <c r="A197" s="106"/>
      <c r="B197" s="106"/>
      <c r="C197" s="106"/>
      <c r="D197" s="106"/>
      <c r="E197" s="106"/>
      <c r="F197" s="106"/>
      <c r="H197" s="106"/>
      <c r="P197" s="122"/>
      <c r="R197" s="122"/>
      <c r="T197" s="106"/>
      <c r="V197" s="122"/>
      <c r="X197" s="122"/>
      <c r="Z197" s="106"/>
      <c r="AB197" s="122"/>
      <c r="AD197" s="122"/>
      <c r="AG197" s="106"/>
    </row>
    <row r="198" spans="1:33" s="173" customFormat="1" ht="15">
      <c r="A198" s="106"/>
      <c r="B198" s="106"/>
      <c r="C198" s="106"/>
      <c r="D198" s="106"/>
      <c r="E198" s="106"/>
      <c r="F198" s="106"/>
      <c r="H198" s="106"/>
      <c r="P198" s="122"/>
      <c r="R198" s="122"/>
      <c r="T198" s="106"/>
      <c r="V198" s="122"/>
      <c r="X198" s="122"/>
      <c r="Z198" s="106"/>
      <c r="AB198" s="122"/>
      <c r="AD198" s="122"/>
      <c r="AG198" s="106"/>
    </row>
    <row r="199" spans="1:33" s="173" customFormat="1" ht="15">
      <c r="A199" s="106"/>
      <c r="B199" s="106"/>
      <c r="C199" s="106"/>
      <c r="D199" s="106"/>
      <c r="E199" s="106"/>
      <c r="F199" s="106"/>
      <c r="H199" s="106"/>
      <c r="P199" s="122"/>
      <c r="R199" s="122"/>
      <c r="T199" s="106"/>
      <c r="V199" s="122"/>
      <c r="X199" s="122"/>
      <c r="Z199" s="106"/>
      <c r="AB199" s="122"/>
      <c r="AD199" s="122"/>
      <c r="AG199" s="106"/>
    </row>
    <row r="200" spans="1:33" s="173" customFormat="1" ht="15">
      <c r="A200" s="106"/>
      <c r="B200" s="106"/>
      <c r="C200" s="106"/>
      <c r="D200" s="106"/>
      <c r="E200" s="106"/>
      <c r="F200" s="106"/>
      <c r="H200" s="106"/>
      <c r="P200" s="122"/>
      <c r="R200" s="122"/>
      <c r="T200" s="106"/>
      <c r="V200" s="122"/>
      <c r="X200" s="122"/>
      <c r="Z200" s="106"/>
      <c r="AB200" s="122"/>
      <c r="AD200" s="122"/>
      <c r="AG200" s="106"/>
    </row>
    <row r="201" spans="1:33" s="173" customFormat="1" ht="15">
      <c r="A201" s="106"/>
      <c r="B201" s="106"/>
      <c r="C201" s="106"/>
      <c r="D201" s="106"/>
      <c r="E201" s="106"/>
      <c r="F201" s="106"/>
      <c r="H201" s="106"/>
      <c r="P201" s="122"/>
      <c r="R201" s="122"/>
      <c r="T201" s="106"/>
      <c r="V201" s="122"/>
      <c r="X201" s="122"/>
      <c r="Z201" s="106"/>
      <c r="AB201" s="122"/>
      <c r="AD201" s="122"/>
      <c r="AG201" s="106"/>
    </row>
    <row r="202" spans="1:33" s="173" customFormat="1" ht="15">
      <c r="A202" s="106"/>
      <c r="B202" s="106"/>
      <c r="C202" s="106"/>
      <c r="D202" s="106"/>
      <c r="E202" s="106"/>
      <c r="F202" s="106"/>
      <c r="H202" s="106"/>
      <c r="P202" s="122"/>
      <c r="R202" s="122"/>
      <c r="T202" s="106"/>
      <c r="V202" s="122"/>
      <c r="X202" s="122"/>
      <c r="Z202" s="106"/>
      <c r="AB202" s="122"/>
      <c r="AD202" s="122"/>
      <c r="AG202" s="106"/>
    </row>
    <row r="203" spans="1:33" s="173" customFormat="1" ht="15">
      <c r="A203" s="106"/>
      <c r="B203" s="106"/>
      <c r="C203" s="106"/>
      <c r="D203" s="106"/>
      <c r="E203" s="106"/>
      <c r="F203" s="106"/>
      <c r="H203" s="106"/>
      <c r="P203" s="122"/>
      <c r="R203" s="122"/>
      <c r="T203" s="106"/>
      <c r="V203" s="122"/>
      <c r="X203" s="122"/>
      <c r="Z203" s="106"/>
      <c r="AB203" s="122"/>
      <c r="AD203" s="122"/>
      <c r="AG203" s="106"/>
    </row>
    <row r="204" spans="1:33" s="173" customFormat="1" ht="15">
      <c r="A204" s="106"/>
      <c r="B204" s="106"/>
      <c r="C204" s="106"/>
      <c r="D204" s="106"/>
      <c r="E204" s="106"/>
      <c r="F204" s="106"/>
      <c r="H204" s="106"/>
      <c r="P204" s="122"/>
      <c r="R204" s="122"/>
      <c r="T204" s="106"/>
      <c r="V204" s="122"/>
      <c r="X204" s="122"/>
      <c r="Z204" s="106"/>
      <c r="AB204" s="122"/>
      <c r="AD204" s="122"/>
      <c r="AG204" s="106"/>
    </row>
    <row r="205" spans="1:33" s="173" customFormat="1" ht="15">
      <c r="A205" s="106"/>
      <c r="B205" s="106"/>
      <c r="C205" s="106"/>
      <c r="D205" s="106"/>
      <c r="E205" s="106"/>
      <c r="F205" s="106"/>
      <c r="H205" s="106"/>
      <c r="P205" s="122"/>
      <c r="R205" s="122"/>
      <c r="T205" s="106"/>
      <c r="V205" s="122"/>
      <c r="X205" s="122"/>
      <c r="Z205" s="106"/>
      <c r="AB205" s="122"/>
      <c r="AD205" s="122"/>
      <c r="AG205" s="106"/>
    </row>
    <row r="206" spans="1:33" s="173" customFormat="1" ht="15">
      <c r="A206" s="106"/>
      <c r="B206" s="106"/>
      <c r="C206" s="106"/>
      <c r="D206" s="106"/>
      <c r="E206" s="106"/>
      <c r="F206" s="106"/>
      <c r="H206" s="106"/>
      <c r="P206" s="122"/>
      <c r="R206" s="122"/>
      <c r="T206" s="106"/>
      <c r="V206" s="122"/>
      <c r="X206" s="122"/>
      <c r="Z206" s="106"/>
      <c r="AB206" s="122"/>
      <c r="AD206" s="122"/>
      <c r="AG206" s="106"/>
    </row>
    <row r="207" spans="1:33" s="173" customFormat="1" ht="15">
      <c r="A207" s="106"/>
      <c r="B207" s="106"/>
      <c r="C207" s="106"/>
      <c r="D207" s="106"/>
      <c r="E207" s="106"/>
      <c r="F207" s="106"/>
      <c r="H207" s="106"/>
      <c r="P207" s="122"/>
      <c r="R207" s="122"/>
      <c r="T207" s="106"/>
      <c r="V207" s="122"/>
      <c r="X207" s="122"/>
      <c r="Z207" s="106"/>
      <c r="AB207" s="122"/>
      <c r="AD207" s="122"/>
      <c r="AG207" s="106"/>
    </row>
    <row r="208" spans="1:33" s="173" customFormat="1" ht="15">
      <c r="A208" s="106"/>
      <c r="B208" s="106"/>
      <c r="C208" s="106"/>
      <c r="D208" s="106"/>
      <c r="E208" s="106"/>
      <c r="F208" s="106"/>
      <c r="H208" s="106"/>
      <c r="P208" s="122"/>
      <c r="R208" s="122"/>
      <c r="T208" s="106"/>
      <c r="V208" s="122"/>
      <c r="X208" s="122"/>
      <c r="Z208" s="106"/>
      <c r="AB208" s="122"/>
      <c r="AD208" s="122"/>
      <c r="AG208" s="106"/>
    </row>
    <row r="209" spans="1:33" s="173" customFormat="1" ht="15">
      <c r="A209" s="106"/>
      <c r="B209" s="106"/>
      <c r="C209" s="106"/>
      <c r="D209" s="106"/>
      <c r="E209" s="106"/>
      <c r="F209" s="106"/>
      <c r="H209" s="106"/>
      <c r="P209" s="122"/>
      <c r="R209" s="122"/>
      <c r="T209" s="106"/>
      <c r="V209" s="122"/>
      <c r="X209" s="122"/>
      <c r="Z209" s="106"/>
      <c r="AB209" s="122"/>
      <c r="AD209" s="122"/>
      <c r="AG209" s="106"/>
    </row>
    <row r="210" spans="1:33" s="173" customFormat="1" ht="15">
      <c r="A210" s="106"/>
      <c r="B210" s="106"/>
      <c r="C210" s="106"/>
      <c r="D210" s="106"/>
      <c r="E210" s="106"/>
      <c r="F210" s="106"/>
      <c r="H210" s="106"/>
      <c r="P210" s="122"/>
      <c r="R210" s="122"/>
      <c r="T210" s="106"/>
      <c r="V210" s="122"/>
      <c r="X210" s="122"/>
      <c r="Z210" s="106"/>
      <c r="AB210" s="122"/>
      <c r="AD210" s="122"/>
      <c r="AG210" s="106"/>
    </row>
    <row r="211" spans="1:33" s="173" customFormat="1" ht="15">
      <c r="A211" s="106"/>
      <c r="B211" s="106"/>
      <c r="C211" s="106"/>
      <c r="D211" s="106"/>
      <c r="E211" s="106"/>
      <c r="F211" s="106"/>
      <c r="H211" s="106"/>
      <c r="P211" s="122"/>
      <c r="R211" s="122"/>
      <c r="T211" s="106"/>
      <c r="V211" s="122"/>
      <c r="X211" s="122"/>
      <c r="Z211" s="106"/>
      <c r="AB211" s="122"/>
      <c r="AD211" s="122"/>
      <c r="AG211" s="106"/>
    </row>
    <row r="212" spans="1:33" s="173" customFormat="1" ht="15">
      <c r="A212" s="106"/>
      <c r="B212" s="106"/>
      <c r="C212" s="106"/>
      <c r="D212" s="106"/>
      <c r="E212" s="106"/>
      <c r="F212" s="106"/>
      <c r="H212" s="106"/>
      <c r="P212" s="122"/>
      <c r="R212" s="122"/>
      <c r="T212" s="106"/>
      <c r="V212" s="122"/>
      <c r="X212" s="122"/>
      <c r="Z212" s="106"/>
      <c r="AB212" s="122"/>
      <c r="AD212" s="122"/>
      <c r="AG212" s="106"/>
    </row>
    <row r="213" spans="1:33" s="173" customFormat="1" ht="15">
      <c r="A213" s="106"/>
      <c r="B213" s="106"/>
      <c r="C213" s="106"/>
      <c r="D213" s="106"/>
      <c r="E213" s="106"/>
      <c r="F213" s="106"/>
      <c r="H213" s="106"/>
      <c r="P213" s="122"/>
      <c r="R213" s="122"/>
      <c r="T213" s="106"/>
      <c r="V213" s="122"/>
      <c r="X213" s="122"/>
      <c r="Z213" s="106"/>
      <c r="AB213" s="122"/>
      <c r="AD213" s="122"/>
      <c r="AG213" s="106"/>
    </row>
    <row r="214" spans="1:33" s="173" customFormat="1" ht="15">
      <c r="A214" s="106"/>
      <c r="B214" s="106"/>
      <c r="C214" s="106"/>
      <c r="D214" s="106"/>
      <c r="E214" s="106"/>
      <c r="F214" s="106"/>
      <c r="H214" s="106"/>
      <c r="P214" s="122"/>
      <c r="R214" s="122"/>
      <c r="T214" s="106"/>
      <c r="V214" s="122"/>
      <c r="X214" s="122"/>
      <c r="Z214" s="106"/>
      <c r="AB214" s="122"/>
      <c r="AD214" s="122"/>
      <c r="AG214" s="106"/>
    </row>
    <row r="215" spans="1:33" s="173" customFormat="1" ht="15">
      <c r="A215" s="106"/>
      <c r="B215" s="106"/>
      <c r="C215" s="106"/>
      <c r="D215" s="106"/>
      <c r="E215" s="106"/>
      <c r="F215" s="106"/>
      <c r="H215" s="106"/>
      <c r="P215" s="122"/>
      <c r="R215" s="122"/>
      <c r="T215" s="106"/>
      <c r="V215" s="122"/>
      <c r="X215" s="122"/>
      <c r="Z215" s="106"/>
      <c r="AB215" s="122"/>
      <c r="AD215" s="122"/>
      <c r="AG215" s="106"/>
    </row>
    <row r="216" spans="1:33" s="173" customFormat="1" ht="15">
      <c r="A216" s="106"/>
      <c r="B216" s="106"/>
      <c r="C216" s="106"/>
      <c r="D216" s="106"/>
      <c r="E216" s="106"/>
      <c r="F216" s="106"/>
      <c r="H216" s="106"/>
      <c r="P216" s="122"/>
      <c r="R216" s="122"/>
      <c r="T216" s="106"/>
      <c r="V216" s="122"/>
      <c r="X216" s="122"/>
      <c r="Z216" s="106"/>
      <c r="AB216" s="122"/>
      <c r="AD216" s="122"/>
      <c r="AG216" s="106"/>
    </row>
    <row r="217" spans="1:33" s="173" customFormat="1" ht="15">
      <c r="A217" s="106"/>
      <c r="B217" s="106"/>
      <c r="C217" s="106"/>
      <c r="D217" s="106"/>
      <c r="E217" s="106"/>
      <c r="F217" s="106"/>
      <c r="H217" s="106"/>
      <c r="P217" s="122"/>
      <c r="R217" s="122"/>
      <c r="T217" s="106"/>
      <c r="V217" s="122"/>
      <c r="X217" s="122"/>
      <c r="Z217" s="106"/>
      <c r="AB217" s="122"/>
      <c r="AD217" s="122"/>
      <c r="AG217" s="106"/>
    </row>
    <row r="218" spans="1:33" s="173" customFormat="1" ht="15">
      <c r="A218" s="106"/>
      <c r="B218" s="106"/>
      <c r="C218" s="106"/>
      <c r="D218" s="106"/>
      <c r="E218" s="106"/>
      <c r="F218" s="106"/>
      <c r="H218" s="106"/>
      <c r="P218" s="122"/>
      <c r="R218" s="122"/>
      <c r="T218" s="106"/>
      <c r="V218" s="122"/>
      <c r="X218" s="122"/>
      <c r="Z218" s="106"/>
      <c r="AB218" s="122"/>
      <c r="AD218" s="122"/>
      <c r="AG218" s="106"/>
    </row>
    <row r="219" spans="1:33" s="173" customFormat="1" ht="15">
      <c r="A219" s="106"/>
      <c r="B219" s="106"/>
      <c r="C219" s="106"/>
      <c r="D219" s="106"/>
      <c r="E219" s="106"/>
      <c r="F219" s="106"/>
      <c r="H219" s="106"/>
      <c r="P219" s="122"/>
      <c r="R219" s="122"/>
      <c r="T219" s="106"/>
      <c r="V219" s="122"/>
      <c r="X219" s="122"/>
      <c r="Z219" s="106"/>
      <c r="AB219" s="122"/>
      <c r="AD219" s="122"/>
      <c r="AG219" s="106"/>
    </row>
    <row r="220" spans="1:33" s="173" customFormat="1" ht="15">
      <c r="A220" s="106"/>
      <c r="B220" s="106"/>
      <c r="C220" s="106"/>
      <c r="D220" s="106"/>
      <c r="E220" s="106"/>
      <c r="F220" s="106"/>
      <c r="H220" s="106"/>
      <c r="P220" s="122"/>
      <c r="R220" s="122"/>
      <c r="T220" s="106"/>
      <c r="V220" s="122"/>
      <c r="X220" s="122"/>
      <c r="Z220" s="106"/>
      <c r="AB220" s="122"/>
      <c r="AD220" s="122"/>
      <c r="AG220" s="106"/>
    </row>
    <row r="221" spans="1:33" s="173" customFormat="1" ht="15">
      <c r="A221" s="106"/>
      <c r="B221" s="106"/>
      <c r="C221" s="106"/>
      <c r="D221" s="106"/>
      <c r="E221" s="106"/>
      <c r="F221" s="106"/>
      <c r="H221" s="106"/>
      <c r="P221" s="122"/>
      <c r="R221" s="122"/>
      <c r="T221" s="106"/>
      <c r="V221" s="122"/>
      <c r="X221" s="122"/>
      <c r="Z221" s="106"/>
      <c r="AB221" s="122"/>
      <c r="AD221" s="122"/>
      <c r="AG221" s="106"/>
    </row>
    <row r="222" spans="1:33" s="173" customFormat="1" ht="15">
      <c r="A222" s="106"/>
      <c r="B222" s="106"/>
      <c r="C222" s="106"/>
      <c r="D222" s="106"/>
      <c r="E222" s="106"/>
      <c r="F222" s="106"/>
      <c r="H222" s="106"/>
      <c r="P222" s="122"/>
      <c r="R222" s="122"/>
      <c r="T222" s="106"/>
      <c r="V222" s="122"/>
      <c r="X222" s="122"/>
      <c r="Z222" s="106"/>
      <c r="AB222" s="122"/>
      <c r="AD222" s="122"/>
      <c r="AG222" s="106"/>
    </row>
    <row r="223" spans="1:33" s="173" customFormat="1" ht="15">
      <c r="A223" s="106"/>
      <c r="B223" s="106"/>
      <c r="C223" s="106"/>
      <c r="D223" s="106"/>
      <c r="E223" s="106"/>
      <c r="F223" s="106"/>
      <c r="H223" s="106"/>
      <c r="P223" s="122"/>
      <c r="R223" s="122"/>
      <c r="T223" s="106"/>
      <c r="V223" s="122"/>
      <c r="X223" s="122"/>
      <c r="Z223" s="106"/>
      <c r="AB223" s="122"/>
      <c r="AD223" s="122"/>
      <c r="AG223" s="106"/>
    </row>
    <row r="224" spans="1:33" s="173" customFormat="1" ht="15">
      <c r="A224" s="106"/>
      <c r="B224" s="106"/>
      <c r="C224" s="106"/>
      <c r="D224" s="106"/>
      <c r="E224" s="106"/>
      <c r="F224" s="106"/>
      <c r="H224" s="106"/>
      <c r="P224" s="122"/>
      <c r="R224" s="122"/>
      <c r="T224" s="106"/>
      <c r="V224" s="122"/>
      <c r="X224" s="122"/>
      <c r="Z224" s="106"/>
      <c r="AB224" s="122"/>
      <c r="AD224" s="122"/>
      <c r="AG224" s="106"/>
    </row>
    <row r="225" spans="1:33" s="173" customFormat="1" ht="15">
      <c r="A225" s="106"/>
      <c r="B225" s="106"/>
      <c r="C225" s="106"/>
      <c r="D225" s="106"/>
      <c r="E225" s="106"/>
      <c r="F225" s="106"/>
      <c r="H225" s="106"/>
      <c r="P225" s="122"/>
      <c r="R225" s="122"/>
      <c r="T225" s="106"/>
      <c r="V225" s="122"/>
      <c r="X225" s="122"/>
      <c r="Z225" s="106"/>
      <c r="AB225" s="122"/>
      <c r="AD225" s="122"/>
      <c r="AG225" s="106"/>
    </row>
    <row r="226" spans="1:33" s="173" customFormat="1" ht="15">
      <c r="A226" s="106"/>
      <c r="B226" s="106"/>
      <c r="C226" s="106"/>
      <c r="D226" s="106"/>
      <c r="E226" s="106"/>
      <c r="F226" s="106"/>
      <c r="H226" s="106"/>
      <c r="P226" s="122"/>
      <c r="R226" s="122"/>
      <c r="T226" s="106"/>
      <c r="V226" s="122"/>
      <c r="X226" s="122"/>
      <c r="Z226" s="106"/>
      <c r="AB226" s="122"/>
      <c r="AD226" s="122"/>
      <c r="AG226" s="106"/>
    </row>
    <row r="227" spans="1:33" s="173" customFormat="1" ht="15">
      <c r="A227" s="106"/>
      <c r="B227" s="106"/>
      <c r="C227" s="106"/>
      <c r="D227" s="106"/>
      <c r="E227" s="106"/>
      <c r="F227" s="106"/>
      <c r="H227" s="106"/>
      <c r="P227" s="122"/>
      <c r="R227" s="122"/>
      <c r="T227" s="106"/>
      <c r="V227" s="122"/>
      <c r="X227" s="122"/>
      <c r="Z227" s="106"/>
      <c r="AB227" s="122"/>
      <c r="AD227" s="122"/>
      <c r="AG227" s="106"/>
    </row>
    <row r="228" spans="1:33" s="173" customFormat="1" ht="15">
      <c r="A228" s="106"/>
      <c r="B228" s="106"/>
      <c r="C228" s="106"/>
      <c r="D228" s="106"/>
      <c r="E228" s="106"/>
      <c r="F228" s="106"/>
      <c r="H228" s="106"/>
      <c r="P228" s="122"/>
      <c r="R228" s="122"/>
      <c r="T228" s="106"/>
      <c r="V228" s="122"/>
      <c r="X228" s="122"/>
      <c r="Z228" s="106"/>
      <c r="AB228" s="122"/>
      <c r="AD228" s="122"/>
      <c r="AG228" s="106"/>
    </row>
    <row r="229" spans="1:33" s="173" customFormat="1" ht="15">
      <c r="A229" s="106"/>
      <c r="B229" s="106"/>
      <c r="C229" s="106"/>
      <c r="D229" s="106"/>
      <c r="E229" s="106"/>
      <c r="F229" s="106"/>
      <c r="H229" s="106"/>
      <c r="P229" s="122"/>
      <c r="R229" s="122"/>
      <c r="T229" s="106"/>
      <c r="V229" s="122"/>
      <c r="X229" s="122"/>
      <c r="Z229" s="106"/>
      <c r="AB229" s="122"/>
      <c r="AD229" s="122"/>
      <c r="AG229" s="106"/>
    </row>
    <row r="230" spans="1:33" s="173" customFormat="1" ht="15">
      <c r="A230" s="106"/>
      <c r="B230" s="106"/>
      <c r="C230" s="106"/>
      <c r="D230" s="106"/>
      <c r="E230" s="106"/>
      <c r="F230" s="106"/>
      <c r="H230" s="106"/>
      <c r="P230" s="122"/>
      <c r="R230" s="122"/>
      <c r="T230" s="106"/>
      <c r="V230" s="122"/>
      <c r="X230" s="122"/>
      <c r="Z230" s="106"/>
      <c r="AB230" s="122"/>
      <c r="AD230" s="122"/>
      <c r="AG230" s="106"/>
    </row>
    <row r="231" spans="1:33" s="173" customFormat="1" ht="15">
      <c r="A231" s="106"/>
      <c r="B231" s="106"/>
      <c r="C231" s="106"/>
      <c r="D231" s="106"/>
      <c r="E231" s="106"/>
      <c r="F231" s="106"/>
      <c r="H231" s="106"/>
      <c r="P231" s="122"/>
      <c r="R231" s="122"/>
      <c r="T231" s="106"/>
      <c r="V231" s="122"/>
      <c r="X231" s="122"/>
      <c r="Z231" s="106"/>
      <c r="AB231" s="122"/>
      <c r="AD231" s="122"/>
      <c r="AG231" s="106"/>
    </row>
    <row r="232" spans="1:33" s="173" customFormat="1" ht="15">
      <c r="A232" s="106"/>
      <c r="B232" s="106"/>
      <c r="C232" s="106"/>
      <c r="D232" s="106"/>
      <c r="E232" s="106"/>
      <c r="F232" s="106"/>
      <c r="H232" s="106"/>
      <c r="P232" s="122"/>
      <c r="R232" s="122"/>
      <c r="T232" s="106"/>
      <c r="V232" s="122"/>
      <c r="X232" s="122"/>
      <c r="Z232" s="106"/>
      <c r="AB232" s="122"/>
      <c r="AD232" s="122"/>
      <c r="AG232" s="106"/>
    </row>
    <row r="233" spans="1:33" s="173" customFormat="1" ht="15">
      <c r="A233" s="106"/>
      <c r="B233" s="106"/>
      <c r="C233" s="106"/>
      <c r="D233" s="106"/>
      <c r="E233" s="106"/>
      <c r="F233" s="106"/>
      <c r="H233" s="106"/>
      <c r="P233" s="122"/>
      <c r="R233" s="122"/>
      <c r="T233" s="106"/>
      <c r="V233" s="122"/>
      <c r="X233" s="122"/>
      <c r="Z233" s="106"/>
      <c r="AB233" s="122"/>
      <c r="AD233" s="122"/>
      <c r="AG233" s="106"/>
    </row>
    <row r="234" spans="1:33" s="173" customFormat="1" ht="15">
      <c r="A234" s="106"/>
      <c r="B234" s="106"/>
      <c r="C234" s="106"/>
      <c r="D234" s="106"/>
      <c r="E234" s="106"/>
      <c r="F234" s="106"/>
      <c r="H234" s="106"/>
      <c r="P234" s="122"/>
      <c r="R234" s="122"/>
      <c r="T234" s="106"/>
      <c r="V234" s="122"/>
      <c r="X234" s="122"/>
      <c r="Z234" s="106"/>
      <c r="AB234" s="122"/>
      <c r="AD234" s="122"/>
      <c r="AG234" s="106"/>
    </row>
    <row r="235" spans="1:33" s="173" customFormat="1" ht="15">
      <c r="A235" s="106"/>
      <c r="B235" s="106"/>
      <c r="C235" s="106"/>
      <c r="D235" s="106"/>
      <c r="E235" s="106"/>
      <c r="F235" s="106"/>
      <c r="H235" s="106"/>
      <c r="P235" s="122"/>
      <c r="R235" s="122"/>
      <c r="T235" s="106"/>
      <c r="V235" s="122"/>
      <c r="X235" s="122"/>
      <c r="Z235" s="106"/>
      <c r="AB235" s="122"/>
      <c r="AD235" s="122"/>
      <c r="AG235" s="106"/>
    </row>
    <row r="236" spans="1:33" s="173" customFormat="1" ht="15">
      <c r="A236" s="106"/>
      <c r="B236" s="106"/>
      <c r="C236" s="106"/>
      <c r="D236" s="106"/>
      <c r="E236" s="106"/>
      <c r="F236" s="106"/>
      <c r="H236" s="106"/>
      <c r="P236" s="122"/>
      <c r="R236" s="122"/>
      <c r="T236" s="106"/>
      <c r="V236" s="122"/>
      <c r="X236" s="122"/>
      <c r="Z236" s="106"/>
      <c r="AB236" s="122"/>
      <c r="AD236" s="122"/>
      <c r="AG236" s="106"/>
    </row>
    <row r="237" spans="1:33" s="173" customFormat="1">
      <c r="A237" s="106"/>
      <c r="B237" s="106"/>
      <c r="C237" s="106"/>
      <c r="D237" s="106"/>
      <c r="E237" s="106"/>
      <c r="F237" s="106"/>
      <c r="H237" s="106"/>
      <c r="P237" s="106"/>
      <c r="R237" s="106"/>
      <c r="T237" s="106"/>
      <c r="V237" s="106"/>
      <c r="X237" s="106"/>
      <c r="Z237" s="106"/>
      <c r="AB237" s="106"/>
      <c r="AD237" s="106"/>
      <c r="AF237" s="106"/>
      <c r="AG237" s="106"/>
    </row>
    <row r="238" spans="1:33" s="173" customFormat="1">
      <c r="A238" s="106"/>
      <c r="B238" s="106"/>
      <c r="C238" s="106"/>
      <c r="D238" s="106"/>
      <c r="E238" s="106"/>
      <c r="F238" s="106"/>
      <c r="H238" s="106"/>
      <c r="P238" s="106"/>
      <c r="R238" s="106"/>
      <c r="T238" s="106"/>
      <c r="V238" s="106"/>
      <c r="X238" s="106"/>
      <c r="Z238" s="106"/>
      <c r="AB238" s="106"/>
      <c r="AD238" s="106"/>
      <c r="AF238" s="106"/>
      <c r="AG238" s="106"/>
    </row>
    <row r="239" spans="1:33" s="173" customFormat="1">
      <c r="A239" s="106"/>
      <c r="B239" s="106"/>
      <c r="C239" s="106"/>
      <c r="D239" s="106"/>
      <c r="E239" s="106"/>
      <c r="F239" s="106"/>
      <c r="H239" s="106"/>
      <c r="P239" s="106"/>
      <c r="R239" s="106"/>
      <c r="T239" s="106"/>
      <c r="V239" s="106"/>
      <c r="X239" s="106"/>
      <c r="Z239" s="106"/>
      <c r="AB239" s="106"/>
      <c r="AD239" s="106"/>
      <c r="AF239" s="106"/>
      <c r="AG239" s="106"/>
    </row>
    <row r="240" spans="1:33" s="173" customFormat="1">
      <c r="A240" s="106"/>
      <c r="B240" s="106"/>
      <c r="C240" s="106"/>
      <c r="D240" s="106"/>
      <c r="E240" s="106"/>
      <c r="F240" s="106"/>
      <c r="H240" s="106"/>
      <c r="P240" s="106"/>
      <c r="R240" s="106"/>
      <c r="T240" s="106"/>
      <c r="V240" s="106"/>
      <c r="X240" s="106"/>
      <c r="Z240" s="106"/>
      <c r="AB240" s="106"/>
      <c r="AD240" s="106"/>
      <c r="AF240" s="106"/>
      <c r="AG240" s="106"/>
    </row>
    <row r="241" spans="1:38" s="173" customFormat="1">
      <c r="A241" s="106"/>
      <c r="B241" s="106"/>
      <c r="C241" s="106"/>
      <c r="D241" s="106"/>
      <c r="E241" s="106"/>
      <c r="F241" s="106"/>
      <c r="H241" s="106"/>
      <c r="P241" s="106"/>
      <c r="R241" s="106"/>
      <c r="T241" s="106"/>
      <c r="V241" s="106"/>
      <c r="X241" s="106"/>
      <c r="Z241" s="106"/>
      <c r="AB241" s="106"/>
      <c r="AD241" s="106"/>
      <c r="AF241" s="106"/>
      <c r="AG241" s="106"/>
    </row>
    <row r="242" spans="1:38" s="173" customFormat="1">
      <c r="A242" s="106"/>
      <c r="B242" s="106"/>
      <c r="C242" s="106"/>
      <c r="D242" s="106"/>
      <c r="E242" s="106"/>
      <c r="F242" s="106"/>
      <c r="H242" s="106"/>
      <c r="P242" s="106"/>
      <c r="R242" s="106"/>
      <c r="T242" s="106"/>
      <c r="V242" s="106"/>
      <c r="X242" s="106"/>
      <c r="Z242" s="106"/>
      <c r="AB242" s="106"/>
      <c r="AD242" s="106"/>
      <c r="AF242" s="106"/>
      <c r="AG242" s="106"/>
    </row>
    <row r="243" spans="1:38" s="173" customFormat="1">
      <c r="A243" s="106"/>
      <c r="B243" s="106"/>
      <c r="C243" s="106"/>
      <c r="D243" s="106"/>
      <c r="E243" s="106"/>
      <c r="F243" s="106"/>
      <c r="H243" s="106"/>
      <c r="P243" s="106"/>
      <c r="R243" s="106"/>
      <c r="T243" s="106"/>
      <c r="V243" s="106"/>
      <c r="X243" s="106"/>
      <c r="Z243" s="106"/>
      <c r="AB243" s="106"/>
      <c r="AD243" s="106"/>
      <c r="AF243" s="106"/>
      <c r="AG243" s="106"/>
    </row>
    <row r="244" spans="1:38" s="173" customFormat="1">
      <c r="A244" s="106"/>
      <c r="B244" s="106"/>
      <c r="C244" s="106"/>
      <c r="D244" s="106"/>
      <c r="E244" s="106"/>
      <c r="F244" s="106"/>
      <c r="H244" s="106"/>
      <c r="P244" s="106"/>
      <c r="R244" s="106"/>
      <c r="T244" s="106"/>
      <c r="V244" s="106"/>
      <c r="X244" s="106"/>
      <c r="Z244" s="106"/>
      <c r="AB244" s="106"/>
      <c r="AD244" s="106"/>
      <c r="AF244" s="106"/>
      <c r="AG244" s="106"/>
    </row>
    <row r="245" spans="1:38" s="173" customFormat="1">
      <c r="A245" s="106"/>
      <c r="B245" s="106"/>
      <c r="C245" s="106"/>
      <c r="D245" s="106"/>
      <c r="E245" s="106"/>
      <c r="F245" s="106"/>
      <c r="H245" s="106"/>
      <c r="P245" s="106"/>
      <c r="R245" s="106"/>
      <c r="T245" s="106"/>
      <c r="V245" s="106"/>
      <c r="X245" s="106"/>
      <c r="Z245" s="106"/>
      <c r="AB245" s="106"/>
      <c r="AD245" s="106"/>
      <c r="AF245" s="106"/>
      <c r="AG245" s="106"/>
    </row>
    <row r="246" spans="1:38" s="173" customFormat="1">
      <c r="A246" s="106"/>
      <c r="B246" s="106"/>
      <c r="C246" s="106"/>
      <c r="D246" s="106"/>
      <c r="E246" s="106"/>
      <c r="F246" s="106"/>
      <c r="H246" s="106"/>
      <c r="P246" s="106"/>
      <c r="R246" s="106"/>
      <c r="T246" s="106"/>
      <c r="V246" s="106"/>
      <c r="X246" s="106"/>
      <c r="Z246" s="106"/>
      <c r="AB246" s="106"/>
      <c r="AD246" s="106"/>
      <c r="AF246" s="106"/>
      <c r="AG246" s="106"/>
    </row>
    <row r="247" spans="1:38" s="173" customFormat="1">
      <c r="A247" s="106"/>
      <c r="B247" s="106"/>
      <c r="C247" s="106"/>
      <c r="D247" s="106"/>
      <c r="E247" s="106"/>
      <c r="F247" s="106"/>
      <c r="H247" s="106"/>
      <c r="P247" s="106"/>
      <c r="R247" s="106"/>
      <c r="T247" s="106"/>
      <c r="V247" s="106"/>
      <c r="X247" s="106"/>
      <c r="Z247" s="106"/>
      <c r="AB247" s="106"/>
      <c r="AD247" s="106"/>
      <c r="AF247" s="106"/>
      <c r="AG247" s="106"/>
    </row>
    <row r="248" spans="1:38" s="173" customFormat="1">
      <c r="A248" s="106"/>
      <c r="B248" s="106"/>
      <c r="C248" s="106"/>
      <c r="D248" s="106"/>
      <c r="E248" s="106"/>
      <c r="F248" s="106"/>
      <c r="H248" s="106"/>
      <c r="J248" s="106"/>
      <c r="L248" s="106"/>
      <c r="N248" s="106"/>
      <c r="P248" s="106"/>
      <c r="R248" s="106"/>
      <c r="T248" s="106"/>
      <c r="V248" s="106"/>
      <c r="X248" s="106"/>
      <c r="Z248" s="106"/>
      <c r="AB248" s="106"/>
      <c r="AD248" s="106"/>
      <c r="AF248" s="106"/>
      <c r="AG248" s="106"/>
    </row>
    <row r="249" spans="1:38" s="173" customFormat="1">
      <c r="A249" s="106"/>
      <c r="B249" s="106"/>
      <c r="C249" s="106"/>
      <c r="D249" s="106"/>
      <c r="E249" s="106"/>
      <c r="F249" s="106"/>
      <c r="H249" s="106"/>
      <c r="J249" s="106"/>
      <c r="L249" s="106"/>
      <c r="N249" s="106"/>
      <c r="P249" s="106"/>
      <c r="R249" s="106"/>
      <c r="T249" s="106"/>
      <c r="V249" s="106"/>
      <c r="X249" s="106"/>
      <c r="Z249" s="106"/>
      <c r="AB249" s="106"/>
      <c r="AD249" s="106"/>
      <c r="AF249" s="106"/>
      <c r="AG249" s="106"/>
    </row>
    <row r="250" spans="1:38" s="173" customFormat="1">
      <c r="A250" s="106"/>
      <c r="B250" s="106"/>
      <c r="C250" s="106"/>
      <c r="D250" s="106"/>
      <c r="E250" s="106"/>
      <c r="F250" s="106"/>
      <c r="H250" s="106"/>
      <c r="J250" s="106"/>
      <c r="L250" s="106"/>
      <c r="N250" s="106"/>
      <c r="P250" s="106"/>
      <c r="R250" s="106"/>
      <c r="T250" s="106"/>
      <c r="V250" s="106"/>
      <c r="X250" s="106"/>
      <c r="Z250" s="106"/>
      <c r="AB250" s="106"/>
      <c r="AD250" s="106"/>
      <c r="AF250" s="106"/>
      <c r="AG250" s="106"/>
    </row>
    <row r="251" spans="1:38" s="173" customFormat="1">
      <c r="A251" s="106"/>
      <c r="B251" s="106"/>
      <c r="C251" s="106"/>
      <c r="D251" s="106"/>
      <c r="E251" s="106"/>
      <c r="F251" s="106"/>
      <c r="H251" s="106"/>
      <c r="J251" s="106"/>
      <c r="L251" s="106"/>
      <c r="N251" s="106"/>
      <c r="P251" s="106"/>
      <c r="R251" s="106"/>
      <c r="T251" s="106"/>
      <c r="V251" s="106"/>
      <c r="X251" s="106"/>
      <c r="Z251" s="106"/>
      <c r="AB251" s="106"/>
      <c r="AD251" s="106"/>
      <c r="AF251" s="106"/>
      <c r="AG251" s="106"/>
    </row>
    <row r="252" spans="1:38" s="173" customFormat="1">
      <c r="A252" s="106"/>
      <c r="B252" s="106"/>
      <c r="C252" s="106"/>
      <c r="D252" s="106"/>
      <c r="E252" s="106"/>
      <c r="F252" s="106"/>
      <c r="H252" s="106"/>
      <c r="J252" s="106"/>
      <c r="L252" s="106"/>
      <c r="N252" s="106"/>
      <c r="P252" s="106"/>
      <c r="R252" s="106"/>
      <c r="T252" s="106"/>
      <c r="V252" s="106"/>
      <c r="X252" s="106"/>
      <c r="Z252" s="106"/>
      <c r="AB252" s="106"/>
      <c r="AD252" s="106"/>
      <c r="AF252" s="106"/>
      <c r="AG252" s="106"/>
      <c r="AH252" s="106"/>
      <c r="AI252" s="106"/>
      <c r="AJ252" s="106"/>
      <c r="AK252" s="106"/>
      <c r="AL252" s="106"/>
    </row>
    <row r="253" spans="1:38" s="173" customFormat="1">
      <c r="A253" s="106"/>
      <c r="B253" s="106"/>
      <c r="C253" s="106"/>
      <c r="D253" s="106"/>
      <c r="E253" s="106"/>
      <c r="F253" s="106"/>
      <c r="H253" s="106"/>
      <c r="J253" s="106"/>
      <c r="L253" s="106"/>
      <c r="N253" s="106"/>
      <c r="P253" s="106"/>
      <c r="R253" s="106"/>
      <c r="T253" s="106"/>
      <c r="V253" s="106"/>
      <c r="X253" s="106"/>
      <c r="Z253" s="106"/>
      <c r="AB253" s="106"/>
      <c r="AD253" s="106"/>
      <c r="AF253" s="106"/>
      <c r="AG253" s="106"/>
      <c r="AH253" s="106"/>
      <c r="AI253" s="106"/>
      <c r="AJ253" s="106"/>
      <c r="AK253" s="106"/>
      <c r="AL253" s="106"/>
    </row>
  </sheetData>
  <pageMargins left="0.25" right="0.25" top="0.75" bottom="0.75" header="0.3" footer="0.3"/>
  <pageSetup scale="49" fitToHeight="0" pageOrder="overThenDown" orientation="landscape" errors="blank" horizontalDpi="4294967292" r:id="rId1"/>
  <headerFooter alignWithMargins="0">
    <oddFooter>&amp;L&amp;F - &amp;A&amp;CPrinted &amp;D - &amp;T&amp;RPage &amp;P of &amp;N</oddFooter>
  </headerFooter>
  <rowBreaks count="1" manualBreakCount="1">
    <brk id="58" max="43" man="1"/>
  </rowBreaks>
  <colBreaks count="1" manualBreakCount="1">
    <brk id="38" max="109"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P513"/>
  <sheetViews>
    <sheetView showGridLines="0" view="pageBreakPreview" topLeftCell="A7" zoomScale="60" zoomScaleNormal="100" workbookViewId="0">
      <pane ySplit="6" topLeftCell="A13" activePane="bottomLeft" state="frozen"/>
      <selection activeCell="A7" sqref="A7"/>
      <selection pane="bottomLeft" activeCell="W101" sqref="W101"/>
    </sheetView>
  </sheetViews>
  <sheetFormatPr defaultRowHeight="15" outlineLevelRow="1"/>
  <cols>
    <col min="1" max="1" width="11" style="357" customWidth="1"/>
    <col min="2" max="2" width="50.42578125" style="357" customWidth="1"/>
    <col min="3" max="3" width="23.42578125" style="357" customWidth="1"/>
    <col min="4" max="4" width="17.5703125" style="356" customWidth="1"/>
    <col min="5" max="5" width="21.5703125" style="356" customWidth="1"/>
    <col min="6" max="8" width="21.140625" style="357" customWidth="1"/>
    <col min="9" max="9" width="24.42578125" style="357" customWidth="1"/>
    <col min="10" max="16384" width="9.140625" style="357"/>
  </cols>
  <sheetData>
    <row r="1" spans="1:16" hidden="1" outlineLevel="1">
      <c r="A1" s="354" t="s">
        <v>616</v>
      </c>
      <c r="B1" s="354"/>
      <c r="C1" s="355" t="s">
        <v>617</v>
      </c>
      <c r="F1" s="356"/>
      <c r="G1" s="356"/>
      <c r="H1" s="356"/>
      <c r="I1" s="356"/>
      <c r="J1" s="356"/>
      <c r="K1" s="356"/>
      <c r="L1" s="356"/>
      <c r="M1" s="356"/>
      <c r="N1" s="356"/>
      <c r="O1" s="356"/>
      <c r="P1" s="356"/>
    </row>
    <row r="2" spans="1:16" hidden="1" outlineLevel="1">
      <c r="A2" s="354" t="s">
        <v>199</v>
      </c>
      <c r="B2" s="354"/>
      <c r="C2" s="358" t="s">
        <v>370</v>
      </c>
      <c r="F2" s="356"/>
      <c r="G2" s="356"/>
      <c r="H2" s="356"/>
      <c r="I2" s="356"/>
      <c r="J2" s="356"/>
      <c r="K2" s="356"/>
      <c r="L2" s="356"/>
      <c r="M2" s="356"/>
      <c r="N2" s="356"/>
      <c r="O2" s="356"/>
      <c r="P2" s="356"/>
    </row>
    <row r="3" spans="1:16" hidden="1" outlineLevel="1">
      <c r="A3" s="354" t="s">
        <v>618</v>
      </c>
      <c r="B3" s="354"/>
      <c r="C3" s="358" t="s">
        <v>370</v>
      </c>
      <c r="F3" s="356"/>
      <c r="G3" s="356"/>
      <c r="H3" s="356"/>
      <c r="I3" s="356"/>
      <c r="J3" s="356"/>
      <c r="K3" s="356"/>
      <c r="L3" s="356"/>
      <c r="M3" s="356"/>
      <c r="N3" s="356"/>
      <c r="O3" s="356"/>
      <c r="P3" s="356"/>
    </row>
    <row r="4" spans="1:16" hidden="1" outlineLevel="1">
      <c r="A4" s="354" t="s">
        <v>619</v>
      </c>
      <c r="B4" s="354"/>
      <c r="C4" s="358" t="s">
        <v>620</v>
      </c>
      <c r="F4" s="356"/>
      <c r="G4" s="356"/>
      <c r="H4" s="356"/>
      <c r="I4" s="356"/>
      <c r="J4" s="356"/>
      <c r="K4" s="356"/>
      <c r="L4" s="356"/>
      <c r="M4" s="356"/>
      <c r="N4" s="356"/>
      <c r="O4" s="356"/>
      <c r="P4" s="356"/>
    </row>
    <row r="5" spans="1:16" hidden="1" outlineLevel="1">
      <c r="A5" s="354" t="s">
        <v>621</v>
      </c>
      <c r="B5" s="354"/>
      <c r="C5" s="358" t="s">
        <v>622</v>
      </c>
      <c r="F5" s="356"/>
      <c r="G5" s="356"/>
      <c r="H5" s="356"/>
      <c r="I5" s="356"/>
      <c r="J5" s="356"/>
      <c r="K5" s="356"/>
      <c r="L5" s="356"/>
      <c r="M5" s="356"/>
      <c r="N5" s="356"/>
      <c r="O5" s="356"/>
      <c r="P5" s="356"/>
    </row>
    <row r="6" spans="1:16" hidden="1" outlineLevel="1">
      <c r="A6" s="354"/>
      <c r="B6" s="354"/>
    </row>
    <row r="7" spans="1:16" collapsed="1">
      <c r="A7" s="359" t="s">
        <v>193</v>
      </c>
      <c r="B7" s="354"/>
      <c r="C7" s="360"/>
    </row>
    <row r="8" spans="1:16">
      <c r="A8" s="359" t="s">
        <v>623</v>
      </c>
    </row>
    <row r="9" spans="1:16">
      <c r="A9" s="359"/>
      <c r="D9" s="361" t="s">
        <v>624</v>
      </c>
      <c r="E9" s="362" t="s">
        <v>625</v>
      </c>
    </row>
    <row r="10" spans="1:16">
      <c r="A10" s="359"/>
      <c r="C10" s="363" t="s">
        <v>626</v>
      </c>
      <c r="D10" s="361" t="s">
        <v>1096</v>
      </c>
      <c r="E10" s="362" t="s">
        <v>627</v>
      </c>
    </row>
    <row r="11" spans="1:16">
      <c r="A11" s="359"/>
      <c r="C11" s="364" t="s">
        <v>593</v>
      </c>
      <c r="D11" s="365" t="s">
        <v>601</v>
      </c>
      <c r="E11" s="366" t="s">
        <v>628</v>
      </c>
    </row>
    <row r="12" spans="1:16">
      <c r="C12" s="367" t="s">
        <v>14</v>
      </c>
      <c r="D12" s="367" t="s">
        <v>629</v>
      </c>
      <c r="E12" s="368">
        <v>43100</v>
      </c>
    </row>
    <row r="13" spans="1:16">
      <c r="A13" s="369">
        <v>50086</v>
      </c>
      <c r="B13" s="370" t="s">
        <v>242</v>
      </c>
      <c r="C13" s="373">
        <v>5857.67</v>
      </c>
      <c r="D13" s="374"/>
      <c r="E13" s="374">
        <f>C13+D13</f>
        <v>5857.67</v>
      </c>
    </row>
    <row r="14" spans="1:16">
      <c r="A14" s="369">
        <v>51260</v>
      </c>
      <c r="B14" s="370" t="s">
        <v>287</v>
      </c>
      <c r="C14" s="373">
        <v>889129.52</v>
      </c>
      <c r="D14" s="588">
        <v>-437090</v>
      </c>
      <c r="E14" s="374">
        <f t="shared" ref="E14:E77" si="0">C14+D14</f>
        <v>452039.52</v>
      </c>
      <c r="F14" s="183" t="s">
        <v>630</v>
      </c>
    </row>
    <row r="15" spans="1:16">
      <c r="A15" s="369">
        <v>52090</v>
      </c>
      <c r="B15" s="370" t="s">
        <v>49</v>
      </c>
      <c r="C15" s="373">
        <v>0</v>
      </c>
      <c r="D15" s="374"/>
      <c r="E15" s="374">
        <f t="shared" si="0"/>
        <v>0</v>
      </c>
    </row>
    <row r="16" spans="1:16">
      <c r="A16" s="369">
        <v>52120</v>
      </c>
      <c r="B16" s="370" t="s">
        <v>247</v>
      </c>
      <c r="C16" s="373">
        <v>-37374</v>
      </c>
      <c r="D16" s="374"/>
      <c r="E16" s="374">
        <f t="shared" si="0"/>
        <v>-37374</v>
      </c>
    </row>
    <row r="17" spans="1:7">
      <c r="A17" s="369">
        <v>56037</v>
      </c>
      <c r="B17" s="370" t="s">
        <v>631</v>
      </c>
      <c r="C17" s="373">
        <v>0</v>
      </c>
      <c r="D17" s="374"/>
      <c r="E17" s="374">
        <f t="shared" si="0"/>
        <v>0</v>
      </c>
    </row>
    <row r="18" spans="1:7">
      <c r="A18" s="369">
        <v>57255</v>
      </c>
      <c r="B18" s="370" t="s">
        <v>73</v>
      </c>
      <c r="C18" s="373">
        <v>0</v>
      </c>
      <c r="D18" s="374"/>
      <c r="E18" s="374">
        <f t="shared" si="0"/>
        <v>0</v>
      </c>
    </row>
    <row r="19" spans="1:7">
      <c r="A19" s="369">
        <v>57260</v>
      </c>
      <c r="B19" s="370" t="s">
        <v>287</v>
      </c>
      <c r="C19" s="373">
        <v>533009.91</v>
      </c>
      <c r="D19" s="588">
        <v>-4571</v>
      </c>
      <c r="E19" s="374">
        <f t="shared" si="0"/>
        <v>528438.91</v>
      </c>
      <c r="F19" s="183" t="s">
        <v>632</v>
      </c>
    </row>
    <row r="20" spans="1:7">
      <c r="A20" s="369">
        <v>59271</v>
      </c>
      <c r="B20" s="370" t="s">
        <v>633</v>
      </c>
      <c r="C20" s="373">
        <v>0</v>
      </c>
      <c r="D20" s="374"/>
      <c r="E20" s="374">
        <f t="shared" si="0"/>
        <v>0</v>
      </c>
    </row>
    <row r="21" spans="1:7">
      <c r="A21" s="369">
        <v>59331</v>
      </c>
      <c r="B21" s="370" t="s">
        <v>634</v>
      </c>
      <c r="C21" s="373">
        <v>2064010.94</v>
      </c>
      <c r="D21" s="374"/>
      <c r="E21" s="374">
        <f t="shared" si="0"/>
        <v>2064010.94</v>
      </c>
    </row>
    <row r="22" spans="1:7">
      <c r="A22" s="369">
        <v>59340</v>
      </c>
      <c r="B22" s="370" t="s">
        <v>90</v>
      </c>
      <c r="C22" s="373">
        <v>-1052851.6599999999</v>
      </c>
      <c r="D22" s="374"/>
      <c r="E22" s="374">
        <f t="shared" si="0"/>
        <v>-1052851.6599999999</v>
      </c>
    </row>
    <row r="23" spans="1:7">
      <c r="A23" s="369">
        <v>70010</v>
      </c>
      <c r="B23" s="370" t="s">
        <v>26</v>
      </c>
      <c r="C23" s="373">
        <v>40997684.009999998</v>
      </c>
      <c r="D23" s="374"/>
      <c r="E23" s="374">
        <f t="shared" si="0"/>
        <v>40997684.009999998</v>
      </c>
    </row>
    <row r="24" spans="1:7">
      <c r="A24" s="369">
        <v>70015</v>
      </c>
      <c r="B24" s="370" t="s">
        <v>635</v>
      </c>
      <c r="C24" s="373">
        <v>3342334.9</v>
      </c>
      <c r="D24" s="374"/>
      <c r="E24" s="374">
        <f t="shared" si="0"/>
        <v>3342334.9</v>
      </c>
    </row>
    <row r="25" spans="1:7">
      <c r="A25" s="369">
        <v>70020</v>
      </c>
      <c r="B25" s="370" t="s">
        <v>34</v>
      </c>
      <c r="C25" s="373">
        <v>1183440.1399999999</v>
      </c>
      <c r="D25" s="374"/>
      <c r="E25" s="374">
        <f t="shared" si="0"/>
        <v>1183440.1399999999</v>
      </c>
    </row>
    <row r="26" spans="1:7">
      <c r="A26" s="369">
        <v>70025</v>
      </c>
      <c r="B26" s="370" t="s">
        <v>35</v>
      </c>
      <c r="C26" s="373">
        <v>196794.48</v>
      </c>
      <c r="D26" s="374"/>
      <c r="E26" s="374">
        <f t="shared" si="0"/>
        <v>196794.48</v>
      </c>
    </row>
    <row r="27" spans="1:7">
      <c r="A27" s="369">
        <v>70030</v>
      </c>
      <c r="B27" s="370" t="s">
        <v>636</v>
      </c>
      <c r="C27" s="373">
        <v>32120594</v>
      </c>
      <c r="D27" s="374">
        <f>-C27</f>
        <v>-32120594</v>
      </c>
      <c r="E27" s="374">
        <f t="shared" si="0"/>
        <v>0</v>
      </c>
    </row>
    <row r="28" spans="1:7">
      <c r="A28" s="369">
        <v>70036</v>
      </c>
      <c r="B28" s="370" t="s">
        <v>37</v>
      </c>
      <c r="C28" s="373">
        <v>169443.67</v>
      </c>
      <c r="D28" s="374">
        <f t="shared" ref="D28:D29" si="1">-C28</f>
        <v>-169443.67</v>
      </c>
      <c r="E28" s="374">
        <f t="shared" si="0"/>
        <v>0</v>
      </c>
    </row>
    <row r="29" spans="1:7">
      <c r="A29" s="369">
        <v>70037</v>
      </c>
      <c r="B29" s="370" t="s">
        <v>631</v>
      </c>
      <c r="C29" s="373">
        <v>630270.64</v>
      </c>
      <c r="D29" s="374">
        <f t="shared" si="1"/>
        <v>-630270.64</v>
      </c>
      <c r="E29" s="374">
        <f t="shared" si="0"/>
        <v>0</v>
      </c>
    </row>
    <row r="30" spans="1:7">
      <c r="A30" s="369">
        <v>70045</v>
      </c>
      <c r="B30" s="370" t="s">
        <v>48</v>
      </c>
      <c r="C30" s="373">
        <v>787326.64</v>
      </c>
      <c r="D30" s="374"/>
      <c r="E30" s="374">
        <f t="shared" si="0"/>
        <v>787326.64</v>
      </c>
    </row>
    <row r="31" spans="1:7">
      <c r="A31" s="369">
        <v>70050</v>
      </c>
      <c r="B31" s="370" t="s">
        <v>171</v>
      </c>
      <c r="C31" s="373">
        <v>2799569.17</v>
      </c>
      <c r="D31" s="589">
        <f>SUM(D27:D29)*F31</f>
        <v>-1169075.2597167401</v>
      </c>
      <c r="E31" s="374">
        <f t="shared" si="0"/>
        <v>1630493.9102832598</v>
      </c>
      <c r="F31" s="371">
        <f>+C31/SUM(C23:C29,C33:C34)</f>
        <v>3.5512281619841851E-2</v>
      </c>
      <c r="G31" s="183" t="s">
        <v>637</v>
      </c>
    </row>
    <row r="32" spans="1:7">
      <c r="A32" s="369">
        <v>70060</v>
      </c>
      <c r="B32" s="370" t="s">
        <v>124</v>
      </c>
      <c r="C32" s="373">
        <v>1482537.01</v>
      </c>
      <c r="D32" s="374"/>
      <c r="E32" s="374">
        <f t="shared" si="0"/>
        <v>1482537.01</v>
      </c>
    </row>
    <row r="33" spans="1:5">
      <c r="A33" s="369">
        <v>70065</v>
      </c>
      <c r="B33" s="370" t="s">
        <v>31</v>
      </c>
      <c r="C33" s="373">
        <v>167090.16</v>
      </c>
      <c r="D33" s="374"/>
      <c r="E33" s="374">
        <f t="shared" si="0"/>
        <v>167090.16</v>
      </c>
    </row>
    <row r="34" spans="1:5">
      <c r="A34" s="369">
        <v>70070</v>
      </c>
      <c r="B34" s="370" t="s">
        <v>32</v>
      </c>
      <c r="C34" s="373">
        <v>26177.94</v>
      </c>
      <c r="D34" s="374"/>
      <c r="E34" s="374">
        <f t="shared" si="0"/>
        <v>26177.94</v>
      </c>
    </row>
    <row r="35" spans="1:5">
      <c r="A35" s="369">
        <v>70086</v>
      </c>
      <c r="B35" s="370" t="s">
        <v>242</v>
      </c>
      <c r="C35" s="373">
        <v>362621.67</v>
      </c>
      <c r="D35" s="374"/>
      <c r="E35" s="374">
        <f t="shared" si="0"/>
        <v>362621.67</v>
      </c>
    </row>
    <row r="36" spans="1:5">
      <c r="A36" s="369">
        <v>70090</v>
      </c>
      <c r="B36" s="370" t="s">
        <v>133</v>
      </c>
      <c r="C36" s="373">
        <v>1282215.6499999999</v>
      </c>
      <c r="D36" s="374"/>
      <c r="E36" s="374">
        <f t="shared" si="0"/>
        <v>1282215.6499999999</v>
      </c>
    </row>
    <row r="37" spans="1:5">
      <c r="A37" s="369">
        <v>70095</v>
      </c>
      <c r="B37" s="370" t="s">
        <v>131</v>
      </c>
      <c r="C37" s="373">
        <v>958105.95</v>
      </c>
      <c r="D37" s="374">
        <f>-C37</f>
        <v>-958105.95</v>
      </c>
      <c r="E37" s="374">
        <f t="shared" si="0"/>
        <v>0</v>
      </c>
    </row>
    <row r="38" spans="1:5">
      <c r="A38" s="369">
        <v>70105</v>
      </c>
      <c r="B38" s="370" t="s">
        <v>134</v>
      </c>
      <c r="C38" s="373">
        <v>3310095.25</v>
      </c>
      <c r="D38" s="374">
        <f t="shared" ref="D38:D41" si="2">-C38</f>
        <v>-3310095.25</v>
      </c>
      <c r="E38" s="374">
        <f t="shared" si="0"/>
        <v>0</v>
      </c>
    </row>
    <row r="39" spans="1:5">
      <c r="A39" s="369">
        <v>70106</v>
      </c>
      <c r="B39" s="370" t="s">
        <v>638</v>
      </c>
      <c r="C39" s="373">
        <v>3223900.14</v>
      </c>
      <c r="D39" s="374">
        <f t="shared" si="2"/>
        <v>-3223900.14</v>
      </c>
      <c r="E39" s="374">
        <f t="shared" si="0"/>
        <v>0</v>
      </c>
    </row>
    <row r="40" spans="1:5">
      <c r="A40" s="369">
        <v>70110</v>
      </c>
      <c r="B40" s="370" t="s">
        <v>135</v>
      </c>
      <c r="C40" s="373">
        <v>799440.75</v>
      </c>
      <c r="D40" s="374">
        <f t="shared" si="2"/>
        <v>-799440.75</v>
      </c>
      <c r="E40" s="374">
        <f t="shared" si="0"/>
        <v>0</v>
      </c>
    </row>
    <row r="41" spans="1:5">
      <c r="A41" s="369">
        <v>70112</v>
      </c>
      <c r="B41" s="370" t="s">
        <v>606</v>
      </c>
      <c r="C41" s="373">
        <v>20000</v>
      </c>
      <c r="D41" s="374">
        <f t="shared" si="2"/>
        <v>-20000</v>
      </c>
      <c r="E41" s="374">
        <f t="shared" si="0"/>
        <v>0</v>
      </c>
    </row>
    <row r="42" spans="1:5">
      <c r="A42" s="369">
        <v>70116</v>
      </c>
      <c r="B42" s="370" t="s">
        <v>254</v>
      </c>
      <c r="C42" s="373">
        <v>566968.35</v>
      </c>
      <c r="D42" s="374"/>
      <c r="E42" s="374">
        <f t="shared" si="0"/>
        <v>566968.35</v>
      </c>
    </row>
    <row r="43" spans="1:5">
      <c r="A43" s="369">
        <v>70120</v>
      </c>
      <c r="B43" s="370" t="s">
        <v>639</v>
      </c>
      <c r="C43" s="373">
        <v>183004.98</v>
      </c>
      <c r="D43" s="374">
        <f>-C43</f>
        <v>-183004.98</v>
      </c>
      <c r="E43" s="374">
        <f t="shared" si="0"/>
        <v>0</v>
      </c>
    </row>
    <row r="44" spans="1:5">
      <c r="A44" s="369">
        <v>70142</v>
      </c>
      <c r="B44" s="370" t="s">
        <v>67</v>
      </c>
      <c r="C44" s="373">
        <v>384130.88</v>
      </c>
      <c r="D44" s="374"/>
      <c r="E44" s="374">
        <f t="shared" si="0"/>
        <v>384130.88</v>
      </c>
    </row>
    <row r="45" spans="1:5">
      <c r="A45" s="369">
        <v>70145</v>
      </c>
      <c r="B45" s="370" t="s">
        <v>57</v>
      </c>
      <c r="C45" s="373">
        <v>189710.07999999999</v>
      </c>
      <c r="D45" s="374"/>
      <c r="E45" s="374">
        <f t="shared" si="0"/>
        <v>189710.07999999999</v>
      </c>
    </row>
    <row r="46" spans="1:5">
      <c r="A46" s="369">
        <v>70146</v>
      </c>
      <c r="B46" s="370" t="s">
        <v>640</v>
      </c>
      <c r="C46" s="373">
        <v>2868.4</v>
      </c>
      <c r="D46" s="374">
        <f>-C46</f>
        <v>-2868.4</v>
      </c>
      <c r="E46" s="374">
        <f t="shared" si="0"/>
        <v>0</v>
      </c>
    </row>
    <row r="47" spans="1:5">
      <c r="A47" s="369">
        <v>70147</v>
      </c>
      <c r="B47" s="370" t="s">
        <v>108</v>
      </c>
      <c r="C47" s="373">
        <v>33148.410000000003</v>
      </c>
      <c r="D47" s="374"/>
      <c r="E47" s="374">
        <f t="shared" si="0"/>
        <v>33148.410000000003</v>
      </c>
    </row>
    <row r="48" spans="1:5">
      <c r="A48" s="369">
        <v>70165</v>
      </c>
      <c r="B48" s="370" t="s">
        <v>50</v>
      </c>
      <c r="C48" s="373">
        <v>830847.3</v>
      </c>
      <c r="D48" s="374"/>
      <c r="E48" s="374">
        <f t="shared" si="0"/>
        <v>830847.3</v>
      </c>
    </row>
    <row r="49" spans="1:5">
      <c r="A49" s="369">
        <v>70167</v>
      </c>
      <c r="B49" s="370" t="s">
        <v>276</v>
      </c>
      <c r="C49" s="373">
        <v>37712.230000000003</v>
      </c>
      <c r="D49" s="374"/>
      <c r="E49" s="374">
        <f t="shared" si="0"/>
        <v>37712.230000000003</v>
      </c>
    </row>
    <row r="50" spans="1:5">
      <c r="A50" s="369">
        <v>70170</v>
      </c>
      <c r="B50" s="370" t="s">
        <v>258</v>
      </c>
      <c r="C50" s="373">
        <v>1305417.3600000001</v>
      </c>
      <c r="D50" s="374"/>
      <c r="E50" s="374">
        <f t="shared" si="0"/>
        <v>1305417.3600000001</v>
      </c>
    </row>
    <row r="51" spans="1:5">
      <c r="A51" s="369">
        <v>70175</v>
      </c>
      <c r="B51" s="370" t="s">
        <v>51</v>
      </c>
      <c r="C51" s="373">
        <v>25952.400000000001</v>
      </c>
      <c r="D51" s="374"/>
      <c r="E51" s="374">
        <f t="shared" si="0"/>
        <v>25952.400000000001</v>
      </c>
    </row>
    <row r="52" spans="1:5">
      <c r="A52" s="369">
        <v>70185</v>
      </c>
      <c r="B52" s="370" t="s">
        <v>106</v>
      </c>
      <c r="C52" s="373">
        <v>579163.41</v>
      </c>
      <c r="D52" s="374"/>
      <c r="E52" s="374">
        <f t="shared" si="0"/>
        <v>579163.41</v>
      </c>
    </row>
    <row r="53" spans="1:5">
      <c r="A53" s="369">
        <v>70190</v>
      </c>
      <c r="B53" s="370" t="s">
        <v>608</v>
      </c>
      <c r="C53" s="373">
        <v>462140.94</v>
      </c>
      <c r="D53" s="374">
        <f>-C53</f>
        <v>-462140.94</v>
      </c>
      <c r="E53" s="374">
        <f t="shared" si="0"/>
        <v>0</v>
      </c>
    </row>
    <row r="54" spans="1:5">
      <c r="A54" s="369">
        <v>70195</v>
      </c>
      <c r="B54" s="370" t="s">
        <v>609</v>
      </c>
      <c r="C54" s="373">
        <v>1573996.69</v>
      </c>
      <c r="D54" s="374">
        <f>-(C54*0.16)</f>
        <v>-251839.47039999999</v>
      </c>
      <c r="E54" s="374">
        <f t="shared" si="0"/>
        <v>1322157.2196</v>
      </c>
    </row>
    <row r="55" spans="1:5">
      <c r="A55" s="369">
        <v>70196</v>
      </c>
      <c r="B55" s="370" t="s">
        <v>138</v>
      </c>
      <c r="C55" s="373">
        <v>47567.51</v>
      </c>
      <c r="D55" s="374">
        <f t="shared" ref="D55" si="3">-C55</f>
        <v>-47567.51</v>
      </c>
      <c r="E55" s="374">
        <f t="shared" si="0"/>
        <v>0</v>
      </c>
    </row>
    <row r="56" spans="1:5">
      <c r="A56" s="369">
        <v>70200</v>
      </c>
      <c r="B56" s="370" t="s">
        <v>53</v>
      </c>
      <c r="C56" s="373">
        <v>1141458.3700000001</v>
      </c>
      <c r="D56" s="374"/>
      <c r="E56" s="374">
        <f t="shared" si="0"/>
        <v>1141458.3700000001</v>
      </c>
    </row>
    <row r="57" spans="1:5">
      <c r="A57" s="369">
        <v>70201</v>
      </c>
      <c r="B57" s="370" t="s">
        <v>139</v>
      </c>
      <c r="C57" s="373">
        <v>586284.15</v>
      </c>
      <c r="D57" s="374">
        <f>-C57</f>
        <v>-586284.15</v>
      </c>
      <c r="E57" s="374">
        <f t="shared" si="0"/>
        <v>0</v>
      </c>
    </row>
    <row r="58" spans="1:5">
      <c r="A58" s="369">
        <v>70202</v>
      </c>
      <c r="B58" s="370" t="s">
        <v>610</v>
      </c>
      <c r="C58" s="373">
        <v>4584077.6500000004</v>
      </c>
      <c r="D58" s="588">
        <v>-667062</v>
      </c>
      <c r="E58" s="374">
        <f t="shared" si="0"/>
        <v>3917015.6500000004</v>
      </c>
    </row>
    <row r="59" spans="1:5">
      <c r="A59" s="369">
        <v>70203</v>
      </c>
      <c r="B59" s="370" t="s">
        <v>140</v>
      </c>
      <c r="C59" s="373">
        <v>637080.1</v>
      </c>
      <c r="D59" s="374"/>
      <c r="E59" s="374">
        <f t="shared" si="0"/>
        <v>637080.1</v>
      </c>
    </row>
    <row r="60" spans="1:5">
      <c r="A60" s="369">
        <v>70205</v>
      </c>
      <c r="B60" s="370" t="s">
        <v>277</v>
      </c>
      <c r="C60" s="373">
        <v>374785.52</v>
      </c>
      <c r="D60" s="374"/>
      <c r="E60" s="374">
        <f t="shared" si="0"/>
        <v>374785.52</v>
      </c>
    </row>
    <row r="61" spans="1:5">
      <c r="A61" s="369">
        <v>70206</v>
      </c>
      <c r="B61" s="370" t="s">
        <v>142</v>
      </c>
      <c r="C61" s="373">
        <v>375948.5</v>
      </c>
      <c r="D61" s="374"/>
      <c r="E61" s="374">
        <f t="shared" si="0"/>
        <v>375948.5</v>
      </c>
    </row>
    <row r="62" spans="1:5">
      <c r="A62" s="369">
        <v>70210</v>
      </c>
      <c r="B62" s="370" t="s">
        <v>105</v>
      </c>
      <c r="C62" s="373">
        <v>174518.36</v>
      </c>
      <c r="D62" s="374"/>
      <c r="E62" s="374">
        <f t="shared" si="0"/>
        <v>174518.36</v>
      </c>
    </row>
    <row r="63" spans="1:5">
      <c r="A63" s="369">
        <v>70214</v>
      </c>
      <c r="B63" s="370" t="s">
        <v>144</v>
      </c>
      <c r="C63" s="373">
        <v>-14047.7</v>
      </c>
      <c r="D63" s="374"/>
      <c r="E63" s="374">
        <f t="shared" si="0"/>
        <v>-14047.7</v>
      </c>
    </row>
    <row r="64" spans="1:5">
      <c r="A64" s="369">
        <v>70215</v>
      </c>
      <c r="B64" s="370" t="s">
        <v>110</v>
      </c>
      <c r="C64" s="373">
        <v>3472729.14</v>
      </c>
      <c r="D64" s="374"/>
      <c r="E64" s="374">
        <f t="shared" si="0"/>
        <v>3472729.14</v>
      </c>
    </row>
    <row r="65" spans="1:5">
      <c r="A65" s="369">
        <v>70216</v>
      </c>
      <c r="B65" s="370" t="s">
        <v>641</v>
      </c>
      <c r="C65" s="373">
        <v>107865.72</v>
      </c>
      <c r="D65" s="374"/>
      <c r="E65" s="374">
        <f t="shared" si="0"/>
        <v>107865.72</v>
      </c>
    </row>
    <row r="66" spans="1:5">
      <c r="A66" s="369">
        <v>70230</v>
      </c>
      <c r="B66" s="370" t="s">
        <v>145</v>
      </c>
      <c r="C66" s="373">
        <v>214493</v>
      </c>
      <c r="D66" s="374"/>
      <c r="E66" s="374">
        <f t="shared" si="0"/>
        <v>214493</v>
      </c>
    </row>
    <row r="67" spans="1:5">
      <c r="A67" s="369">
        <v>70231</v>
      </c>
      <c r="B67" s="370" t="s">
        <v>146</v>
      </c>
      <c r="C67" s="373">
        <v>925625.19</v>
      </c>
      <c r="D67" s="374"/>
      <c r="E67" s="374">
        <f t="shared" si="0"/>
        <v>925625.19</v>
      </c>
    </row>
    <row r="68" spans="1:5">
      <c r="A68" s="369">
        <v>70232</v>
      </c>
      <c r="B68" s="370" t="s">
        <v>147</v>
      </c>
      <c r="C68" s="373">
        <v>516.55999999999995</v>
      </c>
      <c r="D68" s="374"/>
      <c r="E68" s="374">
        <f t="shared" si="0"/>
        <v>516.55999999999995</v>
      </c>
    </row>
    <row r="69" spans="1:5">
      <c r="A69" s="369">
        <v>70235</v>
      </c>
      <c r="B69" s="370" t="s">
        <v>119</v>
      </c>
      <c r="C69" s="373">
        <v>3746504.09</v>
      </c>
      <c r="D69" s="374">
        <f>-C69</f>
        <v>-3746504.09</v>
      </c>
      <c r="E69" s="374">
        <f t="shared" si="0"/>
        <v>0</v>
      </c>
    </row>
    <row r="70" spans="1:5">
      <c r="A70" s="369">
        <v>70240</v>
      </c>
      <c r="B70" s="370" t="s">
        <v>642</v>
      </c>
      <c r="C70" s="373">
        <v>4422815.05</v>
      </c>
      <c r="D70" s="374"/>
      <c r="E70" s="374">
        <f t="shared" si="0"/>
        <v>4422815.05</v>
      </c>
    </row>
    <row r="71" spans="1:5">
      <c r="A71" s="369">
        <v>70245</v>
      </c>
      <c r="B71" s="370" t="s">
        <v>278</v>
      </c>
      <c r="C71" s="373">
        <v>594448.36</v>
      </c>
      <c r="D71" s="374"/>
      <c r="E71" s="374">
        <f t="shared" si="0"/>
        <v>594448.36</v>
      </c>
    </row>
    <row r="72" spans="1:5">
      <c r="A72" s="369">
        <v>70250</v>
      </c>
      <c r="B72" s="370" t="s">
        <v>643</v>
      </c>
      <c r="C72" s="373">
        <v>4725116.3600000003</v>
      </c>
      <c r="D72" s="374">
        <f>-C72</f>
        <v>-4725116.3600000003</v>
      </c>
      <c r="E72" s="374">
        <f t="shared" si="0"/>
        <v>0</v>
      </c>
    </row>
    <row r="73" spans="1:5">
      <c r="A73" s="369">
        <v>70255</v>
      </c>
      <c r="B73" s="370" t="s">
        <v>73</v>
      </c>
      <c r="C73" s="373">
        <v>2722690.58</v>
      </c>
      <c r="D73" s="374"/>
      <c r="E73" s="374">
        <f t="shared" si="0"/>
        <v>2722690.58</v>
      </c>
    </row>
    <row r="74" spans="1:5">
      <c r="A74" s="369">
        <v>70260</v>
      </c>
      <c r="B74" s="370" t="s">
        <v>287</v>
      </c>
      <c r="C74" s="373">
        <v>4745822.57</v>
      </c>
      <c r="D74" s="588">
        <v>-63927</v>
      </c>
      <c r="E74" s="374">
        <f t="shared" si="0"/>
        <v>4681895.57</v>
      </c>
    </row>
    <row r="75" spans="1:5">
      <c r="A75" s="369">
        <v>70271</v>
      </c>
      <c r="B75" s="370" t="s">
        <v>633</v>
      </c>
      <c r="C75" s="373">
        <v>783444.73</v>
      </c>
      <c r="D75" s="374"/>
      <c r="E75" s="374">
        <f t="shared" si="0"/>
        <v>783444.73</v>
      </c>
    </row>
    <row r="76" spans="1:5">
      <c r="A76" s="369">
        <v>70273</v>
      </c>
      <c r="B76" s="370" t="s">
        <v>644</v>
      </c>
      <c r="C76" s="373">
        <v>94944</v>
      </c>
      <c r="D76" s="374">
        <f>-C76</f>
        <v>-94944</v>
      </c>
      <c r="E76" s="374">
        <f t="shared" si="0"/>
        <v>0</v>
      </c>
    </row>
    <row r="77" spans="1:5">
      <c r="A77" s="369">
        <v>70275</v>
      </c>
      <c r="B77" s="370" t="s">
        <v>260</v>
      </c>
      <c r="C77" s="373">
        <v>223603.54</v>
      </c>
      <c r="D77" s="374"/>
      <c r="E77" s="374">
        <f t="shared" si="0"/>
        <v>223603.54</v>
      </c>
    </row>
    <row r="78" spans="1:5">
      <c r="A78" s="369">
        <v>70300</v>
      </c>
      <c r="B78" s="370" t="s">
        <v>112</v>
      </c>
      <c r="C78" s="373">
        <v>650947.42000000004</v>
      </c>
      <c r="D78" s="374"/>
      <c r="E78" s="374">
        <f t="shared" ref="E78:E86" si="4">C78+D78</f>
        <v>650947.42000000004</v>
      </c>
    </row>
    <row r="79" spans="1:5">
      <c r="A79" s="369">
        <v>70301</v>
      </c>
      <c r="B79" s="370" t="s">
        <v>149</v>
      </c>
      <c r="C79" s="373">
        <v>10364.86</v>
      </c>
      <c r="D79" s="374"/>
      <c r="E79" s="374">
        <f t="shared" si="4"/>
        <v>10364.86</v>
      </c>
    </row>
    <row r="80" spans="1:5">
      <c r="A80" s="369">
        <v>70302</v>
      </c>
      <c r="B80" s="370" t="s">
        <v>114</v>
      </c>
      <c r="C80" s="373">
        <v>78569.509999999995</v>
      </c>
      <c r="D80" s="374"/>
      <c r="E80" s="374">
        <f t="shared" si="4"/>
        <v>78569.509999999995</v>
      </c>
    </row>
    <row r="81" spans="1:5">
      <c r="A81" s="369">
        <v>70324</v>
      </c>
      <c r="B81" s="370" t="s">
        <v>645</v>
      </c>
      <c r="C81" s="373">
        <v>22968.21</v>
      </c>
      <c r="D81" s="374">
        <f>-C81</f>
        <v>-22968.21</v>
      </c>
      <c r="E81" s="374">
        <f t="shared" si="4"/>
        <v>0</v>
      </c>
    </row>
    <row r="82" spans="1:5">
      <c r="A82" s="369">
        <v>70345</v>
      </c>
      <c r="B82" s="370" t="s">
        <v>107</v>
      </c>
      <c r="C82" s="373">
        <v>0</v>
      </c>
      <c r="D82" s="374"/>
      <c r="E82" s="374">
        <f t="shared" si="4"/>
        <v>0</v>
      </c>
    </row>
    <row r="83" spans="1:5">
      <c r="A83" s="369">
        <v>70357</v>
      </c>
      <c r="B83" s="370" t="s">
        <v>151</v>
      </c>
      <c r="C83" s="373">
        <v>0</v>
      </c>
      <c r="D83" s="374"/>
      <c r="E83" s="374">
        <f t="shared" si="4"/>
        <v>0</v>
      </c>
    </row>
    <row r="84" spans="1:5">
      <c r="A84" s="369">
        <v>70371</v>
      </c>
      <c r="B84" s="370" t="s">
        <v>646</v>
      </c>
      <c r="C84" s="373">
        <v>0</v>
      </c>
      <c r="D84" s="374"/>
      <c r="E84" s="374">
        <f t="shared" si="4"/>
        <v>0</v>
      </c>
    </row>
    <row r="85" spans="1:5">
      <c r="A85" s="369">
        <v>70372</v>
      </c>
      <c r="B85" s="370" t="s">
        <v>647</v>
      </c>
      <c r="C85" s="373">
        <v>0</v>
      </c>
      <c r="D85" s="374"/>
      <c r="E85" s="374">
        <f t="shared" si="4"/>
        <v>0</v>
      </c>
    </row>
    <row r="86" spans="1:5">
      <c r="A86" s="369">
        <v>70475</v>
      </c>
      <c r="B86" s="370" t="s">
        <v>152</v>
      </c>
      <c r="C86" s="373">
        <v>829051.18</v>
      </c>
      <c r="D86" s="374">
        <f>-C86</f>
        <v>-829051.18</v>
      </c>
      <c r="E86" s="374">
        <f t="shared" si="4"/>
        <v>0</v>
      </c>
    </row>
    <row r="87" spans="1:5">
      <c r="A87" s="370"/>
      <c r="B87" s="370" t="s">
        <v>648</v>
      </c>
      <c r="C87" s="372">
        <f>SUM(C13:C86)</f>
        <v>138716678.50999999</v>
      </c>
      <c r="E87" s="372">
        <f>SUM(E13:E86)</f>
        <v>84190813.559883252</v>
      </c>
    </row>
    <row r="88" spans="1:5">
      <c r="A88" s="370"/>
      <c r="B88" s="370"/>
      <c r="C88" s="373"/>
    </row>
    <row r="89" spans="1:5">
      <c r="A89" s="370"/>
      <c r="B89" s="370" t="s">
        <v>649</v>
      </c>
      <c r="C89" s="373">
        <v>4630487873.8900003</v>
      </c>
      <c r="E89" s="374">
        <f>C89</f>
        <v>4630487873.8900003</v>
      </c>
    </row>
    <row r="90" spans="1:5" ht="15.75" thickBot="1">
      <c r="A90" s="370"/>
      <c r="B90" s="370"/>
      <c r="C90" s="375">
        <f>+C87/C89</f>
        <v>2.9957249060554452E-2</v>
      </c>
      <c r="E90" s="375">
        <f>+E87/E89</f>
        <v>1.818184516465559E-2</v>
      </c>
    </row>
    <row r="91" spans="1:5">
      <c r="A91" s="369"/>
      <c r="B91" s="370"/>
      <c r="C91" s="376"/>
    </row>
    <row r="92" spans="1:5">
      <c r="A92" s="369"/>
      <c r="B92" s="370"/>
      <c r="C92" s="376"/>
    </row>
    <row r="93" spans="1:5">
      <c r="A93" s="369"/>
      <c r="B93" s="370"/>
      <c r="C93" s="376"/>
    </row>
    <row r="94" spans="1:5" s="616" customFormat="1">
      <c r="A94" s="369"/>
      <c r="B94" s="377"/>
      <c r="C94" s="480"/>
      <c r="D94" s="1017"/>
      <c r="E94" s="1017"/>
    </row>
    <row r="95" spans="1:5" s="616" customFormat="1">
      <c r="A95" s="369"/>
      <c r="B95" s="377"/>
      <c r="C95" s="480"/>
      <c r="D95" s="1017"/>
      <c r="E95" s="1017"/>
    </row>
    <row r="96" spans="1:5" s="1017" customFormat="1">
      <c r="A96" s="369"/>
      <c r="B96" s="377"/>
      <c r="C96" s="480"/>
    </row>
    <row r="97" spans="1:3" s="1017" customFormat="1">
      <c r="A97" s="369"/>
      <c r="B97" s="377"/>
      <c r="C97" s="480"/>
    </row>
    <row r="98" spans="1:3" s="1017" customFormat="1">
      <c r="A98" s="369"/>
      <c r="B98" s="377"/>
      <c r="C98" s="480"/>
    </row>
    <row r="99" spans="1:3" s="1017" customFormat="1">
      <c r="A99" s="369"/>
      <c r="B99" s="377"/>
      <c r="C99" s="480"/>
    </row>
    <row r="100" spans="1:3" s="1017" customFormat="1">
      <c r="A100" s="369"/>
      <c r="B100" s="377"/>
      <c r="C100" s="480"/>
    </row>
    <row r="101" spans="1:3" s="1017" customFormat="1">
      <c r="A101" s="369"/>
      <c r="B101" s="377"/>
      <c r="C101" s="480"/>
    </row>
    <row r="102" spans="1:3" s="1017" customFormat="1">
      <c r="A102" s="369"/>
      <c r="B102" s="377"/>
      <c r="C102" s="480"/>
    </row>
    <row r="103" spans="1:3" s="1017" customFormat="1">
      <c r="A103" s="369"/>
      <c r="B103" s="377"/>
      <c r="C103" s="480"/>
    </row>
    <row r="104" spans="1:3" s="1017" customFormat="1">
      <c r="A104" s="369"/>
      <c r="B104" s="377"/>
      <c r="C104" s="480"/>
    </row>
    <row r="105" spans="1:3" s="1017" customFormat="1">
      <c r="A105" s="369"/>
      <c r="B105" s="377"/>
      <c r="C105" s="480"/>
    </row>
    <row r="106" spans="1:3" s="1017" customFormat="1">
      <c r="A106" s="369"/>
      <c r="B106" s="377"/>
      <c r="C106" s="480"/>
    </row>
    <row r="107" spans="1:3" s="1017" customFormat="1">
      <c r="A107" s="369"/>
      <c r="B107" s="377"/>
      <c r="C107" s="480"/>
    </row>
    <row r="108" spans="1:3" s="1017" customFormat="1">
      <c r="A108" s="369"/>
      <c r="B108" s="377"/>
      <c r="C108" s="480"/>
    </row>
    <row r="109" spans="1:3" s="1017" customFormat="1">
      <c r="A109" s="369"/>
      <c r="B109" s="377"/>
      <c r="C109" s="480"/>
    </row>
    <row r="110" spans="1:3" s="1017" customFormat="1">
      <c r="A110" s="369"/>
      <c r="B110" s="377"/>
      <c r="C110" s="480"/>
    </row>
    <row r="111" spans="1:3" s="1017" customFormat="1">
      <c r="A111" s="369"/>
      <c r="B111" s="377"/>
      <c r="C111" s="480"/>
    </row>
    <row r="112" spans="1:3" s="1017" customFormat="1">
      <c r="A112" s="369"/>
      <c r="B112" s="377"/>
      <c r="C112" s="480"/>
    </row>
    <row r="113" spans="1:3" s="1017" customFormat="1">
      <c r="A113" s="369"/>
      <c r="B113" s="377"/>
      <c r="C113" s="480"/>
    </row>
    <row r="114" spans="1:3" s="1017" customFormat="1">
      <c r="A114" s="369"/>
      <c r="B114" s="377"/>
      <c r="C114" s="480"/>
    </row>
    <row r="115" spans="1:3" s="1017" customFormat="1">
      <c r="A115" s="369"/>
      <c r="B115" s="377"/>
      <c r="C115" s="480"/>
    </row>
    <row r="116" spans="1:3" s="1017" customFormat="1">
      <c r="A116" s="369"/>
      <c r="B116" s="377"/>
      <c r="C116" s="480"/>
    </row>
    <row r="117" spans="1:3" s="1017" customFormat="1">
      <c r="A117" s="369"/>
      <c r="B117" s="377"/>
      <c r="C117" s="480"/>
    </row>
    <row r="118" spans="1:3" s="1017" customFormat="1">
      <c r="A118" s="369"/>
      <c r="B118" s="377"/>
      <c r="C118" s="480"/>
    </row>
    <row r="119" spans="1:3" s="1017" customFormat="1">
      <c r="A119" s="369"/>
      <c r="B119" s="377"/>
      <c r="C119" s="480"/>
    </row>
    <row r="120" spans="1:3" s="1017" customFormat="1">
      <c r="A120" s="369"/>
      <c r="B120" s="377"/>
      <c r="C120" s="480"/>
    </row>
    <row r="121" spans="1:3" s="1017" customFormat="1">
      <c r="A121" s="369"/>
      <c r="B121" s="377"/>
      <c r="C121" s="480"/>
    </row>
    <row r="122" spans="1:3" s="1017" customFormat="1">
      <c r="A122" s="369"/>
      <c r="B122" s="377"/>
      <c r="C122" s="480"/>
    </row>
    <row r="123" spans="1:3" s="1017" customFormat="1">
      <c r="A123" s="369"/>
      <c r="B123" s="377"/>
      <c r="C123" s="480"/>
    </row>
    <row r="124" spans="1:3" s="1017" customFormat="1">
      <c r="A124" s="369"/>
      <c r="B124" s="377"/>
      <c r="C124" s="480"/>
    </row>
    <row r="125" spans="1:3" s="1017" customFormat="1">
      <c r="A125" s="369"/>
      <c r="B125" s="377"/>
      <c r="C125" s="480"/>
    </row>
    <row r="126" spans="1:3" s="1017" customFormat="1">
      <c r="A126" s="369"/>
      <c r="B126" s="377"/>
      <c r="C126" s="480"/>
    </row>
    <row r="127" spans="1:3" s="1017" customFormat="1">
      <c r="A127" s="369"/>
      <c r="B127" s="377"/>
      <c r="C127" s="480"/>
    </row>
    <row r="128" spans="1:3" s="1017" customFormat="1">
      <c r="A128" s="369"/>
      <c r="B128" s="377"/>
      <c r="C128" s="480"/>
    </row>
    <row r="129" spans="1:3" s="1017" customFormat="1">
      <c r="A129" s="369"/>
      <c r="B129" s="377"/>
      <c r="C129" s="480"/>
    </row>
    <row r="130" spans="1:3" s="1017" customFormat="1">
      <c r="A130" s="369"/>
      <c r="B130" s="377"/>
      <c r="C130" s="480"/>
    </row>
    <row r="131" spans="1:3" s="1017" customFormat="1">
      <c r="A131" s="369"/>
      <c r="B131" s="377"/>
      <c r="C131" s="480"/>
    </row>
    <row r="132" spans="1:3" s="1017" customFormat="1">
      <c r="A132" s="369"/>
      <c r="B132" s="377"/>
      <c r="C132" s="480"/>
    </row>
    <row r="133" spans="1:3" s="1017" customFormat="1">
      <c r="A133" s="1233"/>
      <c r="B133" s="377"/>
      <c r="C133" s="377"/>
    </row>
    <row r="134" spans="1:3" s="1017" customFormat="1">
      <c r="A134" s="377"/>
      <c r="B134" s="377"/>
      <c r="C134" s="377"/>
    </row>
    <row r="135" spans="1:3" s="1017" customFormat="1">
      <c r="A135" s="1233"/>
      <c r="B135" s="377"/>
      <c r="C135" s="377"/>
    </row>
    <row r="136" spans="1:3" s="1017" customFormat="1">
      <c r="A136" s="369"/>
      <c r="B136" s="377"/>
      <c r="C136" s="480"/>
    </row>
    <row r="137" spans="1:3" s="1017" customFormat="1">
      <c r="A137" s="369"/>
      <c r="B137" s="377"/>
      <c r="C137" s="480"/>
    </row>
    <row r="138" spans="1:3" s="1017" customFormat="1">
      <c r="A138" s="369"/>
      <c r="B138" s="377"/>
      <c r="C138" s="480"/>
    </row>
    <row r="139" spans="1:3" s="1017" customFormat="1">
      <c r="A139" s="369"/>
      <c r="B139" s="377"/>
      <c r="C139" s="480"/>
    </row>
    <row r="140" spans="1:3" s="1017" customFormat="1">
      <c r="A140" s="369"/>
      <c r="B140" s="377"/>
      <c r="C140" s="480"/>
    </row>
    <row r="141" spans="1:3" s="1017" customFormat="1">
      <c r="A141" s="369"/>
      <c r="B141" s="377"/>
      <c r="C141" s="480"/>
    </row>
    <row r="142" spans="1:3" s="1017" customFormat="1">
      <c r="A142" s="369"/>
      <c r="B142" s="377"/>
      <c r="C142" s="480"/>
    </row>
    <row r="143" spans="1:3" s="1017" customFormat="1">
      <c r="A143" s="369"/>
      <c r="B143" s="377"/>
      <c r="C143" s="480"/>
    </row>
    <row r="144" spans="1:3" s="1017" customFormat="1">
      <c r="A144" s="369"/>
      <c r="B144" s="377"/>
      <c r="C144" s="480"/>
    </row>
    <row r="145" spans="1:3" s="1017" customFormat="1">
      <c r="A145" s="369"/>
      <c r="B145" s="377"/>
      <c r="C145" s="480"/>
    </row>
    <row r="146" spans="1:3" s="1017" customFormat="1">
      <c r="A146" s="369"/>
      <c r="B146" s="377"/>
      <c r="C146" s="480"/>
    </row>
    <row r="147" spans="1:3" s="1017" customFormat="1">
      <c r="A147" s="369"/>
      <c r="B147" s="377"/>
      <c r="C147" s="480"/>
    </row>
    <row r="148" spans="1:3" s="1017" customFormat="1">
      <c r="A148" s="369"/>
      <c r="B148" s="377"/>
      <c r="C148" s="480"/>
    </row>
    <row r="149" spans="1:3" s="1017" customFormat="1">
      <c r="A149" s="369"/>
      <c r="B149" s="377"/>
      <c r="C149" s="480"/>
    </row>
    <row r="150" spans="1:3" s="1017" customFormat="1">
      <c r="A150" s="369"/>
      <c r="B150" s="377"/>
      <c r="C150" s="480"/>
    </row>
    <row r="151" spans="1:3" s="1017" customFormat="1">
      <c r="A151" s="369"/>
      <c r="B151" s="377"/>
      <c r="C151" s="480"/>
    </row>
    <row r="152" spans="1:3" s="1017" customFormat="1">
      <c r="A152" s="369"/>
      <c r="B152" s="377"/>
      <c r="C152" s="480"/>
    </row>
    <row r="153" spans="1:3" s="1017" customFormat="1">
      <c r="A153" s="369"/>
      <c r="B153" s="377"/>
      <c r="C153" s="480"/>
    </row>
    <row r="154" spans="1:3" s="1017" customFormat="1">
      <c r="A154" s="369"/>
      <c r="B154" s="377"/>
      <c r="C154" s="480"/>
    </row>
    <row r="155" spans="1:3" s="1017" customFormat="1">
      <c r="A155" s="369"/>
      <c r="B155" s="377"/>
      <c r="C155" s="480"/>
    </row>
    <row r="156" spans="1:3" s="1017" customFormat="1">
      <c r="A156" s="369"/>
      <c r="B156" s="377"/>
      <c r="C156" s="480"/>
    </row>
    <row r="157" spans="1:3" s="1017" customFormat="1">
      <c r="A157" s="369"/>
      <c r="B157" s="377"/>
      <c r="C157" s="480"/>
    </row>
    <row r="158" spans="1:3" s="1017" customFormat="1">
      <c r="A158" s="369"/>
      <c r="B158" s="377"/>
      <c r="C158" s="480"/>
    </row>
    <row r="159" spans="1:3" s="1017" customFormat="1">
      <c r="A159" s="369"/>
      <c r="B159" s="377"/>
      <c r="C159" s="480"/>
    </row>
    <row r="160" spans="1:3" s="1017" customFormat="1">
      <c r="A160" s="369"/>
      <c r="B160" s="377"/>
      <c r="C160" s="480"/>
    </row>
    <row r="161" spans="1:3" s="1017" customFormat="1">
      <c r="A161" s="369"/>
      <c r="B161" s="377"/>
      <c r="C161" s="480"/>
    </row>
    <row r="162" spans="1:3" s="1017" customFormat="1">
      <c r="A162" s="369"/>
      <c r="B162" s="377"/>
      <c r="C162" s="480"/>
    </row>
    <row r="163" spans="1:3" s="1017" customFormat="1">
      <c r="A163" s="369"/>
      <c r="B163" s="377"/>
      <c r="C163" s="480"/>
    </row>
    <row r="164" spans="1:3" s="1017" customFormat="1">
      <c r="A164" s="369"/>
      <c r="B164" s="377"/>
      <c r="C164" s="480"/>
    </row>
    <row r="165" spans="1:3" s="1017" customFormat="1">
      <c r="A165" s="369"/>
      <c r="B165" s="377"/>
      <c r="C165" s="480"/>
    </row>
    <row r="166" spans="1:3" s="1017" customFormat="1">
      <c r="A166" s="369"/>
      <c r="B166" s="377"/>
      <c r="C166" s="480"/>
    </row>
    <row r="167" spans="1:3" s="1017" customFormat="1">
      <c r="A167" s="1233"/>
      <c r="B167" s="377"/>
      <c r="C167" s="377"/>
    </row>
    <row r="168" spans="1:3" s="1017" customFormat="1">
      <c r="A168" s="1233"/>
      <c r="B168" s="377"/>
      <c r="C168" s="377"/>
    </row>
    <row r="169" spans="1:3" s="1017" customFormat="1">
      <c r="A169" s="1233"/>
      <c r="B169" s="377"/>
      <c r="C169" s="377"/>
    </row>
    <row r="170" spans="1:3" s="1017" customFormat="1">
      <c r="A170" s="369"/>
      <c r="B170" s="377"/>
      <c r="C170" s="480"/>
    </row>
    <row r="171" spans="1:3" s="1017" customFormat="1">
      <c r="A171" s="369"/>
      <c r="B171" s="377"/>
      <c r="C171" s="480"/>
    </row>
    <row r="172" spans="1:3" s="1017" customFormat="1">
      <c r="A172" s="369"/>
      <c r="B172" s="377"/>
      <c r="C172" s="480"/>
    </row>
    <row r="173" spans="1:3" s="1017" customFormat="1">
      <c r="A173" s="369"/>
      <c r="B173" s="377"/>
      <c r="C173" s="480"/>
    </row>
    <row r="174" spans="1:3" s="1017" customFormat="1">
      <c r="A174" s="369"/>
      <c r="B174" s="377"/>
      <c r="C174" s="480"/>
    </row>
    <row r="175" spans="1:3" s="1017" customFormat="1">
      <c r="A175" s="369"/>
      <c r="B175" s="377"/>
      <c r="C175" s="480"/>
    </row>
    <row r="176" spans="1:3" s="1017" customFormat="1">
      <c r="A176" s="369"/>
      <c r="B176" s="377"/>
      <c r="C176" s="480"/>
    </row>
    <row r="177" spans="1:3" s="1017" customFormat="1">
      <c r="A177" s="369"/>
      <c r="B177" s="377"/>
      <c r="C177" s="480"/>
    </row>
    <row r="178" spans="1:3" s="1017" customFormat="1">
      <c r="A178" s="369"/>
      <c r="B178" s="377"/>
      <c r="C178" s="480"/>
    </row>
    <row r="179" spans="1:3" s="1017" customFormat="1">
      <c r="A179" s="369"/>
      <c r="B179" s="377"/>
      <c r="C179" s="480"/>
    </row>
    <row r="180" spans="1:3" s="1017" customFormat="1">
      <c r="A180" s="369"/>
      <c r="B180" s="377"/>
      <c r="C180" s="480"/>
    </row>
    <row r="181" spans="1:3" s="1017" customFormat="1">
      <c r="A181" s="369"/>
      <c r="B181" s="377"/>
      <c r="C181" s="480"/>
    </row>
    <row r="182" spans="1:3" s="1017" customFormat="1">
      <c r="A182" s="369"/>
      <c r="B182" s="377"/>
      <c r="C182" s="480"/>
    </row>
    <row r="183" spans="1:3" s="1017" customFormat="1">
      <c r="A183" s="369"/>
      <c r="B183" s="377"/>
      <c r="C183" s="480"/>
    </row>
    <row r="184" spans="1:3" s="1017" customFormat="1">
      <c r="A184" s="369"/>
      <c r="B184" s="377"/>
      <c r="C184" s="480"/>
    </row>
    <row r="185" spans="1:3" s="1017" customFormat="1">
      <c r="A185" s="369"/>
      <c r="B185" s="377"/>
      <c r="C185" s="480"/>
    </row>
    <row r="186" spans="1:3" s="1017" customFormat="1">
      <c r="A186" s="369"/>
      <c r="B186" s="377"/>
      <c r="C186" s="480"/>
    </row>
    <row r="187" spans="1:3" s="1017" customFormat="1">
      <c r="A187" s="369"/>
      <c r="B187" s="377"/>
      <c r="C187" s="480"/>
    </row>
    <row r="188" spans="1:3" s="1017" customFormat="1">
      <c r="A188" s="369"/>
      <c r="B188" s="377"/>
      <c r="C188" s="480"/>
    </row>
    <row r="189" spans="1:3" s="1017" customFormat="1">
      <c r="A189" s="369"/>
      <c r="B189" s="377"/>
      <c r="C189" s="480"/>
    </row>
    <row r="190" spans="1:3" s="1017" customFormat="1">
      <c r="A190" s="369"/>
      <c r="B190" s="377"/>
      <c r="C190" s="480"/>
    </row>
    <row r="191" spans="1:3" s="1017" customFormat="1">
      <c r="A191" s="369"/>
      <c r="B191" s="377"/>
      <c r="C191" s="480"/>
    </row>
    <row r="192" spans="1:3" s="1017" customFormat="1">
      <c r="A192" s="369"/>
      <c r="B192" s="377"/>
      <c r="C192" s="480"/>
    </row>
    <row r="193" spans="1:3" s="1017" customFormat="1">
      <c r="A193" s="369"/>
      <c r="B193" s="377"/>
      <c r="C193" s="480"/>
    </row>
    <row r="194" spans="1:3" s="1017" customFormat="1">
      <c r="A194" s="369"/>
      <c r="B194" s="377"/>
      <c r="C194" s="480"/>
    </row>
    <row r="195" spans="1:3" s="1017" customFormat="1">
      <c r="A195" s="369"/>
      <c r="B195" s="377"/>
      <c r="C195" s="480"/>
    </row>
    <row r="196" spans="1:3" s="1017" customFormat="1">
      <c r="A196" s="369"/>
      <c r="B196" s="377"/>
      <c r="C196" s="480"/>
    </row>
    <row r="197" spans="1:3" s="1017" customFormat="1">
      <c r="A197" s="369"/>
      <c r="B197" s="377"/>
      <c r="C197" s="480"/>
    </row>
    <row r="198" spans="1:3" s="1017" customFormat="1">
      <c r="A198" s="369"/>
      <c r="B198" s="377"/>
      <c r="C198" s="480"/>
    </row>
    <row r="199" spans="1:3" s="1017" customFormat="1">
      <c r="A199" s="369"/>
      <c r="B199" s="377"/>
      <c r="C199" s="480"/>
    </row>
    <row r="200" spans="1:3" s="1017" customFormat="1">
      <c r="A200" s="369"/>
      <c r="B200" s="377"/>
      <c r="C200" s="480"/>
    </row>
    <row r="201" spans="1:3" s="1017" customFormat="1">
      <c r="A201" s="369"/>
      <c r="B201" s="377"/>
      <c r="C201" s="480"/>
    </row>
    <row r="202" spans="1:3" s="1017" customFormat="1">
      <c r="A202" s="369"/>
      <c r="B202" s="377"/>
      <c r="C202" s="480"/>
    </row>
    <row r="203" spans="1:3" s="1017" customFormat="1">
      <c r="A203" s="369"/>
      <c r="B203" s="377"/>
      <c r="C203" s="480"/>
    </row>
    <row r="204" spans="1:3" s="1017" customFormat="1">
      <c r="A204" s="369"/>
      <c r="B204" s="377"/>
      <c r="C204" s="480"/>
    </row>
    <row r="205" spans="1:3" s="1017" customFormat="1">
      <c r="A205" s="369"/>
      <c r="B205" s="377"/>
      <c r="C205" s="480"/>
    </row>
    <row r="206" spans="1:3" s="1017" customFormat="1">
      <c r="A206" s="369"/>
      <c r="B206" s="377"/>
      <c r="C206" s="480"/>
    </row>
    <row r="207" spans="1:3" s="1017" customFormat="1">
      <c r="A207" s="369"/>
      <c r="B207" s="377"/>
      <c r="C207" s="480"/>
    </row>
    <row r="208" spans="1:3" s="1017" customFormat="1">
      <c r="A208" s="369"/>
      <c r="B208" s="377"/>
      <c r="C208" s="480"/>
    </row>
    <row r="209" spans="1:3" s="1017" customFormat="1">
      <c r="A209" s="369"/>
      <c r="B209" s="377"/>
      <c r="C209" s="480"/>
    </row>
    <row r="210" spans="1:3" s="1017" customFormat="1">
      <c r="A210" s="369"/>
      <c r="B210" s="1234"/>
      <c r="C210" s="480"/>
    </row>
    <row r="211" spans="1:3" s="1017" customFormat="1">
      <c r="A211" s="1233"/>
      <c r="B211" s="377"/>
      <c r="C211" s="377"/>
    </row>
    <row r="212" spans="1:3" s="1017" customFormat="1">
      <c r="A212" s="1233"/>
      <c r="B212" s="377"/>
      <c r="C212" s="377"/>
    </row>
    <row r="213" spans="1:3" s="1017" customFormat="1">
      <c r="A213" s="1233"/>
      <c r="B213" s="377"/>
      <c r="C213" s="377"/>
    </row>
    <row r="214" spans="1:3" s="1017" customFormat="1">
      <c r="A214" s="369"/>
      <c r="B214" s="377"/>
      <c r="C214" s="480"/>
    </row>
    <row r="215" spans="1:3" s="1017" customFormat="1">
      <c r="A215" s="369"/>
      <c r="B215" s="377"/>
      <c r="C215" s="480"/>
    </row>
    <row r="216" spans="1:3" s="1017" customFormat="1">
      <c r="A216" s="369"/>
      <c r="B216" s="377"/>
      <c r="C216" s="480"/>
    </row>
    <row r="217" spans="1:3" s="1017" customFormat="1">
      <c r="A217" s="369"/>
      <c r="B217" s="377"/>
      <c r="C217" s="480"/>
    </row>
    <row r="218" spans="1:3" s="1017" customFormat="1">
      <c r="A218" s="369"/>
      <c r="B218" s="377"/>
      <c r="C218" s="480"/>
    </row>
    <row r="219" spans="1:3" s="1017" customFormat="1">
      <c r="A219" s="369"/>
      <c r="B219" s="377"/>
      <c r="C219" s="480"/>
    </row>
    <row r="220" spans="1:3" s="1017" customFormat="1">
      <c r="A220" s="369"/>
      <c r="B220" s="377"/>
      <c r="C220" s="480"/>
    </row>
    <row r="221" spans="1:3" s="1017" customFormat="1">
      <c r="A221" s="369"/>
      <c r="B221" s="377"/>
      <c r="C221" s="480"/>
    </row>
    <row r="222" spans="1:3" s="1017" customFormat="1">
      <c r="A222" s="369"/>
      <c r="B222" s="377"/>
      <c r="C222" s="480"/>
    </row>
    <row r="223" spans="1:3" s="1017" customFormat="1">
      <c r="A223" s="369"/>
      <c r="B223" s="377"/>
      <c r="C223" s="480"/>
    </row>
    <row r="224" spans="1:3" s="1017" customFormat="1">
      <c r="A224" s="369"/>
      <c r="B224" s="377"/>
      <c r="C224" s="480"/>
    </row>
    <row r="225" spans="1:3" s="1017" customFormat="1">
      <c r="A225" s="369"/>
      <c r="B225" s="377"/>
      <c r="C225" s="480"/>
    </row>
    <row r="226" spans="1:3" s="1017" customFormat="1">
      <c r="A226" s="369"/>
      <c r="B226" s="377"/>
      <c r="C226" s="480"/>
    </row>
    <row r="227" spans="1:3" s="1017" customFormat="1">
      <c r="A227" s="369"/>
      <c r="B227" s="377"/>
      <c r="C227" s="480"/>
    </row>
    <row r="228" spans="1:3" s="1017" customFormat="1">
      <c r="A228" s="369"/>
      <c r="B228" s="377"/>
      <c r="C228" s="480"/>
    </row>
    <row r="229" spans="1:3" s="1017" customFormat="1">
      <c r="A229" s="369"/>
      <c r="B229" s="377"/>
      <c r="C229" s="480"/>
    </row>
    <row r="230" spans="1:3" s="1017" customFormat="1">
      <c r="A230" s="369"/>
      <c r="B230" s="377"/>
      <c r="C230" s="480"/>
    </row>
    <row r="231" spans="1:3" s="1017" customFormat="1">
      <c r="A231" s="369"/>
      <c r="B231" s="377"/>
      <c r="C231" s="480"/>
    </row>
    <row r="232" spans="1:3" s="1017" customFormat="1">
      <c r="A232" s="369"/>
      <c r="B232" s="377"/>
      <c r="C232" s="480"/>
    </row>
    <row r="233" spans="1:3" s="1017" customFormat="1">
      <c r="A233" s="1233"/>
      <c r="B233" s="377"/>
      <c r="C233" s="377"/>
    </row>
    <row r="234" spans="1:3" s="1017" customFormat="1">
      <c r="A234" s="1233"/>
      <c r="B234" s="377"/>
      <c r="C234" s="377"/>
    </row>
    <row r="235" spans="1:3" s="1017" customFormat="1">
      <c r="A235" s="1233"/>
      <c r="B235" s="377"/>
      <c r="C235" s="377"/>
    </row>
    <row r="236" spans="1:3" s="1017" customFormat="1">
      <c r="A236" s="369"/>
      <c r="B236" s="377"/>
      <c r="C236" s="480"/>
    </row>
    <row r="237" spans="1:3" s="1017" customFormat="1">
      <c r="A237" s="369"/>
      <c r="B237" s="377"/>
      <c r="C237" s="480"/>
    </row>
    <row r="238" spans="1:3" s="1017" customFormat="1">
      <c r="A238" s="369"/>
      <c r="B238" s="377"/>
      <c r="C238" s="480"/>
    </row>
    <row r="239" spans="1:3" s="1017" customFormat="1">
      <c r="A239" s="369"/>
      <c r="B239" s="377"/>
      <c r="C239" s="480"/>
    </row>
    <row r="240" spans="1:3" s="1017" customFormat="1">
      <c r="A240" s="369"/>
      <c r="B240" s="377"/>
      <c r="C240" s="480"/>
    </row>
    <row r="241" spans="1:3" s="1017" customFormat="1">
      <c r="A241" s="369"/>
      <c r="B241" s="377"/>
      <c r="C241" s="480"/>
    </row>
    <row r="242" spans="1:3" s="1017" customFormat="1">
      <c r="A242" s="1233"/>
      <c r="B242" s="377"/>
      <c r="C242" s="377"/>
    </row>
    <row r="243" spans="1:3" s="1017" customFormat="1">
      <c r="A243" s="1233"/>
      <c r="B243" s="377"/>
      <c r="C243" s="377"/>
    </row>
    <row r="244" spans="1:3" s="1017" customFormat="1">
      <c r="A244" s="1235"/>
      <c r="B244" s="1236"/>
      <c r="C244" s="1235"/>
    </row>
    <row r="245" spans="1:3" s="1017" customFormat="1">
      <c r="A245" s="1233"/>
      <c r="B245" s="377"/>
      <c r="C245" s="377"/>
    </row>
    <row r="246" spans="1:3" s="1017" customFormat="1">
      <c r="A246" s="1235"/>
      <c r="B246" s="1236"/>
      <c r="C246" s="1235"/>
    </row>
    <row r="247" spans="1:3" s="1017" customFormat="1">
      <c r="A247" s="1233"/>
      <c r="B247" s="377"/>
      <c r="C247" s="377"/>
    </row>
    <row r="248" spans="1:3" s="1017" customFormat="1">
      <c r="A248" s="1237"/>
      <c r="B248" s="377"/>
      <c r="C248" s="377"/>
    </row>
    <row r="249" spans="1:3" s="1017" customFormat="1">
      <c r="A249" s="1233"/>
      <c r="B249" s="377"/>
      <c r="C249" s="377"/>
    </row>
    <row r="250" spans="1:3" s="1017" customFormat="1">
      <c r="A250" s="369"/>
      <c r="B250" s="377"/>
      <c r="C250" s="480"/>
    </row>
    <row r="251" spans="1:3" s="1017" customFormat="1">
      <c r="A251" s="369"/>
      <c r="B251" s="377"/>
      <c r="C251" s="480"/>
    </row>
    <row r="252" spans="1:3" s="1017" customFormat="1">
      <c r="A252" s="369"/>
      <c r="B252" s="377"/>
      <c r="C252" s="480"/>
    </row>
    <row r="253" spans="1:3" s="1017" customFormat="1">
      <c r="A253" s="369"/>
      <c r="B253" s="377"/>
      <c r="C253" s="480"/>
    </row>
    <row r="254" spans="1:3" s="1017" customFormat="1">
      <c r="A254" s="369"/>
      <c r="B254" s="377"/>
      <c r="C254" s="480"/>
    </row>
    <row r="255" spans="1:3" s="1017" customFormat="1">
      <c r="A255" s="369"/>
      <c r="B255" s="377"/>
      <c r="C255" s="480"/>
    </row>
    <row r="256" spans="1:3" s="1017" customFormat="1">
      <c r="A256" s="369"/>
      <c r="B256" s="377"/>
      <c r="C256" s="480"/>
    </row>
    <row r="257" spans="1:3" s="1017" customFormat="1">
      <c r="A257" s="369"/>
      <c r="B257" s="377"/>
      <c r="C257" s="480"/>
    </row>
    <row r="258" spans="1:3" s="1017" customFormat="1">
      <c r="A258" s="369"/>
      <c r="B258" s="377"/>
      <c r="C258" s="480"/>
    </row>
    <row r="259" spans="1:3" s="1017" customFormat="1">
      <c r="A259" s="369"/>
      <c r="B259" s="377"/>
      <c r="C259" s="480"/>
    </row>
    <row r="260" spans="1:3" s="1017" customFormat="1">
      <c r="A260" s="369"/>
      <c r="B260" s="377"/>
      <c r="C260" s="480"/>
    </row>
    <row r="261" spans="1:3" s="1017" customFormat="1">
      <c r="A261" s="369"/>
      <c r="B261" s="377"/>
      <c r="C261" s="480"/>
    </row>
    <row r="262" spans="1:3" s="1017" customFormat="1">
      <c r="A262" s="369"/>
      <c r="B262" s="377"/>
      <c r="C262" s="480"/>
    </row>
    <row r="263" spans="1:3" s="1017" customFormat="1">
      <c r="A263" s="369"/>
      <c r="B263" s="377"/>
      <c r="C263" s="480"/>
    </row>
    <row r="264" spans="1:3" s="1017" customFormat="1">
      <c r="A264" s="369"/>
      <c r="B264" s="377"/>
      <c r="C264" s="480"/>
    </row>
    <row r="265" spans="1:3" s="1017" customFormat="1">
      <c r="A265" s="369"/>
      <c r="B265" s="377"/>
      <c r="C265" s="480"/>
    </row>
    <row r="266" spans="1:3" s="1017" customFormat="1">
      <c r="A266" s="1238"/>
      <c r="B266" s="1238"/>
      <c r="C266" s="480"/>
    </row>
    <row r="267" spans="1:3" s="1017" customFormat="1">
      <c r="A267" s="369"/>
      <c r="B267" s="377"/>
      <c r="C267" s="480"/>
    </row>
    <row r="268" spans="1:3" s="1017" customFormat="1">
      <c r="A268" s="369"/>
      <c r="B268" s="377"/>
      <c r="C268" s="480"/>
    </row>
    <row r="269" spans="1:3" s="1017" customFormat="1">
      <c r="A269" s="369"/>
      <c r="B269" s="377"/>
      <c r="C269" s="480"/>
    </row>
    <row r="270" spans="1:3" s="1017" customFormat="1">
      <c r="A270" s="369"/>
      <c r="B270" s="377"/>
      <c r="C270" s="480"/>
    </row>
    <row r="271" spans="1:3" s="1017" customFormat="1">
      <c r="A271" s="369"/>
      <c r="B271" s="377"/>
      <c r="C271" s="480"/>
    </row>
    <row r="272" spans="1:3" s="1017" customFormat="1">
      <c r="A272" s="369"/>
      <c r="B272" s="377"/>
      <c r="C272" s="480"/>
    </row>
    <row r="273" spans="1:3" s="1017" customFormat="1">
      <c r="A273" s="369"/>
      <c r="B273" s="377"/>
      <c r="C273" s="480"/>
    </row>
    <row r="274" spans="1:3" s="1017" customFormat="1">
      <c r="A274" s="369"/>
      <c r="B274" s="377"/>
      <c r="C274" s="480"/>
    </row>
    <row r="275" spans="1:3" s="1017" customFormat="1">
      <c r="A275" s="369"/>
      <c r="B275" s="377"/>
      <c r="C275" s="480"/>
    </row>
    <row r="276" spans="1:3" s="1017" customFormat="1">
      <c r="A276" s="369"/>
      <c r="B276" s="377"/>
      <c r="C276" s="480"/>
    </row>
    <row r="277" spans="1:3" s="1017" customFormat="1">
      <c r="A277" s="369"/>
      <c r="B277" s="377"/>
      <c r="C277" s="480"/>
    </row>
    <row r="278" spans="1:3" s="1017" customFormat="1">
      <c r="A278" s="369"/>
      <c r="B278" s="377"/>
      <c r="C278" s="480"/>
    </row>
    <row r="279" spans="1:3" s="1017" customFormat="1">
      <c r="A279" s="369"/>
      <c r="B279" s="377"/>
      <c r="C279" s="480"/>
    </row>
    <row r="280" spans="1:3" s="1017" customFormat="1">
      <c r="A280" s="369"/>
      <c r="B280" s="377"/>
      <c r="C280" s="480"/>
    </row>
    <row r="281" spans="1:3" s="1017" customFormat="1">
      <c r="A281" s="369"/>
      <c r="B281" s="377"/>
      <c r="C281" s="480"/>
    </row>
    <row r="282" spans="1:3" s="1017" customFormat="1">
      <c r="A282" s="369"/>
      <c r="B282" s="377"/>
      <c r="C282" s="480"/>
    </row>
    <row r="283" spans="1:3" s="1017" customFormat="1">
      <c r="A283" s="369"/>
      <c r="B283" s="377"/>
      <c r="C283" s="480"/>
    </row>
    <row r="284" spans="1:3" s="1017" customFormat="1">
      <c r="A284" s="369"/>
      <c r="B284" s="377"/>
      <c r="C284" s="480"/>
    </row>
    <row r="285" spans="1:3" s="1017" customFormat="1">
      <c r="A285" s="369"/>
      <c r="B285" s="377"/>
      <c r="C285" s="480"/>
    </row>
    <row r="286" spans="1:3" s="1017" customFormat="1">
      <c r="A286" s="369"/>
      <c r="B286" s="377"/>
      <c r="C286" s="480"/>
    </row>
    <row r="287" spans="1:3" s="1017" customFormat="1">
      <c r="A287" s="369"/>
      <c r="B287" s="377"/>
      <c r="C287" s="480"/>
    </row>
    <row r="288" spans="1:3" s="1017" customFormat="1">
      <c r="A288" s="369"/>
      <c r="B288" s="377"/>
      <c r="C288" s="480"/>
    </row>
    <row r="289" spans="1:3" s="1017" customFormat="1">
      <c r="A289" s="1238"/>
      <c r="B289" s="1238"/>
      <c r="C289" s="480"/>
    </row>
    <row r="290" spans="1:3" s="1017" customFormat="1">
      <c r="A290" s="1238"/>
      <c r="B290" s="1238"/>
      <c r="C290" s="480"/>
    </row>
    <row r="291" spans="1:3" s="1017" customFormat="1">
      <c r="A291" s="369"/>
      <c r="B291" s="377"/>
      <c r="C291" s="480"/>
    </row>
    <row r="292" spans="1:3" s="1017" customFormat="1">
      <c r="A292" s="369"/>
      <c r="B292" s="377"/>
      <c r="C292" s="480"/>
    </row>
    <row r="293" spans="1:3" s="1017" customFormat="1">
      <c r="A293" s="369"/>
      <c r="B293" s="377"/>
      <c r="C293" s="480"/>
    </row>
    <row r="294" spans="1:3" s="1017" customFormat="1">
      <c r="A294" s="369"/>
      <c r="B294" s="377"/>
      <c r="C294" s="480"/>
    </row>
    <row r="295" spans="1:3" s="1017" customFormat="1">
      <c r="A295" s="369"/>
      <c r="B295" s="377"/>
      <c r="C295" s="480"/>
    </row>
    <row r="296" spans="1:3" s="1017" customFormat="1">
      <c r="A296" s="1233"/>
      <c r="B296" s="377"/>
      <c r="C296" s="377"/>
    </row>
    <row r="297" spans="1:3" s="1017" customFormat="1">
      <c r="A297" s="1239"/>
      <c r="B297" s="1239"/>
      <c r="C297" s="1239"/>
    </row>
    <row r="298" spans="1:3" s="1017" customFormat="1">
      <c r="A298" s="1233"/>
      <c r="B298" s="377"/>
      <c r="C298" s="377"/>
    </row>
    <row r="299" spans="1:3" s="1017" customFormat="1">
      <c r="A299" s="369"/>
      <c r="B299" s="377"/>
      <c r="C299" s="480"/>
    </row>
    <row r="300" spans="1:3" s="1017" customFormat="1">
      <c r="A300" s="369"/>
      <c r="B300" s="377"/>
      <c r="C300" s="480"/>
    </row>
    <row r="301" spans="1:3" s="1017" customFormat="1">
      <c r="A301" s="369"/>
      <c r="B301" s="377"/>
      <c r="C301" s="480"/>
    </row>
    <row r="302" spans="1:3" s="1017" customFormat="1">
      <c r="A302" s="369"/>
      <c r="B302" s="377"/>
      <c r="C302" s="480"/>
    </row>
    <row r="303" spans="1:3" s="1017" customFormat="1">
      <c r="A303" s="369"/>
      <c r="B303" s="377"/>
      <c r="C303" s="480"/>
    </row>
    <row r="304" spans="1:3" s="1017" customFormat="1">
      <c r="A304" s="369"/>
      <c r="B304" s="377"/>
      <c r="C304" s="480"/>
    </row>
    <row r="305" spans="1:3" s="1017" customFormat="1">
      <c r="A305" s="369"/>
      <c r="B305" s="377"/>
      <c r="C305" s="480"/>
    </row>
    <row r="306" spans="1:3" s="1017" customFormat="1">
      <c r="A306" s="369"/>
      <c r="B306" s="377"/>
      <c r="C306" s="480"/>
    </row>
    <row r="307" spans="1:3" s="1017" customFormat="1">
      <c r="A307" s="369"/>
      <c r="B307" s="377"/>
      <c r="C307" s="480"/>
    </row>
    <row r="308" spans="1:3" s="1017" customFormat="1">
      <c r="A308" s="369"/>
      <c r="B308" s="377"/>
      <c r="C308" s="480"/>
    </row>
    <row r="309" spans="1:3" s="1017" customFormat="1">
      <c r="A309" s="369"/>
      <c r="B309" s="377"/>
      <c r="C309" s="480"/>
    </row>
    <row r="310" spans="1:3" s="1017" customFormat="1">
      <c r="A310" s="369"/>
      <c r="B310" s="377"/>
      <c r="C310" s="480"/>
    </row>
    <row r="311" spans="1:3" s="1017" customFormat="1">
      <c r="A311" s="369"/>
      <c r="B311" s="377"/>
      <c r="C311" s="480"/>
    </row>
    <row r="312" spans="1:3" s="1017" customFormat="1">
      <c r="A312" s="369"/>
      <c r="B312" s="377"/>
      <c r="C312" s="480"/>
    </row>
    <row r="313" spans="1:3" s="1017" customFormat="1">
      <c r="A313" s="369"/>
      <c r="B313" s="377"/>
      <c r="C313" s="480"/>
    </row>
    <row r="314" spans="1:3" s="1017" customFormat="1">
      <c r="A314" s="369"/>
      <c r="B314" s="377"/>
      <c r="C314" s="480"/>
    </row>
    <row r="315" spans="1:3" s="1017" customFormat="1">
      <c r="A315" s="369"/>
      <c r="B315" s="377"/>
      <c r="C315" s="480"/>
    </row>
    <row r="316" spans="1:3" s="1017" customFormat="1">
      <c r="A316" s="369"/>
      <c r="B316" s="377"/>
      <c r="C316" s="480"/>
    </row>
    <row r="317" spans="1:3" s="1017" customFormat="1">
      <c r="A317" s="369"/>
      <c r="B317" s="377"/>
      <c r="C317" s="480"/>
    </row>
    <row r="318" spans="1:3" s="1017" customFormat="1">
      <c r="A318" s="369"/>
      <c r="B318" s="377"/>
      <c r="C318" s="480"/>
    </row>
    <row r="319" spans="1:3" s="1017" customFormat="1">
      <c r="A319" s="369"/>
      <c r="B319" s="377"/>
      <c r="C319" s="480"/>
    </row>
    <row r="320" spans="1:3" s="1017" customFormat="1">
      <c r="A320" s="369"/>
      <c r="B320" s="377"/>
      <c r="C320" s="480"/>
    </row>
    <row r="321" spans="1:3" s="1017" customFormat="1">
      <c r="A321" s="369"/>
      <c r="B321" s="377"/>
      <c r="C321" s="480"/>
    </row>
    <row r="322" spans="1:3" s="1017" customFormat="1">
      <c r="A322" s="369"/>
      <c r="B322" s="377"/>
      <c r="C322" s="480"/>
    </row>
    <row r="323" spans="1:3" s="1017" customFormat="1">
      <c r="A323" s="369"/>
      <c r="B323" s="377"/>
      <c r="C323" s="480"/>
    </row>
    <row r="324" spans="1:3" s="1017" customFormat="1">
      <c r="A324" s="369"/>
      <c r="B324" s="377"/>
      <c r="C324" s="480"/>
    </row>
    <row r="325" spans="1:3" s="1017" customFormat="1">
      <c r="A325" s="369"/>
      <c r="B325" s="377"/>
      <c r="C325" s="480"/>
    </row>
    <row r="326" spans="1:3" s="1017" customFormat="1">
      <c r="A326" s="369"/>
      <c r="B326" s="377"/>
      <c r="C326" s="480"/>
    </row>
    <row r="327" spans="1:3" s="1017" customFormat="1">
      <c r="A327" s="369"/>
      <c r="B327" s="377"/>
      <c r="C327" s="480"/>
    </row>
    <row r="328" spans="1:3" s="1017" customFormat="1">
      <c r="A328" s="369"/>
      <c r="B328" s="377"/>
      <c r="C328" s="480"/>
    </row>
    <row r="329" spans="1:3" s="1017" customFormat="1">
      <c r="A329" s="369"/>
      <c r="B329" s="377"/>
      <c r="C329" s="480"/>
    </row>
    <row r="330" spans="1:3" s="1017" customFormat="1">
      <c r="A330" s="369"/>
      <c r="B330" s="377"/>
      <c r="C330" s="480"/>
    </row>
    <row r="331" spans="1:3" s="1017" customFormat="1">
      <c r="A331" s="369"/>
      <c r="B331" s="377"/>
      <c r="C331" s="480"/>
    </row>
    <row r="332" spans="1:3" s="1017" customFormat="1">
      <c r="A332" s="369"/>
      <c r="B332" s="377"/>
      <c r="C332" s="480"/>
    </row>
    <row r="333" spans="1:3" s="1017" customFormat="1">
      <c r="A333" s="369"/>
      <c r="B333" s="377"/>
      <c r="C333" s="480"/>
    </row>
    <row r="334" spans="1:3" s="1017" customFormat="1">
      <c r="A334" s="369"/>
      <c r="B334" s="377"/>
      <c r="C334" s="480"/>
    </row>
    <row r="335" spans="1:3" s="1017" customFormat="1">
      <c r="A335" s="369"/>
      <c r="B335" s="377"/>
      <c r="C335" s="480"/>
    </row>
    <row r="336" spans="1:3" s="1017" customFormat="1">
      <c r="A336" s="369"/>
      <c r="B336" s="377"/>
      <c r="C336" s="480"/>
    </row>
    <row r="337" spans="1:3" s="1017" customFormat="1">
      <c r="A337" s="369"/>
      <c r="B337" s="377"/>
      <c r="C337" s="480"/>
    </row>
    <row r="338" spans="1:3" s="1017" customFormat="1">
      <c r="A338" s="369"/>
      <c r="B338" s="377"/>
      <c r="C338" s="480"/>
    </row>
    <row r="339" spans="1:3" s="1017" customFormat="1">
      <c r="A339" s="369"/>
      <c r="B339" s="377"/>
      <c r="C339" s="480"/>
    </row>
    <row r="340" spans="1:3" s="1017" customFormat="1">
      <c r="A340" s="369"/>
      <c r="B340" s="377"/>
      <c r="C340" s="480"/>
    </row>
    <row r="341" spans="1:3" s="1017" customFormat="1">
      <c r="A341" s="369"/>
      <c r="B341" s="377"/>
      <c r="C341" s="480"/>
    </row>
    <row r="342" spans="1:3" s="1017" customFormat="1">
      <c r="A342" s="369"/>
      <c r="B342" s="377"/>
      <c r="C342" s="480"/>
    </row>
    <row r="343" spans="1:3" s="1017" customFormat="1">
      <c r="A343" s="369"/>
      <c r="B343" s="377"/>
      <c r="C343" s="480"/>
    </row>
    <row r="344" spans="1:3" s="1017" customFormat="1">
      <c r="A344" s="369"/>
      <c r="B344" s="377"/>
      <c r="C344" s="480"/>
    </row>
    <row r="345" spans="1:3" s="1017" customFormat="1">
      <c r="A345" s="369"/>
      <c r="B345" s="377"/>
      <c r="C345" s="480"/>
    </row>
    <row r="346" spans="1:3" s="1017" customFormat="1">
      <c r="A346" s="369"/>
      <c r="B346" s="377"/>
      <c r="C346" s="480"/>
    </row>
    <row r="347" spans="1:3" s="1017" customFormat="1">
      <c r="A347" s="369"/>
      <c r="B347" s="377"/>
      <c r="C347" s="480"/>
    </row>
    <row r="348" spans="1:3" s="1017" customFormat="1">
      <c r="A348" s="369"/>
      <c r="B348" s="377"/>
      <c r="C348" s="480"/>
    </row>
    <row r="349" spans="1:3" s="1017" customFormat="1">
      <c r="A349" s="369"/>
      <c r="B349" s="377"/>
      <c r="C349" s="480"/>
    </row>
    <row r="350" spans="1:3" s="1017" customFormat="1">
      <c r="A350" s="369"/>
      <c r="B350" s="377"/>
      <c r="C350" s="480"/>
    </row>
    <row r="351" spans="1:3" s="1017" customFormat="1">
      <c r="A351" s="369"/>
      <c r="B351" s="377"/>
      <c r="C351" s="480"/>
    </row>
    <row r="352" spans="1:3" s="1017" customFormat="1">
      <c r="A352" s="369"/>
      <c r="B352" s="377"/>
      <c r="C352" s="480"/>
    </row>
    <row r="353" spans="1:3" s="1017" customFormat="1">
      <c r="A353" s="369"/>
      <c r="B353" s="377"/>
      <c r="C353" s="480"/>
    </row>
    <row r="354" spans="1:3" s="1017" customFormat="1">
      <c r="A354" s="369"/>
      <c r="B354" s="377"/>
      <c r="C354" s="480"/>
    </row>
    <row r="355" spans="1:3" s="1017" customFormat="1">
      <c r="A355" s="369"/>
      <c r="B355" s="377"/>
      <c r="C355" s="480"/>
    </row>
    <row r="356" spans="1:3" s="1017" customFormat="1">
      <c r="A356" s="369"/>
      <c r="B356" s="377"/>
      <c r="C356" s="480"/>
    </row>
    <row r="357" spans="1:3" s="1017" customFormat="1">
      <c r="A357" s="369"/>
      <c r="B357" s="377"/>
      <c r="C357" s="480"/>
    </row>
    <row r="358" spans="1:3" s="1017" customFormat="1">
      <c r="A358" s="369"/>
      <c r="B358" s="377"/>
      <c r="C358" s="480"/>
    </row>
    <row r="359" spans="1:3" s="1017" customFormat="1">
      <c r="A359" s="369"/>
      <c r="B359" s="377"/>
      <c r="C359" s="480"/>
    </row>
    <row r="360" spans="1:3" s="1017" customFormat="1">
      <c r="A360" s="369"/>
      <c r="B360" s="377"/>
      <c r="C360" s="480"/>
    </row>
    <row r="361" spans="1:3" s="1017" customFormat="1">
      <c r="A361" s="369"/>
      <c r="B361" s="377"/>
      <c r="C361" s="480"/>
    </row>
    <row r="362" spans="1:3" s="1017" customFormat="1">
      <c r="A362" s="369"/>
      <c r="B362" s="377"/>
      <c r="C362" s="480"/>
    </row>
    <row r="363" spans="1:3" s="1017" customFormat="1">
      <c r="A363" s="369"/>
      <c r="B363" s="377"/>
      <c r="C363" s="480"/>
    </row>
    <row r="364" spans="1:3" s="1017" customFormat="1">
      <c r="A364" s="369"/>
      <c r="B364" s="377"/>
      <c r="C364" s="480"/>
    </row>
    <row r="365" spans="1:3" s="1017" customFormat="1">
      <c r="A365" s="369"/>
      <c r="B365" s="377"/>
      <c r="C365" s="480"/>
    </row>
    <row r="366" spans="1:3" s="1017" customFormat="1">
      <c r="A366" s="369"/>
      <c r="B366" s="377"/>
      <c r="C366" s="480"/>
    </row>
    <row r="367" spans="1:3" s="1017" customFormat="1">
      <c r="A367" s="369"/>
      <c r="B367" s="377"/>
      <c r="C367" s="480"/>
    </row>
    <row r="368" spans="1:3" s="1017" customFormat="1">
      <c r="A368" s="369"/>
      <c r="B368" s="377"/>
      <c r="C368" s="480"/>
    </row>
    <row r="369" spans="1:3" s="1017" customFormat="1">
      <c r="A369" s="369"/>
      <c r="B369" s="377"/>
      <c r="C369" s="480"/>
    </row>
    <row r="370" spans="1:3" s="1017" customFormat="1">
      <c r="A370" s="369"/>
      <c r="B370" s="377"/>
      <c r="C370" s="480"/>
    </row>
    <row r="371" spans="1:3" s="1017" customFormat="1">
      <c r="A371" s="369"/>
      <c r="B371" s="377"/>
      <c r="C371" s="480"/>
    </row>
    <row r="372" spans="1:3" s="1017" customFormat="1">
      <c r="A372" s="369"/>
      <c r="B372" s="377"/>
      <c r="C372" s="480"/>
    </row>
    <row r="373" spans="1:3" s="1017" customFormat="1">
      <c r="A373" s="369"/>
      <c r="B373" s="377"/>
      <c r="C373" s="480"/>
    </row>
    <row r="374" spans="1:3" s="1017" customFormat="1">
      <c r="A374" s="369"/>
      <c r="B374" s="377"/>
      <c r="C374" s="480"/>
    </row>
    <row r="375" spans="1:3" s="1017" customFormat="1">
      <c r="A375" s="369"/>
      <c r="B375" s="377"/>
      <c r="C375" s="480"/>
    </row>
    <row r="376" spans="1:3" s="1017" customFormat="1">
      <c r="A376" s="369"/>
      <c r="B376" s="377"/>
      <c r="C376" s="480"/>
    </row>
    <row r="377" spans="1:3" s="1017" customFormat="1">
      <c r="A377" s="369"/>
      <c r="B377" s="377"/>
      <c r="C377" s="480"/>
    </row>
    <row r="378" spans="1:3" s="1017" customFormat="1">
      <c r="A378" s="369"/>
      <c r="B378" s="377"/>
      <c r="C378" s="480"/>
    </row>
    <row r="379" spans="1:3" s="1017" customFormat="1">
      <c r="A379" s="369"/>
      <c r="B379" s="377"/>
      <c r="C379" s="480"/>
    </row>
    <row r="380" spans="1:3" s="1017" customFormat="1">
      <c r="A380" s="369"/>
      <c r="B380" s="377"/>
      <c r="C380" s="480"/>
    </row>
    <row r="381" spans="1:3" s="1017" customFormat="1">
      <c r="A381" s="369"/>
      <c r="B381" s="377"/>
      <c r="C381" s="480"/>
    </row>
    <row r="382" spans="1:3" s="1017" customFormat="1">
      <c r="A382" s="369"/>
      <c r="B382" s="377"/>
      <c r="C382" s="480"/>
    </row>
    <row r="383" spans="1:3" s="1017" customFormat="1">
      <c r="A383" s="369"/>
      <c r="B383" s="377"/>
      <c r="C383" s="480"/>
    </row>
    <row r="384" spans="1:3" s="1017" customFormat="1">
      <c r="A384" s="369"/>
      <c r="B384" s="377"/>
      <c r="C384" s="480"/>
    </row>
    <row r="385" spans="1:3" s="1017" customFormat="1">
      <c r="A385" s="369"/>
      <c r="B385" s="377"/>
      <c r="C385" s="480"/>
    </row>
    <row r="386" spans="1:3" s="1017" customFormat="1">
      <c r="A386" s="369"/>
      <c r="B386" s="377"/>
      <c r="C386" s="480"/>
    </row>
    <row r="387" spans="1:3" s="1017" customFormat="1">
      <c r="A387" s="369"/>
      <c r="B387" s="377"/>
      <c r="C387" s="480"/>
    </row>
    <row r="388" spans="1:3" s="1017" customFormat="1">
      <c r="A388" s="369"/>
      <c r="B388" s="377"/>
      <c r="C388" s="480"/>
    </row>
    <row r="389" spans="1:3" s="1017" customFormat="1">
      <c r="A389" s="369"/>
      <c r="B389" s="377"/>
      <c r="C389" s="480"/>
    </row>
    <row r="390" spans="1:3" s="1017" customFormat="1">
      <c r="A390" s="369"/>
      <c r="B390" s="377"/>
      <c r="C390" s="480"/>
    </row>
    <row r="391" spans="1:3" s="1017" customFormat="1">
      <c r="A391" s="369"/>
      <c r="B391" s="377"/>
      <c r="C391" s="480"/>
    </row>
    <row r="392" spans="1:3" s="1017" customFormat="1">
      <c r="A392" s="369"/>
      <c r="B392" s="377"/>
      <c r="C392" s="480"/>
    </row>
    <row r="393" spans="1:3" s="1017" customFormat="1">
      <c r="A393" s="369"/>
      <c r="B393" s="377"/>
      <c r="C393" s="480"/>
    </row>
    <row r="394" spans="1:3" s="1017" customFormat="1">
      <c r="A394" s="369"/>
      <c r="B394" s="377"/>
      <c r="C394" s="480"/>
    </row>
    <row r="395" spans="1:3" s="1017" customFormat="1">
      <c r="A395" s="369"/>
      <c r="B395" s="377"/>
      <c r="C395" s="480"/>
    </row>
    <row r="396" spans="1:3" s="1017" customFormat="1">
      <c r="A396" s="369"/>
      <c r="B396" s="377"/>
      <c r="C396" s="480"/>
    </row>
    <row r="397" spans="1:3" s="1017" customFormat="1">
      <c r="A397" s="369"/>
      <c r="B397" s="377"/>
      <c r="C397" s="480"/>
    </row>
    <row r="398" spans="1:3" s="1017" customFormat="1">
      <c r="A398" s="369"/>
      <c r="B398" s="377"/>
      <c r="C398" s="480"/>
    </row>
    <row r="399" spans="1:3" s="1017" customFormat="1">
      <c r="A399" s="369"/>
      <c r="B399" s="377"/>
      <c r="C399" s="480"/>
    </row>
    <row r="400" spans="1:3" s="1017" customFormat="1">
      <c r="A400" s="1233"/>
      <c r="B400" s="377"/>
      <c r="C400" s="377"/>
    </row>
    <row r="401" spans="1:3" s="1017" customFormat="1">
      <c r="A401" s="1239"/>
      <c r="B401" s="1239"/>
      <c r="C401" s="1239"/>
    </row>
    <row r="402" spans="1:3" s="1017" customFormat="1">
      <c r="A402" s="1233"/>
      <c r="B402" s="377"/>
      <c r="C402" s="377"/>
    </row>
    <row r="403" spans="1:3" s="1017" customFormat="1">
      <c r="A403" s="369"/>
      <c r="B403" s="377"/>
      <c r="C403" s="480"/>
    </row>
    <row r="404" spans="1:3" s="1017" customFormat="1">
      <c r="A404" s="369"/>
      <c r="B404" s="377"/>
      <c r="C404" s="480"/>
    </row>
    <row r="405" spans="1:3" s="1017" customFormat="1">
      <c r="A405" s="1233"/>
      <c r="B405" s="377"/>
      <c r="C405" s="377"/>
    </row>
    <row r="406" spans="1:3" s="1017" customFormat="1">
      <c r="A406" s="1233"/>
      <c r="B406" s="377"/>
      <c r="C406" s="377"/>
    </row>
    <row r="407" spans="1:3" s="1017" customFormat="1">
      <c r="A407" s="1235"/>
      <c r="B407" s="1236"/>
      <c r="C407" s="1235"/>
    </row>
    <row r="408" spans="1:3" s="1017" customFormat="1">
      <c r="A408" s="1233"/>
      <c r="B408" s="377"/>
      <c r="C408" s="377"/>
    </row>
    <row r="409" spans="1:3" s="1017" customFormat="1">
      <c r="A409" s="1235"/>
      <c r="B409" s="1236"/>
      <c r="C409" s="1235"/>
    </row>
    <row r="410" spans="1:3" s="1017" customFormat="1">
      <c r="A410" s="1233"/>
      <c r="B410" s="377"/>
      <c r="C410" s="377"/>
    </row>
    <row r="411" spans="1:3" s="1017" customFormat="1">
      <c r="A411" s="1237"/>
      <c r="B411" s="377"/>
      <c r="C411" s="1240"/>
    </row>
    <row r="412" spans="1:3" s="1017" customFormat="1">
      <c r="A412" s="1233"/>
      <c r="B412" s="377"/>
      <c r="C412" s="377"/>
    </row>
    <row r="413" spans="1:3" s="1017" customFormat="1">
      <c r="A413" s="369"/>
      <c r="B413" s="377"/>
      <c r="C413" s="480"/>
    </row>
    <row r="414" spans="1:3" s="1017" customFormat="1">
      <c r="A414" s="369"/>
      <c r="B414" s="377"/>
      <c r="C414" s="480"/>
    </row>
    <row r="415" spans="1:3" s="1017" customFormat="1">
      <c r="A415" s="369"/>
      <c r="B415" s="377"/>
      <c r="C415" s="480"/>
    </row>
    <row r="416" spans="1:3" s="1017" customFormat="1">
      <c r="A416" s="369"/>
      <c r="B416" s="377"/>
      <c r="C416" s="480"/>
    </row>
    <row r="417" spans="1:3" s="1017" customFormat="1">
      <c r="A417" s="369"/>
      <c r="B417" s="377"/>
      <c r="C417" s="480"/>
    </row>
    <row r="418" spans="1:3" s="1017" customFormat="1">
      <c r="A418" s="369"/>
      <c r="B418" s="377"/>
      <c r="C418" s="480"/>
    </row>
    <row r="419" spans="1:3" s="1017" customFormat="1">
      <c r="A419" s="369"/>
      <c r="B419" s="377"/>
      <c r="C419" s="480"/>
    </row>
    <row r="420" spans="1:3" s="1017" customFormat="1">
      <c r="A420" s="1233"/>
      <c r="B420" s="377"/>
      <c r="C420" s="377"/>
    </row>
    <row r="421" spans="1:3" s="1017" customFormat="1">
      <c r="A421" s="1239"/>
      <c r="B421" s="1239"/>
      <c r="C421" s="1239"/>
    </row>
    <row r="422" spans="1:3" s="1017" customFormat="1">
      <c r="A422" s="1233"/>
      <c r="B422" s="377"/>
      <c r="C422" s="377"/>
    </row>
    <row r="423" spans="1:3" s="1017" customFormat="1">
      <c r="A423" s="369"/>
      <c r="B423" s="377"/>
      <c r="C423" s="480"/>
    </row>
    <row r="424" spans="1:3" s="1017" customFormat="1">
      <c r="A424" s="369"/>
      <c r="B424" s="377"/>
      <c r="C424" s="480"/>
    </row>
    <row r="425" spans="1:3" s="1017" customFormat="1">
      <c r="A425" s="369"/>
      <c r="B425" s="377"/>
      <c r="C425" s="480"/>
    </row>
    <row r="426" spans="1:3" s="1017" customFormat="1">
      <c r="A426" s="1233"/>
      <c r="B426" s="377"/>
      <c r="C426" s="377"/>
    </row>
    <row r="427" spans="1:3" s="1017" customFormat="1">
      <c r="A427" s="377"/>
      <c r="B427" s="377"/>
      <c r="C427" s="377"/>
    </row>
    <row r="428" spans="1:3" s="1017" customFormat="1">
      <c r="A428" s="1233"/>
      <c r="B428" s="377"/>
      <c r="C428" s="377"/>
    </row>
    <row r="429" spans="1:3" s="1017" customFormat="1">
      <c r="A429" s="369"/>
      <c r="B429" s="377"/>
      <c r="C429" s="480"/>
    </row>
    <row r="430" spans="1:3" s="1017" customFormat="1">
      <c r="A430" s="369"/>
      <c r="B430" s="377"/>
      <c r="C430" s="480"/>
    </row>
    <row r="431" spans="1:3" s="1017" customFormat="1">
      <c r="A431" s="369"/>
      <c r="B431" s="377"/>
      <c r="C431" s="480"/>
    </row>
    <row r="432" spans="1:3" s="1017" customFormat="1">
      <c r="A432" s="369"/>
      <c r="B432" s="377"/>
      <c r="C432" s="480"/>
    </row>
    <row r="433" spans="1:3" s="1017" customFormat="1">
      <c r="A433" s="369"/>
      <c r="B433" s="377"/>
      <c r="C433" s="480"/>
    </row>
    <row r="434" spans="1:3" s="1017" customFormat="1">
      <c r="A434" s="1233"/>
      <c r="B434" s="377"/>
      <c r="C434" s="377"/>
    </row>
    <row r="435" spans="1:3" s="1017" customFormat="1">
      <c r="A435" s="1233"/>
      <c r="B435" s="377"/>
      <c r="C435" s="377"/>
    </row>
    <row r="436" spans="1:3" s="1017" customFormat="1">
      <c r="A436" s="1235"/>
      <c r="B436" s="1236"/>
      <c r="C436" s="1235"/>
    </row>
    <row r="437" spans="1:3" s="1017" customFormat="1">
      <c r="A437" s="1233"/>
      <c r="B437" s="377"/>
      <c r="C437" s="377"/>
    </row>
    <row r="438" spans="1:3" s="1017" customFormat="1">
      <c r="A438" s="1235"/>
      <c r="B438" s="1236"/>
      <c r="C438" s="1235"/>
    </row>
    <row r="439" spans="1:3" s="1017" customFormat="1">
      <c r="A439" s="377"/>
      <c r="B439" s="377"/>
      <c r="C439" s="377"/>
    </row>
    <row r="440" spans="1:3" s="1017" customFormat="1">
      <c r="A440" s="1233"/>
      <c r="B440" s="377"/>
      <c r="C440" s="377"/>
    </row>
    <row r="441" spans="1:3" s="1017" customFormat="1">
      <c r="A441" s="369"/>
      <c r="B441" s="377"/>
      <c r="C441" s="480"/>
    </row>
    <row r="442" spans="1:3" s="1017" customFormat="1">
      <c r="A442" s="369"/>
      <c r="B442" s="377"/>
      <c r="C442" s="480"/>
    </row>
    <row r="443" spans="1:3" s="1017" customFormat="1">
      <c r="A443" s="369"/>
      <c r="B443" s="377"/>
      <c r="C443" s="480"/>
    </row>
    <row r="444" spans="1:3" s="1017" customFormat="1">
      <c r="A444" s="369"/>
      <c r="B444" s="377"/>
      <c r="C444" s="480"/>
    </row>
    <row r="445" spans="1:3" s="1017" customFormat="1">
      <c r="A445" s="369"/>
      <c r="B445" s="377"/>
      <c r="C445" s="480"/>
    </row>
    <row r="446" spans="1:3" s="1017" customFormat="1">
      <c r="A446" s="369"/>
      <c r="B446" s="377"/>
      <c r="C446" s="480"/>
    </row>
    <row r="447" spans="1:3" s="1017" customFormat="1">
      <c r="A447" s="1233"/>
      <c r="B447" s="377"/>
      <c r="C447" s="377"/>
    </row>
    <row r="448" spans="1:3" s="1017" customFormat="1">
      <c r="A448" s="1233"/>
      <c r="B448" s="377"/>
      <c r="C448" s="377"/>
    </row>
    <row r="449" spans="1:3" s="1017" customFormat="1">
      <c r="A449" s="1233"/>
      <c r="B449" s="377"/>
      <c r="C449" s="377"/>
    </row>
    <row r="450" spans="1:3" s="1017" customFormat="1">
      <c r="A450" s="369"/>
      <c r="B450" s="377"/>
      <c r="C450" s="480"/>
    </row>
    <row r="451" spans="1:3" s="1017" customFormat="1">
      <c r="A451" s="369"/>
      <c r="B451" s="377"/>
      <c r="C451" s="480"/>
    </row>
    <row r="452" spans="1:3" s="1017" customFormat="1">
      <c r="A452" s="369"/>
      <c r="B452" s="377"/>
      <c r="C452" s="480"/>
    </row>
    <row r="453" spans="1:3" s="1017" customFormat="1">
      <c r="A453" s="369"/>
      <c r="B453" s="377"/>
      <c r="C453" s="480"/>
    </row>
    <row r="454" spans="1:3" s="1017" customFormat="1">
      <c r="A454" s="1233"/>
      <c r="B454" s="377"/>
      <c r="C454" s="377"/>
    </row>
    <row r="455" spans="1:3" s="1017" customFormat="1">
      <c r="A455" s="377"/>
      <c r="B455" s="377"/>
      <c r="C455" s="377"/>
    </row>
    <row r="456" spans="1:3" s="1017" customFormat="1">
      <c r="A456" s="1233"/>
      <c r="B456" s="377"/>
      <c r="C456" s="377"/>
    </row>
    <row r="457" spans="1:3" s="1017" customFormat="1">
      <c r="A457" s="369"/>
      <c r="B457" s="377"/>
      <c r="C457" s="480"/>
    </row>
    <row r="458" spans="1:3" s="1017" customFormat="1">
      <c r="A458" s="369"/>
      <c r="B458" s="377"/>
      <c r="C458" s="480"/>
    </row>
    <row r="459" spans="1:3" s="1017" customFormat="1">
      <c r="A459" s="369"/>
      <c r="B459" s="377"/>
      <c r="C459" s="480"/>
    </row>
    <row r="460" spans="1:3" s="1017" customFormat="1">
      <c r="A460" s="1233"/>
      <c r="B460" s="377"/>
      <c r="C460" s="377"/>
    </row>
    <row r="461" spans="1:3" s="1017" customFormat="1">
      <c r="A461" s="1233"/>
      <c r="B461" s="377"/>
      <c r="C461" s="377"/>
    </row>
    <row r="462" spans="1:3" s="1017" customFormat="1">
      <c r="A462" s="1233"/>
      <c r="B462" s="377"/>
      <c r="C462" s="377"/>
    </row>
    <row r="463" spans="1:3" s="1017" customFormat="1">
      <c r="A463" s="369"/>
      <c r="B463" s="377"/>
      <c r="C463" s="480"/>
    </row>
    <row r="464" spans="1:3" s="1017" customFormat="1">
      <c r="A464" s="369"/>
      <c r="B464" s="377"/>
      <c r="C464" s="480"/>
    </row>
    <row r="465" spans="1:3" s="1017" customFormat="1">
      <c r="A465" s="369"/>
      <c r="B465" s="377"/>
      <c r="C465" s="480"/>
    </row>
    <row r="466" spans="1:3" s="1017" customFormat="1">
      <c r="A466" s="369"/>
      <c r="B466" s="377"/>
      <c r="C466" s="480"/>
    </row>
    <row r="467" spans="1:3" s="1017" customFormat="1">
      <c r="A467" s="369"/>
      <c r="B467" s="377"/>
      <c r="C467" s="480"/>
    </row>
    <row r="468" spans="1:3" s="1017" customFormat="1">
      <c r="A468" s="369"/>
      <c r="B468" s="377"/>
      <c r="C468" s="480"/>
    </row>
    <row r="469" spans="1:3" s="1017" customFormat="1">
      <c r="A469" s="369"/>
      <c r="B469" s="377"/>
      <c r="C469" s="480"/>
    </row>
    <row r="470" spans="1:3" s="1017" customFormat="1">
      <c r="A470" s="1233"/>
      <c r="B470" s="377"/>
      <c r="C470" s="377"/>
    </row>
    <row r="471" spans="1:3" s="1017" customFormat="1">
      <c r="A471" s="377"/>
      <c r="B471" s="377"/>
      <c r="C471" s="377"/>
    </row>
    <row r="472" spans="1:3" s="1017" customFormat="1">
      <c r="A472" s="1235"/>
      <c r="B472" s="1236"/>
      <c r="C472" s="1235"/>
    </row>
    <row r="473" spans="1:3" s="1017" customFormat="1">
      <c r="A473" s="1235"/>
      <c r="B473" s="1236"/>
      <c r="C473" s="1235"/>
    </row>
    <row r="474" spans="1:3" s="1017" customFormat="1">
      <c r="A474" s="1233"/>
      <c r="B474" s="377"/>
      <c r="C474" s="377"/>
    </row>
    <row r="475" spans="1:3" s="1017" customFormat="1">
      <c r="A475" s="369"/>
      <c r="B475" s="377"/>
      <c r="C475" s="480"/>
    </row>
    <row r="476" spans="1:3" s="1017" customFormat="1">
      <c r="A476" s="1233"/>
      <c r="B476" s="377"/>
      <c r="C476" s="377"/>
    </row>
    <row r="477" spans="1:3" s="1017" customFormat="1">
      <c r="A477" s="1233"/>
      <c r="B477" s="377"/>
      <c r="C477" s="377"/>
    </row>
    <row r="478" spans="1:3" s="1017" customFormat="1">
      <c r="A478" s="1235"/>
      <c r="B478" s="1236"/>
      <c r="C478" s="1235"/>
    </row>
    <row r="479" spans="1:3" s="1017" customFormat="1">
      <c r="A479" s="1233"/>
      <c r="B479" s="377"/>
      <c r="C479" s="377"/>
    </row>
    <row r="480" spans="1:3" s="1017" customFormat="1">
      <c r="A480" s="1233"/>
      <c r="B480" s="377"/>
      <c r="C480" s="377"/>
    </row>
    <row r="481" spans="1:5" s="1017" customFormat="1">
      <c r="A481" s="369"/>
      <c r="B481" s="377"/>
      <c r="C481" s="480"/>
    </row>
    <row r="482" spans="1:5" s="1017" customFormat="1">
      <c r="A482" s="369"/>
      <c r="B482" s="377"/>
      <c r="C482" s="480"/>
    </row>
    <row r="483" spans="1:5" s="1017" customFormat="1">
      <c r="A483" s="369"/>
      <c r="B483" s="377"/>
      <c r="C483" s="480"/>
    </row>
    <row r="484" spans="1:5" s="1017" customFormat="1">
      <c r="A484" s="369"/>
      <c r="B484" s="377"/>
      <c r="C484" s="480"/>
    </row>
    <row r="485" spans="1:5" s="1017" customFormat="1">
      <c r="A485" s="1233"/>
      <c r="B485" s="377"/>
      <c r="C485" s="377"/>
    </row>
    <row r="486" spans="1:5" s="1017" customFormat="1">
      <c r="A486" s="1233"/>
      <c r="B486" s="377"/>
      <c r="C486" s="377"/>
    </row>
    <row r="487" spans="1:5" s="1017" customFormat="1">
      <c r="A487" s="1235"/>
      <c r="B487" s="1236"/>
      <c r="C487" s="1235"/>
    </row>
    <row r="488" spans="1:5" s="1017" customFormat="1"/>
    <row r="489" spans="1:5" s="1017" customFormat="1">
      <c r="A489" s="1233"/>
      <c r="B489" s="377"/>
      <c r="C489" s="377"/>
    </row>
    <row r="490" spans="1:5" s="1017" customFormat="1">
      <c r="A490" s="369"/>
      <c r="B490" s="377"/>
      <c r="C490" s="480"/>
    </row>
    <row r="491" spans="1:5" s="1017" customFormat="1" ht="15" customHeight="1">
      <c r="A491" s="1233"/>
      <c r="B491" s="377"/>
      <c r="C491" s="377"/>
    </row>
    <row r="492" spans="1:5" s="1017" customFormat="1"/>
    <row r="493" spans="1:5" s="1017" customFormat="1">
      <c r="A493" s="1235"/>
      <c r="B493" s="1236"/>
      <c r="C493" s="1241"/>
    </row>
    <row r="494" spans="1:5" s="616" customFormat="1">
      <c r="C494" s="1242"/>
      <c r="D494" s="1017"/>
      <c r="E494" s="1017"/>
    </row>
    <row r="495" spans="1:5">
      <c r="B495"/>
      <c r="C495" s="376"/>
    </row>
    <row r="497" spans="2:7">
      <c r="B497"/>
      <c r="C497"/>
    </row>
    <row r="498" spans="2:7">
      <c r="B498"/>
      <c r="C498"/>
      <c r="D498" s="378"/>
    </row>
    <row r="499" spans="2:7">
      <c r="B499"/>
      <c r="C499"/>
    </row>
    <row r="500" spans="2:7">
      <c r="B500"/>
      <c r="C500"/>
    </row>
    <row r="501" spans="2:7">
      <c r="C501"/>
      <c r="G501" s="379"/>
    </row>
    <row r="502" spans="2:7">
      <c r="C502"/>
    </row>
    <row r="503" spans="2:7">
      <c r="C503"/>
      <c r="G503" s="379"/>
    </row>
    <row r="504" spans="2:7">
      <c r="C504"/>
      <c r="G504" s="379"/>
    </row>
    <row r="505" spans="2:7">
      <c r="C505"/>
      <c r="G505" s="379"/>
    </row>
    <row r="506" spans="2:7">
      <c r="C506"/>
      <c r="G506" s="379"/>
    </row>
    <row r="507" spans="2:7">
      <c r="G507" s="379"/>
    </row>
    <row r="508" spans="2:7">
      <c r="G508" s="379"/>
    </row>
    <row r="509" spans="2:7">
      <c r="G509" s="379"/>
    </row>
    <row r="510" spans="2:7" ht="15" customHeight="1">
      <c r="G510" s="379"/>
    </row>
    <row r="513" spans="7:7">
      <c r="G513" s="379"/>
    </row>
  </sheetData>
  <dataValidations disablePrompts="1" count="1">
    <dataValidation type="list" allowBlank="1" showInputMessage="1" showErrorMessage="1" sqref="C5">
      <formula1>"USD,CAD"</formula1>
    </dataValidation>
  </dataValidations>
  <pageMargins left="0.25" right="0.25" top="0.75" bottom="0.75" header="0.3" footer="0.3"/>
  <pageSetup scale="48" fitToHeight="3" pageOrder="overThenDown" orientation="portrait" r:id="rId1"/>
  <rowBreaks count="1" manualBreakCount="1">
    <brk id="51"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I26"/>
  <sheetViews>
    <sheetView showGridLines="0" view="pageBreakPreview" zoomScaleNormal="100" zoomScaleSheetLayoutView="100" workbookViewId="0">
      <selection activeCell="M29" sqref="M29"/>
    </sheetView>
  </sheetViews>
  <sheetFormatPr defaultRowHeight="15"/>
  <cols>
    <col min="1" max="1" width="25.5703125" style="710" customWidth="1"/>
    <col min="2" max="2" width="14" style="710" customWidth="1"/>
    <col min="3" max="3" width="12.5703125" style="710" customWidth="1"/>
    <col min="4" max="7" width="8.5703125" style="710" customWidth="1"/>
    <col min="8" max="16384" width="9.140625" style="710"/>
  </cols>
  <sheetData>
    <row r="1" spans="1:9">
      <c r="A1" s="711" t="s">
        <v>1272</v>
      </c>
    </row>
    <row r="2" spans="1:9">
      <c r="A2" s="711" t="s">
        <v>1271</v>
      </c>
    </row>
    <row r="4" spans="1:9" ht="89.25" customHeight="1">
      <c r="A4" s="1323" t="s">
        <v>1277</v>
      </c>
      <c r="B4" s="1323"/>
      <c r="C4" s="1323"/>
      <c r="D4" s="1323"/>
      <c r="E4" s="1323"/>
      <c r="F4" s="1323"/>
      <c r="G4" s="1323"/>
    </row>
    <row r="5" spans="1:9" ht="9" customHeight="1"/>
    <row r="6" spans="1:9" ht="9" customHeight="1">
      <c r="A6" s="730"/>
      <c r="B6" s="731"/>
      <c r="C6" s="732"/>
      <c r="G6" s="729"/>
      <c r="H6" s="729"/>
      <c r="I6" s="729"/>
    </row>
    <row r="7" spans="1:9">
      <c r="A7" s="727" t="s">
        <v>596</v>
      </c>
      <c r="B7" s="726" t="s">
        <v>84</v>
      </c>
      <c r="C7" s="728" t="s">
        <v>1270</v>
      </c>
      <c r="G7" s="723"/>
      <c r="H7" s="729"/>
      <c r="I7" s="729"/>
    </row>
    <row r="8" spans="1:9">
      <c r="A8" s="733" t="s">
        <v>1269</v>
      </c>
      <c r="B8" s="725">
        <v>68889157</v>
      </c>
      <c r="C8" s="734">
        <v>0.31917684170163879</v>
      </c>
      <c r="G8" s="723"/>
      <c r="H8" s="729"/>
      <c r="I8" s="729"/>
    </row>
    <row r="9" spans="1:9">
      <c r="A9" s="735" t="s">
        <v>1268</v>
      </c>
      <c r="B9" s="725">
        <v>44947124</v>
      </c>
      <c r="C9" s="736">
        <v>0.20824875360126602</v>
      </c>
      <c r="G9" s="723"/>
      <c r="H9" s="729"/>
      <c r="I9" s="729"/>
    </row>
    <row r="10" spans="1:9">
      <c r="A10" s="735" t="s">
        <v>1267</v>
      </c>
      <c r="B10" s="725">
        <v>970657</v>
      </c>
      <c r="C10" s="736">
        <v>4.4972423691523418E-3</v>
      </c>
      <c r="G10" s="723"/>
      <c r="H10" s="729"/>
      <c r="I10" s="729"/>
    </row>
    <row r="11" spans="1:9">
      <c r="A11" s="660" t="s">
        <v>1266</v>
      </c>
      <c r="B11" s="644">
        <v>3233426</v>
      </c>
      <c r="C11" s="703">
        <v>1.4981090544568039E-2</v>
      </c>
      <c r="G11" s="723"/>
      <c r="H11" s="729"/>
      <c r="I11" s="729"/>
    </row>
    <row r="12" spans="1:9">
      <c r="A12" s="735" t="s">
        <v>1265</v>
      </c>
      <c r="B12" s="725">
        <v>5392718</v>
      </c>
      <c r="C12" s="736">
        <v>2.4985509685182795E-2</v>
      </c>
      <c r="G12" s="723"/>
      <c r="H12" s="729"/>
      <c r="I12" s="729"/>
    </row>
    <row r="13" spans="1:9">
      <c r="A13" s="735" t="s">
        <v>1264</v>
      </c>
      <c r="B13" s="725">
        <v>25075870</v>
      </c>
      <c r="C13" s="736">
        <v>0.11618137509682218</v>
      </c>
      <c r="G13" s="723"/>
      <c r="H13" s="729"/>
      <c r="I13" s="729"/>
    </row>
    <row r="14" spans="1:9">
      <c r="A14" s="719" t="s">
        <v>1263</v>
      </c>
      <c r="B14" s="712">
        <v>1237301</v>
      </c>
      <c r="C14" s="720">
        <v>5.7326557997259189E-3</v>
      </c>
      <c r="G14" s="723"/>
      <c r="H14" s="729"/>
      <c r="I14" s="729"/>
    </row>
    <row r="15" spans="1:9">
      <c r="A15" s="735" t="s">
        <v>1262</v>
      </c>
      <c r="B15" s="725">
        <v>6027459</v>
      </c>
      <c r="C15" s="736">
        <v>2.7926387996098111E-2</v>
      </c>
      <c r="G15" s="723"/>
      <c r="H15" s="729"/>
      <c r="I15" s="729"/>
    </row>
    <row r="16" spans="1:9">
      <c r="A16" s="735" t="s">
        <v>1261</v>
      </c>
      <c r="B16" s="725">
        <v>16482344</v>
      </c>
      <c r="C16" s="736">
        <v>7.6365900395035408E-2</v>
      </c>
      <c r="G16" s="723"/>
      <c r="H16" s="729"/>
      <c r="I16" s="729"/>
    </row>
    <row r="17" spans="1:9">
      <c r="A17" s="735" t="s">
        <v>1260</v>
      </c>
      <c r="B17" s="725">
        <v>17341604</v>
      </c>
      <c r="C17" s="736">
        <v>8.0347018831432443E-2</v>
      </c>
      <c r="G17" s="723"/>
      <c r="H17" s="729"/>
      <c r="I17" s="729"/>
    </row>
    <row r="18" spans="1:9">
      <c r="A18" s="735" t="s">
        <v>1259</v>
      </c>
      <c r="B18" s="725">
        <v>5534803</v>
      </c>
      <c r="C18" s="736">
        <v>2.5643817081122875E-2</v>
      </c>
      <c r="G18" s="723"/>
      <c r="H18" s="729"/>
      <c r="I18" s="729"/>
    </row>
    <row r="19" spans="1:9">
      <c r="A19" s="735" t="s">
        <v>1258</v>
      </c>
      <c r="B19" s="725">
        <v>4808709</v>
      </c>
      <c r="C19" s="736">
        <v>2.2279682581719584E-2</v>
      </c>
      <c r="G19" s="723"/>
      <c r="H19" s="729"/>
      <c r="I19" s="729"/>
    </row>
    <row r="20" spans="1:9" ht="15.75" thickBot="1">
      <c r="A20" s="737" t="s">
        <v>1257</v>
      </c>
      <c r="B20" s="724">
        <v>15892648</v>
      </c>
      <c r="C20" s="738">
        <v>7.3633724316235522E-2</v>
      </c>
      <c r="G20" s="729"/>
      <c r="H20" s="729"/>
      <c r="I20" s="729"/>
    </row>
    <row r="21" spans="1:9" ht="15.75" thickBot="1">
      <c r="B21" s="739">
        <f>SUM(B8:B20)</f>
        <v>215833820</v>
      </c>
      <c r="C21" s="740">
        <v>1</v>
      </c>
      <c r="G21" s="729"/>
      <c r="H21" s="729"/>
      <c r="I21" s="729"/>
    </row>
    <row r="22" spans="1:9" ht="11.25" customHeight="1"/>
    <row r="23" spans="1:9">
      <c r="B23" s="721" t="s">
        <v>1256</v>
      </c>
      <c r="C23" s="715">
        <v>317859</v>
      </c>
    </row>
    <row r="24" spans="1:9" ht="11.25" customHeight="1">
      <c r="B24" s="721"/>
      <c r="C24" s="741"/>
    </row>
    <row r="25" spans="1:9">
      <c r="B25" s="721" t="s">
        <v>1301</v>
      </c>
      <c r="C25" s="715">
        <f>C23*C14</f>
        <v>1822.1762398450808</v>
      </c>
    </row>
    <row r="26" spans="1:9">
      <c r="B26" s="708" t="s">
        <v>171</v>
      </c>
      <c r="C26" s="741">
        <f>+C25*0.0765</f>
        <v>139.39648234814868</v>
      </c>
    </row>
  </sheetData>
  <mergeCells count="1">
    <mergeCell ref="A4:G4"/>
  </mergeCells>
  <pageMargins left="0.7" right="0.7" top="0.75" bottom="0.75" header="0.3" footer="0.3"/>
  <pageSetup scale="94"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J503"/>
  <sheetViews>
    <sheetView showGridLines="0" topLeftCell="A212" zoomScaleNormal="100" workbookViewId="0">
      <selection activeCell="G279" sqref="G279"/>
    </sheetView>
  </sheetViews>
  <sheetFormatPr defaultColWidth="13.85546875" defaultRowHeight="12.75" outlineLevelRow="1"/>
  <cols>
    <col min="1" max="1" width="2.7109375" style="106" customWidth="1"/>
    <col min="2" max="2" width="11.7109375" style="106" hidden="1" customWidth="1"/>
    <col min="3" max="3" width="1.28515625" style="106" customWidth="1"/>
    <col min="4" max="4" width="7.85546875" style="106" customWidth="1"/>
    <col min="5" max="5" width="2" style="106" customWidth="1"/>
    <col min="6" max="6" width="1.42578125" style="106" customWidth="1"/>
    <col min="7" max="7" width="30.140625" style="106" customWidth="1"/>
    <col min="8" max="9" width="1.42578125" style="106" customWidth="1"/>
    <col min="10" max="10" width="13.5703125" style="173" customWidth="1"/>
    <col min="11" max="11" width="0.85546875" style="106" customWidth="1"/>
    <col min="12" max="12" width="13.5703125" style="173" customWidth="1"/>
    <col min="13" max="13" width="0.85546875" style="106" customWidth="1"/>
    <col min="14" max="14" width="13.5703125" style="173" customWidth="1"/>
    <col min="15" max="15" width="1" style="106" customWidth="1"/>
    <col min="16" max="16" width="13.5703125" style="173" customWidth="1"/>
    <col min="17" max="17" width="0.85546875" style="106" customWidth="1"/>
    <col min="18" max="18" width="13.5703125" style="173" customWidth="1"/>
    <col min="19" max="19" width="0.85546875" style="106" customWidth="1"/>
    <col min="20" max="20" width="13.5703125" style="173" customWidth="1"/>
    <col min="21" max="21" width="0.7109375" style="106" customWidth="1"/>
    <col min="22" max="22" width="13.5703125" style="173" customWidth="1"/>
    <col min="23" max="23" width="0.85546875" style="106" customWidth="1"/>
    <col min="24" max="24" width="13.5703125" style="173" customWidth="1"/>
    <col min="25" max="25" width="0.85546875" style="106" customWidth="1"/>
    <col min="26" max="26" width="13.5703125" style="173" customWidth="1"/>
    <col min="27" max="27" width="1" style="106" customWidth="1"/>
    <col min="28" max="28" width="13.5703125" style="173" customWidth="1"/>
    <col min="29" max="29" width="0.85546875" style="106" customWidth="1"/>
    <col min="30" max="30" width="13.5703125" style="173" customWidth="1"/>
    <col min="31" max="31" width="0.85546875" style="106" customWidth="1"/>
    <col min="32" max="32" width="13.5703125" style="173" customWidth="1"/>
    <col min="33" max="33" width="0.85546875" style="106" customWidth="1"/>
    <col min="34" max="34" width="13.5703125" style="173" customWidth="1"/>
    <col min="35" max="35" width="0.42578125" style="106" customWidth="1"/>
    <col min="36" max="36" width="1.42578125" style="106" customWidth="1"/>
    <col min="37" max="259" width="13.85546875" style="106"/>
    <col min="260" max="260" width="7.85546875" style="106" customWidth="1"/>
    <col min="261" max="262" width="2.28515625" style="106" customWidth="1"/>
    <col min="263" max="263" width="31.42578125" style="106" customWidth="1"/>
    <col min="264" max="264" width="2.28515625" style="106" customWidth="1"/>
    <col min="265" max="265" width="2.140625" style="106" customWidth="1"/>
    <col min="266" max="266" width="12.28515625" style="106" customWidth="1"/>
    <col min="267" max="267" width="1.5703125" style="106" customWidth="1"/>
    <col min="268" max="268" width="12.28515625" style="106" customWidth="1"/>
    <col min="269" max="269" width="1.5703125" style="106" customWidth="1"/>
    <col min="270" max="270" width="12.28515625" style="106" customWidth="1"/>
    <col min="271" max="271" width="1.5703125" style="106" customWidth="1"/>
    <col min="272" max="272" width="13.5703125" style="106" customWidth="1"/>
    <col min="273" max="273" width="0.85546875" style="106" customWidth="1"/>
    <col min="274" max="274" width="12.28515625" style="106" customWidth="1"/>
    <col min="275" max="275" width="1.5703125" style="106" customWidth="1"/>
    <col min="276" max="276" width="12.28515625" style="106" customWidth="1"/>
    <col min="277" max="277" width="1.5703125" style="106" customWidth="1"/>
    <col min="278" max="278" width="12.28515625" style="106" customWidth="1"/>
    <col min="279" max="279" width="0.85546875" style="106" customWidth="1"/>
    <col min="280" max="280" width="12.28515625" style="106" customWidth="1"/>
    <col min="281" max="281" width="1.5703125" style="106" customWidth="1"/>
    <col min="282" max="282" width="12.28515625" style="106" customWidth="1"/>
    <col min="283" max="283" width="1.5703125" style="106" customWidth="1"/>
    <col min="284" max="284" width="12.28515625" style="106" customWidth="1"/>
    <col min="285" max="285" width="0.85546875" style="106" customWidth="1"/>
    <col min="286" max="286" width="12.28515625" style="106" customWidth="1"/>
    <col min="287" max="287" width="1.5703125" style="106" customWidth="1"/>
    <col min="288" max="288" width="12.28515625" style="106" customWidth="1"/>
    <col min="289" max="289" width="1.5703125" style="106" customWidth="1"/>
    <col min="290" max="290" width="12.28515625" style="106" customWidth="1"/>
    <col min="291" max="291" width="4.5703125" style="106" customWidth="1"/>
    <col min="292" max="292" width="1.42578125" style="106" customWidth="1"/>
    <col min="293" max="515" width="13.85546875" style="106"/>
    <col min="516" max="516" width="7.85546875" style="106" customWidth="1"/>
    <col min="517" max="518" width="2.28515625" style="106" customWidth="1"/>
    <col min="519" max="519" width="31.42578125" style="106" customWidth="1"/>
    <col min="520" max="520" width="2.28515625" style="106" customWidth="1"/>
    <col min="521" max="521" width="2.140625" style="106" customWidth="1"/>
    <col min="522" max="522" width="12.28515625" style="106" customWidth="1"/>
    <col min="523" max="523" width="1.5703125" style="106" customWidth="1"/>
    <col min="524" max="524" width="12.28515625" style="106" customWidth="1"/>
    <col min="525" max="525" width="1.5703125" style="106" customWidth="1"/>
    <col min="526" max="526" width="12.28515625" style="106" customWidth="1"/>
    <col min="527" max="527" width="1.5703125" style="106" customWidth="1"/>
    <col min="528" max="528" width="13.5703125" style="106" customWidth="1"/>
    <col min="529" max="529" width="0.85546875" style="106" customWidth="1"/>
    <col min="530" max="530" width="12.28515625" style="106" customWidth="1"/>
    <col min="531" max="531" width="1.5703125" style="106" customWidth="1"/>
    <col min="532" max="532" width="12.28515625" style="106" customWidth="1"/>
    <col min="533" max="533" width="1.5703125" style="106" customWidth="1"/>
    <col min="534" max="534" width="12.28515625" style="106" customWidth="1"/>
    <col min="535" max="535" width="0.85546875" style="106" customWidth="1"/>
    <col min="536" max="536" width="12.28515625" style="106" customWidth="1"/>
    <col min="537" max="537" width="1.5703125" style="106" customWidth="1"/>
    <col min="538" max="538" width="12.28515625" style="106" customWidth="1"/>
    <col min="539" max="539" width="1.5703125" style="106" customWidth="1"/>
    <col min="540" max="540" width="12.28515625" style="106" customWidth="1"/>
    <col min="541" max="541" width="0.85546875" style="106" customWidth="1"/>
    <col min="542" max="542" width="12.28515625" style="106" customWidth="1"/>
    <col min="543" max="543" width="1.5703125" style="106" customWidth="1"/>
    <col min="544" max="544" width="12.28515625" style="106" customWidth="1"/>
    <col min="545" max="545" width="1.5703125" style="106" customWidth="1"/>
    <col min="546" max="546" width="12.28515625" style="106" customWidth="1"/>
    <col min="547" max="547" width="4.5703125" style="106" customWidth="1"/>
    <col min="548" max="548" width="1.42578125" style="106" customWidth="1"/>
    <col min="549" max="771" width="13.85546875" style="106"/>
    <col min="772" max="772" width="7.85546875" style="106" customWidth="1"/>
    <col min="773" max="774" width="2.28515625" style="106" customWidth="1"/>
    <col min="775" max="775" width="31.42578125" style="106" customWidth="1"/>
    <col min="776" max="776" width="2.28515625" style="106" customWidth="1"/>
    <col min="777" max="777" width="2.140625" style="106" customWidth="1"/>
    <col min="778" max="778" width="12.28515625" style="106" customWidth="1"/>
    <col min="779" max="779" width="1.5703125" style="106" customWidth="1"/>
    <col min="780" max="780" width="12.28515625" style="106" customWidth="1"/>
    <col min="781" max="781" width="1.5703125" style="106" customWidth="1"/>
    <col min="782" max="782" width="12.28515625" style="106" customWidth="1"/>
    <col min="783" max="783" width="1.5703125" style="106" customWidth="1"/>
    <col min="784" max="784" width="13.5703125" style="106" customWidth="1"/>
    <col min="785" max="785" width="0.85546875" style="106" customWidth="1"/>
    <col min="786" max="786" width="12.28515625" style="106" customWidth="1"/>
    <col min="787" max="787" width="1.5703125" style="106" customWidth="1"/>
    <col min="788" max="788" width="12.28515625" style="106" customWidth="1"/>
    <col min="789" max="789" width="1.5703125" style="106" customWidth="1"/>
    <col min="790" max="790" width="12.28515625" style="106" customWidth="1"/>
    <col min="791" max="791" width="0.85546875" style="106" customWidth="1"/>
    <col min="792" max="792" width="12.28515625" style="106" customWidth="1"/>
    <col min="793" max="793" width="1.5703125" style="106" customWidth="1"/>
    <col min="794" max="794" width="12.28515625" style="106" customWidth="1"/>
    <col min="795" max="795" width="1.5703125" style="106" customWidth="1"/>
    <col min="796" max="796" width="12.28515625" style="106" customWidth="1"/>
    <col min="797" max="797" width="0.85546875" style="106" customWidth="1"/>
    <col min="798" max="798" width="12.28515625" style="106" customWidth="1"/>
    <col min="799" max="799" width="1.5703125" style="106" customWidth="1"/>
    <col min="800" max="800" width="12.28515625" style="106" customWidth="1"/>
    <col min="801" max="801" width="1.5703125" style="106" customWidth="1"/>
    <col min="802" max="802" width="12.28515625" style="106" customWidth="1"/>
    <col min="803" max="803" width="4.5703125" style="106" customWidth="1"/>
    <col min="804" max="804" width="1.42578125" style="106" customWidth="1"/>
    <col min="805" max="1027" width="13.85546875" style="106"/>
    <col min="1028" max="1028" width="7.85546875" style="106" customWidth="1"/>
    <col min="1029" max="1030" width="2.28515625" style="106" customWidth="1"/>
    <col min="1031" max="1031" width="31.42578125" style="106" customWidth="1"/>
    <col min="1032" max="1032" width="2.28515625" style="106" customWidth="1"/>
    <col min="1033" max="1033" width="2.140625" style="106" customWidth="1"/>
    <col min="1034" max="1034" width="12.28515625" style="106" customWidth="1"/>
    <col min="1035" max="1035" width="1.5703125" style="106" customWidth="1"/>
    <col min="1036" max="1036" width="12.28515625" style="106" customWidth="1"/>
    <col min="1037" max="1037" width="1.5703125" style="106" customWidth="1"/>
    <col min="1038" max="1038" width="12.28515625" style="106" customWidth="1"/>
    <col min="1039" max="1039" width="1.5703125" style="106" customWidth="1"/>
    <col min="1040" max="1040" width="13.5703125" style="106" customWidth="1"/>
    <col min="1041" max="1041" width="0.85546875" style="106" customWidth="1"/>
    <col min="1042" max="1042" width="12.28515625" style="106" customWidth="1"/>
    <col min="1043" max="1043" width="1.5703125" style="106" customWidth="1"/>
    <col min="1044" max="1044" width="12.28515625" style="106" customWidth="1"/>
    <col min="1045" max="1045" width="1.5703125" style="106" customWidth="1"/>
    <col min="1046" max="1046" width="12.28515625" style="106" customWidth="1"/>
    <col min="1047" max="1047" width="0.85546875" style="106" customWidth="1"/>
    <col min="1048" max="1048" width="12.28515625" style="106" customWidth="1"/>
    <col min="1049" max="1049" width="1.5703125" style="106" customWidth="1"/>
    <col min="1050" max="1050" width="12.28515625" style="106" customWidth="1"/>
    <col min="1051" max="1051" width="1.5703125" style="106" customWidth="1"/>
    <col min="1052" max="1052" width="12.28515625" style="106" customWidth="1"/>
    <col min="1053" max="1053" width="0.85546875" style="106" customWidth="1"/>
    <col min="1054" max="1054" width="12.28515625" style="106" customWidth="1"/>
    <col min="1055" max="1055" width="1.5703125" style="106" customWidth="1"/>
    <col min="1056" max="1056" width="12.28515625" style="106" customWidth="1"/>
    <col min="1057" max="1057" width="1.5703125" style="106" customWidth="1"/>
    <col min="1058" max="1058" width="12.28515625" style="106" customWidth="1"/>
    <col min="1059" max="1059" width="4.5703125" style="106" customWidth="1"/>
    <col min="1060" max="1060" width="1.42578125" style="106" customWidth="1"/>
    <col min="1061" max="1283" width="13.85546875" style="106"/>
    <col min="1284" max="1284" width="7.85546875" style="106" customWidth="1"/>
    <col min="1285" max="1286" width="2.28515625" style="106" customWidth="1"/>
    <col min="1287" max="1287" width="31.42578125" style="106" customWidth="1"/>
    <col min="1288" max="1288" width="2.28515625" style="106" customWidth="1"/>
    <col min="1289" max="1289" width="2.140625" style="106" customWidth="1"/>
    <col min="1290" max="1290" width="12.28515625" style="106" customWidth="1"/>
    <col min="1291" max="1291" width="1.5703125" style="106" customWidth="1"/>
    <col min="1292" max="1292" width="12.28515625" style="106" customWidth="1"/>
    <col min="1293" max="1293" width="1.5703125" style="106" customWidth="1"/>
    <col min="1294" max="1294" width="12.28515625" style="106" customWidth="1"/>
    <col min="1295" max="1295" width="1.5703125" style="106" customWidth="1"/>
    <col min="1296" max="1296" width="13.5703125" style="106" customWidth="1"/>
    <col min="1297" max="1297" width="0.85546875" style="106" customWidth="1"/>
    <col min="1298" max="1298" width="12.28515625" style="106" customWidth="1"/>
    <col min="1299" max="1299" width="1.5703125" style="106" customWidth="1"/>
    <col min="1300" max="1300" width="12.28515625" style="106" customWidth="1"/>
    <col min="1301" max="1301" width="1.5703125" style="106" customWidth="1"/>
    <col min="1302" max="1302" width="12.28515625" style="106" customWidth="1"/>
    <col min="1303" max="1303" width="0.85546875" style="106" customWidth="1"/>
    <col min="1304" max="1304" width="12.28515625" style="106" customWidth="1"/>
    <col min="1305" max="1305" width="1.5703125" style="106" customWidth="1"/>
    <col min="1306" max="1306" width="12.28515625" style="106" customWidth="1"/>
    <col min="1307" max="1307" width="1.5703125" style="106" customWidth="1"/>
    <col min="1308" max="1308" width="12.28515625" style="106" customWidth="1"/>
    <col min="1309" max="1309" width="0.85546875" style="106" customWidth="1"/>
    <col min="1310" max="1310" width="12.28515625" style="106" customWidth="1"/>
    <col min="1311" max="1311" width="1.5703125" style="106" customWidth="1"/>
    <col min="1312" max="1312" width="12.28515625" style="106" customWidth="1"/>
    <col min="1313" max="1313" width="1.5703125" style="106" customWidth="1"/>
    <col min="1314" max="1314" width="12.28515625" style="106" customWidth="1"/>
    <col min="1315" max="1315" width="4.5703125" style="106" customWidth="1"/>
    <col min="1316" max="1316" width="1.42578125" style="106" customWidth="1"/>
    <col min="1317" max="1539" width="13.85546875" style="106"/>
    <col min="1540" max="1540" width="7.85546875" style="106" customWidth="1"/>
    <col min="1541" max="1542" width="2.28515625" style="106" customWidth="1"/>
    <col min="1543" max="1543" width="31.42578125" style="106" customWidth="1"/>
    <col min="1544" max="1544" width="2.28515625" style="106" customWidth="1"/>
    <col min="1545" max="1545" width="2.140625" style="106" customWidth="1"/>
    <col min="1546" max="1546" width="12.28515625" style="106" customWidth="1"/>
    <col min="1547" max="1547" width="1.5703125" style="106" customWidth="1"/>
    <col min="1548" max="1548" width="12.28515625" style="106" customWidth="1"/>
    <col min="1549" max="1549" width="1.5703125" style="106" customWidth="1"/>
    <col min="1550" max="1550" width="12.28515625" style="106" customWidth="1"/>
    <col min="1551" max="1551" width="1.5703125" style="106" customWidth="1"/>
    <col min="1552" max="1552" width="13.5703125" style="106" customWidth="1"/>
    <col min="1553" max="1553" width="0.85546875" style="106" customWidth="1"/>
    <col min="1554" max="1554" width="12.28515625" style="106" customWidth="1"/>
    <col min="1555" max="1555" width="1.5703125" style="106" customWidth="1"/>
    <col min="1556" max="1556" width="12.28515625" style="106" customWidth="1"/>
    <col min="1557" max="1557" width="1.5703125" style="106" customWidth="1"/>
    <col min="1558" max="1558" width="12.28515625" style="106" customWidth="1"/>
    <col min="1559" max="1559" width="0.85546875" style="106" customWidth="1"/>
    <col min="1560" max="1560" width="12.28515625" style="106" customWidth="1"/>
    <col min="1561" max="1561" width="1.5703125" style="106" customWidth="1"/>
    <col min="1562" max="1562" width="12.28515625" style="106" customWidth="1"/>
    <col min="1563" max="1563" width="1.5703125" style="106" customWidth="1"/>
    <col min="1564" max="1564" width="12.28515625" style="106" customWidth="1"/>
    <col min="1565" max="1565" width="0.85546875" style="106" customWidth="1"/>
    <col min="1566" max="1566" width="12.28515625" style="106" customWidth="1"/>
    <col min="1567" max="1567" width="1.5703125" style="106" customWidth="1"/>
    <col min="1568" max="1568" width="12.28515625" style="106" customWidth="1"/>
    <col min="1569" max="1569" width="1.5703125" style="106" customWidth="1"/>
    <col min="1570" max="1570" width="12.28515625" style="106" customWidth="1"/>
    <col min="1571" max="1571" width="4.5703125" style="106" customWidth="1"/>
    <col min="1572" max="1572" width="1.42578125" style="106" customWidth="1"/>
    <col min="1573" max="1795" width="13.85546875" style="106"/>
    <col min="1796" max="1796" width="7.85546875" style="106" customWidth="1"/>
    <col min="1797" max="1798" width="2.28515625" style="106" customWidth="1"/>
    <col min="1799" max="1799" width="31.42578125" style="106" customWidth="1"/>
    <col min="1800" max="1800" width="2.28515625" style="106" customWidth="1"/>
    <col min="1801" max="1801" width="2.140625" style="106" customWidth="1"/>
    <col min="1802" max="1802" width="12.28515625" style="106" customWidth="1"/>
    <col min="1803" max="1803" width="1.5703125" style="106" customWidth="1"/>
    <col min="1804" max="1804" width="12.28515625" style="106" customWidth="1"/>
    <col min="1805" max="1805" width="1.5703125" style="106" customWidth="1"/>
    <col min="1806" max="1806" width="12.28515625" style="106" customWidth="1"/>
    <col min="1807" max="1807" width="1.5703125" style="106" customWidth="1"/>
    <col min="1808" max="1808" width="13.5703125" style="106" customWidth="1"/>
    <col min="1809" max="1809" width="0.85546875" style="106" customWidth="1"/>
    <col min="1810" max="1810" width="12.28515625" style="106" customWidth="1"/>
    <col min="1811" max="1811" width="1.5703125" style="106" customWidth="1"/>
    <col min="1812" max="1812" width="12.28515625" style="106" customWidth="1"/>
    <col min="1813" max="1813" width="1.5703125" style="106" customWidth="1"/>
    <col min="1814" max="1814" width="12.28515625" style="106" customWidth="1"/>
    <col min="1815" max="1815" width="0.85546875" style="106" customWidth="1"/>
    <col min="1816" max="1816" width="12.28515625" style="106" customWidth="1"/>
    <col min="1817" max="1817" width="1.5703125" style="106" customWidth="1"/>
    <col min="1818" max="1818" width="12.28515625" style="106" customWidth="1"/>
    <col min="1819" max="1819" width="1.5703125" style="106" customWidth="1"/>
    <col min="1820" max="1820" width="12.28515625" style="106" customWidth="1"/>
    <col min="1821" max="1821" width="0.85546875" style="106" customWidth="1"/>
    <col min="1822" max="1822" width="12.28515625" style="106" customWidth="1"/>
    <col min="1823" max="1823" width="1.5703125" style="106" customWidth="1"/>
    <col min="1824" max="1824" width="12.28515625" style="106" customWidth="1"/>
    <col min="1825" max="1825" width="1.5703125" style="106" customWidth="1"/>
    <col min="1826" max="1826" width="12.28515625" style="106" customWidth="1"/>
    <col min="1827" max="1827" width="4.5703125" style="106" customWidth="1"/>
    <col min="1828" max="1828" width="1.42578125" style="106" customWidth="1"/>
    <col min="1829" max="2051" width="13.85546875" style="106"/>
    <col min="2052" max="2052" width="7.85546875" style="106" customWidth="1"/>
    <col min="2053" max="2054" width="2.28515625" style="106" customWidth="1"/>
    <col min="2055" max="2055" width="31.42578125" style="106" customWidth="1"/>
    <col min="2056" max="2056" width="2.28515625" style="106" customWidth="1"/>
    <col min="2057" max="2057" width="2.140625" style="106" customWidth="1"/>
    <col min="2058" max="2058" width="12.28515625" style="106" customWidth="1"/>
    <col min="2059" max="2059" width="1.5703125" style="106" customWidth="1"/>
    <col min="2060" max="2060" width="12.28515625" style="106" customWidth="1"/>
    <col min="2061" max="2061" width="1.5703125" style="106" customWidth="1"/>
    <col min="2062" max="2062" width="12.28515625" style="106" customWidth="1"/>
    <col min="2063" max="2063" width="1.5703125" style="106" customWidth="1"/>
    <col min="2064" max="2064" width="13.5703125" style="106" customWidth="1"/>
    <col min="2065" max="2065" width="0.85546875" style="106" customWidth="1"/>
    <col min="2066" max="2066" width="12.28515625" style="106" customWidth="1"/>
    <col min="2067" max="2067" width="1.5703125" style="106" customWidth="1"/>
    <col min="2068" max="2068" width="12.28515625" style="106" customWidth="1"/>
    <col min="2069" max="2069" width="1.5703125" style="106" customWidth="1"/>
    <col min="2070" max="2070" width="12.28515625" style="106" customWidth="1"/>
    <col min="2071" max="2071" width="0.85546875" style="106" customWidth="1"/>
    <col min="2072" max="2072" width="12.28515625" style="106" customWidth="1"/>
    <col min="2073" max="2073" width="1.5703125" style="106" customWidth="1"/>
    <col min="2074" max="2074" width="12.28515625" style="106" customWidth="1"/>
    <col min="2075" max="2075" width="1.5703125" style="106" customWidth="1"/>
    <col min="2076" max="2076" width="12.28515625" style="106" customWidth="1"/>
    <col min="2077" max="2077" width="0.85546875" style="106" customWidth="1"/>
    <col min="2078" max="2078" width="12.28515625" style="106" customWidth="1"/>
    <col min="2079" max="2079" width="1.5703125" style="106" customWidth="1"/>
    <col min="2080" max="2080" width="12.28515625" style="106" customWidth="1"/>
    <col min="2081" max="2081" width="1.5703125" style="106" customWidth="1"/>
    <col min="2082" max="2082" width="12.28515625" style="106" customWidth="1"/>
    <col min="2083" max="2083" width="4.5703125" style="106" customWidth="1"/>
    <col min="2084" max="2084" width="1.42578125" style="106" customWidth="1"/>
    <col min="2085" max="2307" width="13.85546875" style="106"/>
    <col min="2308" max="2308" width="7.85546875" style="106" customWidth="1"/>
    <col min="2309" max="2310" width="2.28515625" style="106" customWidth="1"/>
    <col min="2311" max="2311" width="31.42578125" style="106" customWidth="1"/>
    <col min="2312" max="2312" width="2.28515625" style="106" customWidth="1"/>
    <col min="2313" max="2313" width="2.140625" style="106" customWidth="1"/>
    <col min="2314" max="2314" width="12.28515625" style="106" customWidth="1"/>
    <col min="2315" max="2315" width="1.5703125" style="106" customWidth="1"/>
    <col min="2316" max="2316" width="12.28515625" style="106" customWidth="1"/>
    <col min="2317" max="2317" width="1.5703125" style="106" customWidth="1"/>
    <col min="2318" max="2318" width="12.28515625" style="106" customWidth="1"/>
    <col min="2319" max="2319" width="1.5703125" style="106" customWidth="1"/>
    <col min="2320" max="2320" width="13.5703125" style="106" customWidth="1"/>
    <col min="2321" max="2321" width="0.85546875" style="106" customWidth="1"/>
    <col min="2322" max="2322" width="12.28515625" style="106" customWidth="1"/>
    <col min="2323" max="2323" width="1.5703125" style="106" customWidth="1"/>
    <col min="2324" max="2324" width="12.28515625" style="106" customWidth="1"/>
    <col min="2325" max="2325" width="1.5703125" style="106" customWidth="1"/>
    <col min="2326" max="2326" width="12.28515625" style="106" customWidth="1"/>
    <col min="2327" max="2327" width="0.85546875" style="106" customWidth="1"/>
    <col min="2328" max="2328" width="12.28515625" style="106" customWidth="1"/>
    <col min="2329" max="2329" width="1.5703125" style="106" customWidth="1"/>
    <col min="2330" max="2330" width="12.28515625" style="106" customWidth="1"/>
    <col min="2331" max="2331" width="1.5703125" style="106" customWidth="1"/>
    <col min="2332" max="2332" width="12.28515625" style="106" customWidth="1"/>
    <col min="2333" max="2333" width="0.85546875" style="106" customWidth="1"/>
    <col min="2334" max="2334" width="12.28515625" style="106" customWidth="1"/>
    <col min="2335" max="2335" width="1.5703125" style="106" customWidth="1"/>
    <col min="2336" max="2336" width="12.28515625" style="106" customWidth="1"/>
    <col min="2337" max="2337" width="1.5703125" style="106" customWidth="1"/>
    <col min="2338" max="2338" width="12.28515625" style="106" customWidth="1"/>
    <col min="2339" max="2339" width="4.5703125" style="106" customWidth="1"/>
    <col min="2340" max="2340" width="1.42578125" style="106" customWidth="1"/>
    <col min="2341" max="2563" width="13.85546875" style="106"/>
    <col min="2564" max="2564" width="7.85546875" style="106" customWidth="1"/>
    <col min="2565" max="2566" width="2.28515625" style="106" customWidth="1"/>
    <col min="2567" max="2567" width="31.42578125" style="106" customWidth="1"/>
    <col min="2568" max="2568" width="2.28515625" style="106" customWidth="1"/>
    <col min="2569" max="2569" width="2.140625" style="106" customWidth="1"/>
    <col min="2570" max="2570" width="12.28515625" style="106" customWidth="1"/>
    <col min="2571" max="2571" width="1.5703125" style="106" customWidth="1"/>
    <col min="2572" max="2572" width="12.28515625" style="106" customWidth="1"/>
    <col min="2573" max="2573" width="1.5703125" style="106" customWidth="1"/>
    <col min="2574" max="2574" width="12.28515625" style="106" customWidth="1"/>
    <col min="2575" max="2575" width="1.5703125" style="106" customWidth="1"/>
    <col min="2576" max="2576" width="13.5703125" style="106" customWidth="1"/>
    <col min="2577" max="2577" width="0.85546875" style="106" customWidth="1"/>
    <col min="2578" max="2578" width="12.28515625" style="106" customWidth="1"/>
    <col min="2579" max="2579" width="1.5703125" style="106" customWidth="1"/>
    <col min="2580" max="2580" width="12.28515625" style="106" customWidth="1"/>
    <col min="2581" max="2581" width="1.5703125" style="106" customWidth="1"/>
    <col min="2582" max="2582" width="12.28515625" style="106" customWidth="1"/>
    <col min="2583" max="2583" width="0.85546875" style="106" customWidth="1"/>
    <col min="2584" max="2584" width="12.28515625" style="106" customWidth="1"/>
    <col min="2585" max="2585" width="1.5703125" style="106" customWidth="1"/>
    <col min="2586" max="2586" width="12.28515625" style="106" customWidth="1"/>
    <col min="2587" max="2587" width="1.5703125" style="106" customWidth="1"/>
    <col min="2588" max="2588" width="12.28515625" style="106" customWidth="1"/>
    <col min="2589" max="2589" width="0.85546875" style="106" customWidth="1"/>
    <col min="2590" max="2590" width="12.28515625" style="106" customWidth="1"/>
    <col min="2591" max="2591" width="1.5703125" style="106" customWidth="1"/>
    <col min="2592" max="2592" width="12.28515625" style="106" customWidth="1"/>
    <col min="2593" max="2593" width="1.5703125" style="106" customWidth="1"/>
    <col min="2594" max="2594" width="12.28515625" style="106" customWidth="1"/>
    <col min="2595" max="2595" width="4.5703125" style="106" customWidth="1"/>
    <col min="2596" max="2596" width="1.42578125" style="106" customWidth="1"/>
    <col min="2597" max="2819" width="13.85546875" style="106"/>
    <col min="2820" max="2820" width="7.85546875" style="106" customWidth="1"/>
    <col min="2821" max="2822" width="2.28515625" style="106" customWidth="1"/>
    <col min="2823" max="2823" width="31.42578125" style="106" customWidth="1"/>
    <col min="2824" max="2824" width="2.28515625" style="106" customWidth="1"/>
    <col min="2825" max="2825" width="2.140625" style="106" customWidth="1"/>
    <col min="2826" max="2826" width="12.28515625" style="106" customWidth="1"/>
    <col min="2827" max="2827" width="1.5703125" style="106" customWidth="1"/>
    <col min="2828" max="2828" width="12.28515625" style="106" customWidth="1"/>
    <col min="2829" max="2829" width="1.5703125" style="106" customWidth="1"/>
    <col min="2830" max="2830" width="12.28515625" style="106" customWidth="1"/>
    <col min="2831" max="2831" width="1.5703125" style="106" customWidth="1"/>
    <col min="2832" max="2832" width="13.5703125" style="106" customWidth="1"/>
    <col min="2833" max="2833" width="0.85546875" style="106" customWidth="1"/>
    <col min="2834" max="2834" width="12.28515625" style="106" customWidth="1"/>
    <col min="2835" max="2835" width="1.5703125" style="106" customWidth="1"/>
    <col min="2836" max="2836" width="12.28515625" style="106" customWidth="1"/>
    <col min="2837" max="2837" width="1.5703125" style="106" customWidth="1"/>
    <col min="2838" max="2838" width="12.28515625" style="106" customWidth="1"/>
    <col min="2839" max="2839" width="0.85546875" style="106" customWidth="1"/>
    <col min="2840" max="2840" width="12.28515625" style="106" customWidth="1"/>
    <col min="2841" max="2841" width="1.5703125" style="106" customWidth="1"/>
    <col min="2842" max="2842" width="12.28515625" style="106" customWidth="1"/>
    <col min="2843" max="2843" width="1.5703125" style="106" customWidth="1"/>
    <col min="2844" max="2844" width="12.28515625" style="106" customWidth="1"/>
    <col min="2845" max="2845" width="0.85546875" style="106" customWidth="1"/>
    <col min="2846" max="2846" width="12.28515625" style="106" customWidth="1"/>
    <col min="2847" max="2847" width="1.5703125" style="106" customWidth="1"/>
    <col min="2848" max="2848" width="12.28515625" style="106" customWidth="1"/>
    <col min="2849" max="2849" width="1.5703125" style="106" customWidth="1"/>
    <col min="2850" max="2850" width="12.28515625" style="106" customWidth="1"/>
    <col min="2851" max="2851" width="4.5703125" style="106" customWidth="1"/>
    <col min="2852" max="2852" width="1.42578125" style="106" customWidth="1"/>
    <col min="2853" max="3075" width="13.85546875" style="106"/>
    <col min="3076" max="3076" width="7.85546875" style="106" customWidth="1"/>
    <col min="3077" max="3078" width="2.28515625" style="106" customWidth="1"/>
    <col min="3079" max="3079" width="31.42578125" style="106" customWidth="1"/>
    <col min="3080" max="3080" width="2.28515625" style="106" customWidth="1"/>
    <col min="3081" max="3081" width="2.140625" style="106" customWidth="1"/>
    <col min="3082" max="3082" width="12.28515625" style="106" customWidth="1"/>
    <col min="3083" max="3083" width="1.5703125" style="106" customWidth="1"/>
    <col min="3084" max="3084" width="12.28515625" style="106" customWidth="1"/>
    <col min="3085" max="3085" width="1.5703125" style="106" customWidth="1"/>
    <col min="3086" max="3086" width="12.28515625" style="106" customWidth="1"/>
    <col min="3087" max="3087" width="1.5703125" style="106" customWidth="1"/>
    <col min="3088" max="3088" width="13.5703125" style="106" customWidth="1"/>
    <col min="3089" max="3089" width="0.85546875" style="106" customWidth="1"/>
    <col min="3090" max="3090" width="12.28515625" style="106" customWidth="1"/>
    <col min="3091" max="3091" width="1.5703125" style="106" customWidth="1"/>
    <col min="3092" max="3092" width="12.28515625" style="106" customWidth="1"/>
    <col min="3093" max="3093" width="1.5703125" style="106" customWidth="1"/>
    <col min="3094" max="3094" width="12.28515625" style="106" customWidth="1"/>
    <col min="3095" max="3095" width="0.85546875" style="106" customWidth="1"/>
    <col min="3096" max="3096" width="12.28515625" style="106" customWidth="1"/>
    <col min="3097" max="3097" width="1.5703125" style="106" customWidth="1"/>
    <col min="3098" max="3098" width="12.28515625" style="106" customWidth="1"/>
    <col min="3099" max="3099" width="1.5703125" style="106" customWidth="1"/>
    <col min="3100" max="3100" width="12.28515625" style="106" customWidth="1"/>
    <col min="3101" max="3101" width="0.85546875" style="106" customWidth="1"/>
    <col min="3102" max="3102" width="12.28515625" style="106" customWidth="1"/>
    <col min="3103" max="3103" width="1.5703125" style="106" customWidth="1"/>
    <col min="3104" max="3104" width="12.28515625" style="106" customWidth="1"/>
    <col min="3105" max="3105" width="1.5703125" style="106" customWidth="1"/>
    <col min="3106" max="3106" width="12.28515625" style="106" customWidth="1"/>
    <col min="3107" max="3107" width="4.5703125" style="106" customWidth="1"/>
    <col min="3108" max="3108" width="1.42578125" style="106" customWidth="1"/>
    <col min="3109" max="3331" width="13.85546875" style="106"/>
    <col min="3332" max="3332" width="7.85546875" style="106" customWidth="1"/>
    <col min="3333" max="3334" width="2.28515625" style="106" customWidth="1"/>
    <col min="3335" max="3335" width="31.42578125" style="106" customWidth="1"/>
    <col min="3336" max="3336" width="2.28515625" style="106" customWidth="1"/>
    <col min="3337" max="3337" width="2.140625" style="106" customWidth="1"/>
    <col min="3338" max="3338" width="12.28515625" style="106" customWidth="1"/>
    <col min="3339" max="3339" width="1.5703125" style="106" customWidth="1"/>
    <col min="3340" max="3340" width="12.28515625" style="106" customWidth="1"/>
    <col min="3341" max="3341" width="1.5703125" style="106" customWidth="1"/>
    <col min="3342" max="3342" width="12.28515625" style="106" customWidth="1"/>
    <col min="3343" max="3343" width="1.5703125" style="106" customWidth="1"/>
    <col min="3344" max="3344" width="13.5703125" style="106" customWidth="1"/>
    <col min="3345" max="3345" width="0.85546875" style="106" customWidth="1"/>
    <col min="3346" max="3346" width="12.28515625" style="106" customWidth="1"/>
    <col min="3347" max="3347" width="1.5703125" style="106" customWidth="1"/>
    <col min="3348" max="3348" width="12.28515625" style="106" customWidth="1"/>
    <col min="3349" max="3349" width="1.5703125" style="106" customWidth="1"/>
    <col min="3350" max="3350" width="12.28515625" style="106" customWidth="1"/>
    <col min="3351" max="3351" width="0.85546875" style="106" customWidth="1"/>
    <col min="3352" max="3352" width="12.28515625" style="106" customWidth="1"/>
    <col min="3353" max="3353" width="1.5703125" style="106" customWidth="1"/>
    <col min="3354" max="3354" width="12.28515625" style="106" customWidth="1"/>
    <col min="3355" max="3355" width="1.5703125" style="106" customWidth="1"/>
    <col min="3356" max="3356" width="12.28515625" style="106" customWidth="1"/>
    <col min="3357" max="3357" width="0.85546875" style="106" customWidth="1"/>
    <col min="3358" max="3358" width="12.28515625" style="106" customWidth="1"/>
    <col min="3359" max="3359" width="1.5703125" style="106" customWidth="1"/>
    <col min="3360" max="3360" width="12.28515625" style="106" customWidth="1"/>
    <col min="3361" max="3361" width="1.5703125" style="106" customWidth="1"/>
    <col min="3362" max="3362" width="12.28515625" style="106" customWidth="1"/>
    <col min="3363" max="3363" width="4.5703125" style="106" customWidth="1"/>
    <col min="3364" max="3364" width="1.42578125" style="106" customWidth="1"/>
    <col min="3365" max="3587" width="13.85546875" style="106"/>
    <col min="3588" max="3588" width="7.85546875" style="106" customWidth="1"/>
    <col min="3589" max="3590" width="2.28515625" style="106" customWidth="1"/>
    <col min="3591" max="3591" width="31.42578125" style="106" customWidth="1"/>
    <col min="3592" max="3592" width="2.28515625" style="106" customWidth="1"/>
    <col min="3593" max="3593" width="2.140625" style="106" customWidth="1"/>
    <col min="3594" max="3594" width="12.28515625" style="106" customWidth="1"/>
    <col min="3595" max="3595" width="1.5703125" style="106" customWidth="1"/>
    <col min="3596" max="3596" width="12.28515625" style="106" customWidth="1"/>
    <col min="3597" max="3597" width="1.5703125" style="106" customWidth="1"/>
    <col min="3598" max="3598" width="12.28515625" style="106" customWidth="1"/>
    <col min="3599" max="3599" width="1.5703125" style="106" customWidth="1"/>
    <col min="3600" max="3600" width="13.5703125" style="106" customWidth="1"/>
    <col min="3601" max="3601" width="0.85546875" style="106" customWidth="1"/>
    <col min="3602" max="3602" width="12.28515625" style="106" customWidth="1"/>
    <col min="3603" max="3603" width="1.5703125" style="106" customWidth="1"/>
    <col min="3604" max="3604" width="12.28515625" style="106" customWidth="1"/>
    <col min="3605" max="3605" width="1.5703125" style="106" customWidth="1"/>
    <col min="3606" max="3606" width="12.28515625" style="106" customWidth="1"/>
    <col min="3607" max="3607" width="0.85546875" style="106" customWidth="1"/>
    <col min="3608" max="3608" width="12.28515625" style="106" customWidth="1"/>
    <col min="3609" max="3609" width="1.5703125" style="106" customWidth="1"/>
    <col min="3610" max="3610" width="12.28515625" style="106" customWidth="1"/>
    <col min="3611" max="3611" width="1.5703125" style="106" customWidth="1"/>
    <col min="3612" max="3612" width="12.28515625" style="106" customWidth="1"/>
    <col min="3613" max="3613" width="0.85546875" style="106" customWidth="1"/>
    <col min="3614" max="3614" width="12.28515625" style="106" customWidth="1"/>
    <col min="3615" max="3615" width="1.5703125" style="106" customWidth="1"/>
    <col min="3616" max="3616" width="12.28515625" style="106" customWidth="1"/>
    <col min="3617" max="3617" width="1.5703125" style="106" customWidth="1"/>
    <col min="3618" max="3618" width="12.28515625" style="106" customWidth="1"/>
    <col min="3619" max="3619" width="4.5703125" style="106" customWidth="1"/>
    <col min="3620" max="3620" width="1.42578125" style="106" customWidth="1"/>
    <col min="3621" max="3843" width="13.85546875" style="106"/>
    <col min="3844" max="3844" width="7.85546875" style="106" customWidth="1"/>
    <col min="3845" max="3846" width="2.28515625" style="106" customWidth="1"/>
    <col min="3847" max="3847" width="31.42578125" style="106" customWidth="1"/>
    <col min="3848" max="3848" width="2.28515625" style="106" customWidth="1"/>
    <col min="3849" max="3849" width="2.140625" style="106" customWidth="1"/>
    <col min="3850" max="3850" width="12.28515625" style="106" customWidth="1"/>
    <col min="3851" max="3851" width="1.5703125" style="106" customWidth="1"/>
    <col min="3852" max="3852" width="12.28515625" style="106" customWidth="1"/>
    <col min="3853" max="3853" width="1.5703125" style="106" customWidth="1"/>
    <col min="3854" max="3854" width="12.28515625" style="106" customWidth="1"/>
    <col min="3855" max="3855" width="1.5703125" style="106" customWidth="1"/>
    <col min="3856" max="3856" width="13.5703125" style="106" customWidth="1"/>
    <col min="3857" max="3857" width="0.85546875" style="106" customWidth="1"/>
    <col min="3858" max="3858" width="12.28515625" style="106" customWidth="1"/>
    <col min="3859" max="3859" width="1.5703125" style="106" customWidth="1"/>
    <col min="3860" max="3860" width="12.28515625" style="106" customWidth="1"/>
    <col min="3861" max="3861" width="1.5703125" style="106" customWidth="1"/>
    <col min="3862" max="3862" width="12.28515625" style="106" customWidth="1"/>
    <col min="3863" max="3863" width="0.85546875" style="106" customWidth="1"/>
    <col min="3864" max="3864" width="12.28515625" style="106" customWidth="1"/>
    <col min="3865" max="3865" width="1.5703125" style="106" customWidth="1"/>
    <col min="3866" max="3866" width="12.28515625" style="106" customWidth="1"/>
    <col min="3867" max="3867" width="1.5703125" style="106" customWidth="1"/>
    <col min="3868" max="3868" width="12.28515625" style="106" customWidth="1"/>
    <col min="3869" max="3869" width="0.85546875" style="106" customWidth="1"/>
    <col min="3870" max="3870" width="12.28515625" style="106" customWidth="1"/>
    <col min="3871" max="3871" width="1.5703125" style="106" customWidth="1"/>
    <col min="3872" max="3872" width="12.28515625" style="106" customWidth="1"/>
    <col min="3873" max="3873" width="1.5703125" style="106" customWidth="1"/>
    <col min="3874" max="3874" width="12.28515625" style="106" customWidth="1"/>
    <col min="3875" max="3875" width="4.5703125" style="106" customWidth="1"/>
    <col min="3876" max="3876" width="1.42578125" style="106" customWidth="1"/>
    <col min="3877" max="4099" width="13.85546875" style="106"/>
    <col min="4100" max="4100" width="7.85546875" style="106" customWidth="1"/>
    <col min="4101" max="4102" width="2.28515625" style="106" customWidth="1"/>
    <col min="4103" max="4103" width="31.42578125" style="106" customWidth="1"/>
    <col min="4104" max="4104" width="2.28515625" style="106" customWidth="1"/>
    <col min="4105" max="4105" width="2.140625" style="106" customWidth="1"/>
    <col min="4106" max="4106" width="12.28515625" style="106" customWidth="1"/>
    <col min="4107" max="4107" width="1.5703125" style="106" customWidth="1"/>
    <col min="4108" max="4108" width="12.28515625" style="106" customWidth="1"/>
    <col min="4109" max="4109" width="1.5703125" style="106" customWidth="1"/>
    <col min="4110" max="4110" width="12.28515625" style="106" customWidth="1"/>
    <col min="4111" max="4111" width="1.5703125" style="106" customWidth="1"/>
    <col min="4112" max="4112" width="13.5703125" style="106" customWidth="1"/>
    <col min="4113" max="4113" width="0.85546875" style="106" customWidth="1"/>
    <col min="4114" max="4114" width="12.28515625" style="106" customWidth="1"/>
    <col min="4115" max="4115" width="1.5703125" style="106" customWidth="1"/>
    <col min="4116" max="4116" width="12.28515625" style="106" customWidth="1"/>
    <col min="4117" max="4117" width="1.5703125" style="106" customWidth="1"/>
    <col min="4118" max="4118" width="12.28515625" style="106" customWidth="1"/>
    <col min="4119" max="4119" width="0.85546875" style="106" customWidth="1"/>
    <col min="4120" max="4120" width="12.28515625" style="106" customWidth="1"/>
    <col min="4121" max="4121" width="1.5703125" style="106" customWidth="1"/>
    <col min="4122" max="4122" width="12.28515625" style="106" customWidth="1"/>
    <col min="4123" max="4123" width="1.5703125" style="106" customWidth="1"/>
    <col min="4124" max="4124" width="12.28515625" style="106" customWidth="1"/>
    <col min="4125" max="4125" width="0.85546875" style="106" customWidth="1"/>
    <col min="4126" max="4126" width="12.28515625" style="106" customWidth="1"/>
    <col min="4127" max="4127" width="1.5703125" style="106" customWidth="1"/>
    <col min="4128" max="4128" width="12.28515625" style="106" customWidth="1"/>
    <col min="4129" max="4129" width="1.5703125" style="106" customWidth="1"/>
    <col min="4130" max="4130" width="12.28515625" style="106" customWidth="1"/>
    <col min="4131" max="4131" width="4.5703125" style="106" customWidth="1"/>
    <col min="4132" max="4132" width="1.42578125" style="106" customWidth="1"/>
    <col min="4133" max="4355" width="13.85546875" style="106"/>
    <col min="4356" max="4356" width="7.85546875" style="106" customWidth="1"/>
    <col min="4357" max="4358" width="2.28515625" style="106" customWidth="1"/>
    <col min="4359" max="4359" width="31.42578125" style="106" customWidth="1"/>
    <col min="4360" max="4360" width="2.28515625" style="106" customWidth="1"/>
    <col min="4361" max="4361" width="2.140625" style="106" customWidth="1"/>
    <col min="4362" max="4362" width="12.28515625" style="106" customWidth="1"/>
    <col min="4363" max="4363" width="1.5703125" style="106" customWidth="1"/>
    <col min="4364" max="4364" width="12.28515625" style="106" customWidth="1"/>
    <col min="4365" max="4365" width="1.5703125" style="106" customWidth="1"/>
    <col min="4366" max="4366" width="12.28515625" style="106" customWidth="1"/>
    <col min="4367" max="4367" width="1.5703125" style="106" customWidth="1"/>
    <col min="4368" max="4368" width="13.5703125" style="106" customWidth="1"/>
    <col min="4369" max="4369" width="0.85546875" style="106" customWidth="1"/>
    <col min="4370" max="4370" width="12.28515625" style="106" customWidth="1"/>
    <col min="4371" max="4371" width="1.5703125" style="106" customWidth="1"/>
    <col min="4372" max="4372" width="12.28515625" style="106" customWidth="1"/>
    <col min="4373" max="4373" width="1.5703125" style="106" customWidth="1"/>
    <col min="4374" max="4374" width="12.28515625" style="106" customWidth="1"/>
    <col min="4375" max="4375" width="0.85546875" style="106" customWidth="1"/>
    <col min="4376" max="4376" width="12.28515625" style="106" customWidth="1"/>
    <col min="4377" max="4377" width="1.5703125" style="106" customWidth="1"/>
    <col min="4378" max="4378" width="12.28515625" style="106" customWidth="1"/>
    <col min="4379" max="4379" width="1.5703125" style="106" customWidth="1"/>
    <col min="4380" max="4380" width="12.28515625" style="106" customWidth="1"/>
    <col min="4381" max="4381" width="0.85546875" style="106" customWidth="1"/>
    <col min="4382" max="4382" width="12.28515625" style="106" customWidth="1"/>
    <col min="4383" max="4383" width="1.5703125" style="106" customWidth="1"/>
    <col min="4384" max="4384" width="12.28515625" style="106" customWidth="1"/>
    <col min="4385" max="4385" width="1.5703125" style="106" customWidth="1"/>
    <col min="4386" max="4386" width="12.28515625" style="106" customWidth="1"/>
    <col min="4387" max="4387" width="4.5703125" style="106" customWidth="1"/>
    <col min="4388" max="4388" width="1.42578125" style="106" customWidth="1"/>
    <col min="4389" max="4611" width="13.85546875" style="106"/>
    <col min="4612" max="4612" width="7.85546875" style="106" customWidth="1"/>
    <col min="4613" max="4614" width="2.28515625" style="106" customWidth="1"/>
    <col min="4615" max="4615" width="31.42578125" style="106" customWidth="1"/>
    <col min="4616" max="4616" width="2.28515625" style="106" customWidth="1"/>
    <col min="4617" max="4617" width="2.140625" style="106" customWidth="1"/>
    <col min="4618" max="4618" width="12.28515625" style="106" customWidth="1"/>
    <col min="4619" max="4619" width="1.5703125" style="106" customWidth="1"/>
    <col min="4620" max="4620" width="12.28515625" style="106" customWidth="1"/>
    <col min="4621" max="4621" width="1.5703125" style="106" customWidth="1"/>
    <col min="4622" max="4622" width="12.28515625" style="106" customWidth="1"/>
    <col min="4623" max="4623" width="1.5703125" style="106" customWidth="1"/>
    <col min="4624" max="4624" width="13.5703125" style="106" customWidth="1"/>
    <col min="4625" max="4625" width="0.85546875" style="106" customWidth="1"/>
    <col min="4626" max="4626" width="12.28515625" style="106" customWidth="1"/>
    <col min="4627" max="4627" width="1.5703125" style="106" customWidth="1"/>
    <col min="4628" max="4628" width="12.28515625" style="106" customWidth="1"/>
    <col min="4629" max="4629" width="1.5703125" style="106" customWidth="1"/>
    <col min="4630" max="4630" width="12.28515625" style="106" customWidth="1"/>
    <col min="4631" max="4631" width="0.85546875" style="106" customWidth="1"/>
    <col min="4632" max="4632" width="12.28515625" style="106" customWidth="1"/>
    <col min="4633" max="4633" width="1.5703125" style="106" customWidth="1"/>
    <col min="4634" max="4634" width="12.28515625" style="106" customWidth="1"/>
    <col min="4635" max="4635" width="1.5703125" style="106" customWidth="1"/>
    <col min="4636" max="4636" width="12.28515625" style="106" customWidth="1"/>
    <col min="4637" max="4637" width="0.85546875" style="106" customWidth="1"/>
    <col min="4638" max="4638" width="12.28515625" style="106" customWidth="1"/>
    <col min="4639" max="4639" width="1.5703125" style="106" customWidth="1"/>
    <col min="4640" max="4640" width="12.28515625" style="106" customWidth="1"/>
    <col min="4641" max="4641" width="1.5703125" style="106" customWidth="1"/>
    <col min="4642" max="4642" width="12.28515625" style="106" customWidth="1"/>
    <col min="4643" max="4643" width="4.5703125" style="106" customWidth="1"/>
    <col min="4644" max="4644" width="1.42578125" style="106" customWidth="1"/>
    <col min="4645" max="4867" width="13.85546875" style="106"/>
    <col min="4868" max="4868" width="7.85546875" style="106" customWidth="1"/>
    <col min="4869" max="4870" width="2.28515625" style="106" customWidth="1"/>
    <col min="4871" max="4871" width="31.42578125" style="106" customWidth="1"/>
    <col min="4872" max="4872" width="2.28515625" style="106" customWidth="1"/>
    <col min="4873" max="4873" width="2.140625" style="106" customWidth="1"/>
    <col min="4874" max="4874" width="12.28515625" style="106" customWidth="1"/>
    <col min="4875" max="4875" width="1.5703125" style="106" customWidth="1"/>
    <col min="4876" max="4876" width="12.28515625" style="106" customWidth="1"/>
    <col min="4877" max="4877" width="1.5703125" style="106" customWidth="1"/>
    <col min="4878" max="4878" width="12.28515625" style="106" customWidth="1"/>
    <col min="4879" max="4879" width="1.5703125" style="106" customWidth="1"/>
    <col min="4880" max="4880" width="13.5703125" style="106" customWidth="1"/>
    <col min="4881" max="4881" width="0.85546875" style="106" customWidth="1"/>
    <col min="4882" max="4882" width="12.28515625" style="106" customWidth="1"/>
    <col min="4883" max="4883" width="1.5703125" style="106" customWidth="1"/>
    <col min="4884" max="4884" width="12.28515625" style="106" customWidth="1"/>
    <col min="4885" max="4885" width="1.5703125" style="106" customWidth="1"/>
    <col min="4886" max="4886" width="12.28515625" style="106" customWidth="1"/>
    <col min="4887" max="4887" width="0.85546875" style="106" customWidth="1"/>
    <col min="4888" max="4888" width="12.28515625" style="106" customWidth="1"/>
    <col min="4889" max="4889" width="1.5703125" style="106" customWidth="1"/>
    <col min="4890" max="4890" width="12.28515625" style="106" customWidth="1"/>
    <col min="4891" max="4891" width="1.5703125" style="106" customWidth="1"/>
    <col min="4892" max="4892" width="12.28515625" style="106" customWidth="1"/>
    <col min="4893" max="4893" width="0.85546875" style="106" customWidth="1"/>
    <col min="4894" max="4894" width="12.28515625" style="106" customWidth="1"/>
    <col min="4895" max="4895" width="1.5703125" style="106" customWidth="1"/>
    <col min="4896" max="4896" width="12.28515625" style="106" customWidth="1"/>
    <col min="4897" max="4897" width="1.5703125" style="106" customWidth="1"/>
    <col min="4898" max="4898" width="12.28515625" style="106" customWidth="1"/>
    <col min="4899" max="4899" width="4.5703125" style="106" customWidth="1"/>
    <col min="4900" max="4900" width="1.42578125" style="106" customWidth="1"/>
    <col min="4901" max="5123" width="13.85546875" style="106"/>
    <col min="5124" max="5124" width="7.85546875" style="106" customWidth="1"/>
    <col min="5125" max="5126" width="2.28515625" style="106" customWidth="1"/>
    <col min="5127" max="5127" width="31.42578125" style="106" customWidth="1"/>
    <col min="5128" max="5128" width="2.28515625" style="106" customWidth="1"/>
    <col min="5129" max="5129" width="2.140625" style="106" customWidth="1"/>
    <col min="5130" max="5130" width="12.28515625" style="106" customWidth="1"/>
    <col min="5131" max="5131" width="1.5703125" style="106" customWidth="1"/>
    <col min="5132" max="5132" width="12.28515625" style="106" customWidth="1"/>
    <col min="5133" max="5133" width="1.5703125" style="106" customWidth="1"/>
    <col min="5134" max="5134" width="12.28515625" style="106" customWidth="1"/>
    <col min="5135" max="5135" width="1.5703125" style="106" customWidth="1"/>
    <col min="5136" max="5136" width="13.5703125" style="106" customWidth="1"/>
    <col min="5137" max="5137" width="0.85546875" style="106" customWidth="1"/>
    <col min="5138" max="5138" width="12.28515625" style="106" customWidth="1"/>
    <col min="5139" max="5139" width="1.5703125" style="106" customWidth="1"/>
    <col min="5140" max="5140" width="12.28515625" style="106" customWidth="1"/>
    <col min="5141" max="5141" width="1.5703125" style="106" customWidth="1"/>
    <col min="5142" max="5142" width="12.28515625" style="106" customWidth="1"/>
    <col min="5143" max="5143" width="0.85546875" style="106" customWidth="1"/>
    <col min="5144" max="5144" width="12.28515625" style="106" customWidth="1"/>
    <col min="5145" max="5145" width="1.5703125" style="106" customWidth="1"/>
    <col min="5146" max="5146" width="12.28515625" style="106" customWidth="1"/>
    <col min="5147" max="5147" width="1.5703125" style="106" customWidth="1"/>
    <col min="5148" max="5148" width="12.28515625" style="106" customWidth="1"/>
    <col min="5149" max="5149" width="0.85546875" style="106" customWidth="1"/>
    <col min="5150" max="5150" width="12.28515625" style="106" customWidth="1"/>
    <col min="5151" max="5151" width="1.5703125" style="106" customWidth="1"/>
    <col min="5152" max="5152" width="12.28515625" style="106" customWidth="1"/>
    <col min="5153" max="5153" width="1.5703125" style="106" customWidth="1"/>
    <col min="5154" max="5154" width="12.28515625" style="106" customWidth="1"/>
    <col min="5155" max="5155" width="4.5703125" style="106" customWidth="1"/>
    <col min="5156" max="5156" width="1.42578125" style="106" customWidth="1"/>
    <col min="5157" max="5379" width="13.85546875" style="106"/>
    <col min="5380" max="5380" width="7.85546875" style="106" customWidth="1"/>
    <col min="5381" max="5382" width="2.28515625" style="106" customWidth="1"/>
    <col min="5383" max="5383" width="31.42578125" style="106" customWidth="1"/>
    <col min="5384" max="5384" width="2.28515625" style="106" customWidth="1"/>
    <col min="5385" max="5385" width="2.140625" style="106" customWidth="1"/>
    <col min="5386" max="5386" width="12.28515625" style="106" customWidth="1"/>
    <col min="5387" max="5387" width="1.5703125" style="106" customWidth="1"/>
    <col min="5388" max="5388" width="12.28515625" style="106" customWidth="1"/>
    <col min="5389" max="5389" width="1.5703125" style="106" customWidth="1"/>
    <col min="5390" max="5390" width="12.28515625" style="106" customWidth="1"/>
    <col min="5391" max="5391" width="1.5703125" style="106" customWidth="1"/>
    <col min="5392" max="5392" width="13.5703125" style="106" customWidth="1"/>
    <col min="5393" max="5393" width="0.85546875" style="106" customWidth="1"/>
    <col min="5394" max="5394" width="12.28515625" style="106" customWidth="1"/>
    <col min="5395" max="5395" width="1.5703125" style="106" customWidth="1"/>
    <col min="5396" max="5396" width="12.28515625" style="106" customWidth="1"/>
    <col min="5397" max="5397" width="1.5703125" style="106" customWidth="1"/>
    <col min="5398" max="5398" width="12.28515625" style="106" customWidth="1"/>
    <col min="5399" max="5399" width="0.85546875" style="106" customWidth="1"/>
    <col min="5400" max="5400" width="12.28515625" style="106" customWidth="1"/>
    <col min="5401" max="5401" width="1.5703125" style="106" customWidth="1"/>
    <col min="5402" max="5402" width="12.28515625" style="106" customWidth="1"/>
    <col min="5403" max="5403" width="1.5703125" style="106" customWidth="1"/>
    <col min="5404" max="5404" width="12.28515625" style="106" customWidth="1"/>
    <col min="5405" max="5405" width="0.85546875" style="106" customWidth="1"/>
    <col min="5406" max="5406" width="12.28515625" style="106" customWidth="1"/>
    <col min="5407" max="5407" width="1.5703125" style="106" customWidth="1"/>
    <col min="5408" max="5408" width="12.28515625" style="106" customWidth="1"/>
    <col min="5409" max="5409" width="1.5703125" style="106" customWidth="1"/>
    <col min="5410" max="5410" width="12.28515625" style="106" customWidth="1"/>
    <col min="5411" max="5411" width="4.5703125" style="106" customWidth="1"/>
    <col min="5412" max="5412" width="1.42578125" style="106" customWidth="1"/>
    <col min="5413" max="5635" width="13.85546875" style="106"/>
    <col min="5636" max="5636" width="7.85546875" style="106" customWidth="1"/>
    <col min="5637" max="5638" width="2.28515625" style="106" customWidth="1"/>
    <col min="5639" max="5639" width="31.42578125" style="106" customWidth="1"/>
    <col min="5640" max="5640" width="2.28515625" style="106" customWidth="1"/>
    <col min="5641" max="5641" width="2.140625" style="106" customWidth="1"/>
    <col min="5642" max="5642" width="12.28515625" style="106" customWidth="1"/>
    <col min="5643" max="5643" width="1.5703125" style="106" customWidth="1"/>
    <col min="5644" max="5644" width="12.28515625" style="106" customWidth="1"/>
    <col min="5645" max="5645" width="1.5703125" style="106" customWidth="1"/>
    <col min="5646" max="5646" width="12.28515625" style="106" customWidth="1"/>
    <col min="5647" max="5647" width="1.5703125" style="106" customWidth="1"/>
    <col min="5648" max="5648" width="13.5703125" style="106" customWidth="1"/>
    <col min="5649" max="5649" width="0.85546875" style="106" customWidth="1"/>
    <col min="5650" max="5650" width="12.28515625" style="106" customWidth="1"/>
    <col min="5651" max="5651" width="1.5703125" style="106" customWidth="1"/>
    <col min="5652" max="5652" width="12.28515625" style="106" customWidth="1"/>
    <col min="5653" max="5653" width="1.5703125" style="106" customWidth="1"/>
    <col min="5654" max="5654" width="12.28515625" style="106" customWidth="1"/>
    <col min="5655" max="5655" width="0.85546875" style="106" customWidth="1"/>
    <col min="5656" max="5656" width="12.28515625" style="106" customWidth="1"/>
    <col min="5657" max="5657" width="1.5703125" style="106" customWidth="1"/>
    <col min="5658" max="5658" width="12.28515625" style="106" customWidth="1"/>
    <col min="5659" max="5659" width="1.5703125" style="106" customWidth="1"/>
    <col min="5660" max="5660" width="12.28515625" style="106" customWidth="1"/>
    <col min="5661" max="5661" width="0.85546875" style="106" customWidth="1"/>
    <col min="5662" max="5662" width="12.28515625" style="106" customWidth="1"/>
    <col min="5663" max="5663" width="1.5703125" style="106" customWidth="1"/>
    <col min="5664" max="5664" width="12.28515625" style="106" customWidth="1"/>
    <col min="5665" max="5665" width="1.5703125" style="106" customWidth="1"/>
    <col min="5666" max="5666" width="12.28515625" style="106" customWidth="1"/>
    <col min="5667" max="5667" width="4.5703125" style="106" customWidth="1"/>
    <col min="5668" max="5668" width="1.42578125" style="106" customWidth="1"/>
    <col min="5669" max="5891" width="13.85546875" style="106"/>
    <col min="5892" max="5892" width="7.85546875" style="106" customWidth="1"/>
    <col min="5893" max="5894" width="2.28515625" style="106" customWidth="1"/>
    <col min="5895" max="5895" width="31.42578125" style="106" customWidth="1"/>
    <col min="5896" max="5896" width="2.28515625" style="106" customWidth="1"/>
    <col min="5897" max="5897" width="2.140625" style="106" customWidth="1"/>
    <col min="5898" max="5898" width="12.28515625" style="106" customWidth="1"/>
    <col min="5899" max="5899" width="1.5703125" style="106" customWidth="1"/>
    <col min="5900" max="5900" width="12.28515625" style="106" customWidth="1"/>
    <col min="5901" max="5901" width="1.5703125" style="106" customWidth="1"/>
    <col min="5902" max="5902" width="12.28515625" style="106" customWidth="1"/>
    <col min="5903" max="5903" width="1.5703125" style="106" customWidth="1"/>
    <col min="5904" max="5904" width="13.5703125" style="106" customWidth="1"/>
    <col min="5905" max="5905" width="0.85546875" style="106" customWidth="1"/>
    <col min="5906" max="5906" width="12.28515625" style="106" customWidth="1"/>
    <col min="5907" max="5907" width="1.5703125" style="106" customWidth="1"/>
    <col min="5908" max="5908" width="12.28515625" style="106" customWidth="1"/>
    <col min="5909" max="5909" width="1.5703125" style="106" customWidth="1"/>
    <col min="5910" max="5910" width="12.28515625" style="106" customWidth="1"/>
    <col min="5911" max="5911" width="0.85546875" style="106" customWidth="1"/>
    <col min="5912" max="5912" width="12.28515625" style="106" customWidth="1"/>
    <col min="5913" max="5913" width="1.5703125" style="106" customWidth="1"/>
    <col min="5914" max="5914" width="12.28515625" style="106" customWidth="1"/>
    <col min="5915" max="5915" width="1.5703125" style="106" customWidth="1"/>
    <col min="5916" max="5916" width="12.28515625" style="106" customWidth="1"/>
    <col min="5917" max="5917" width="0.85546875" style="106" customWidth="1"/>
    <col min="5918" max="5918" width="12.28515625" style="106" customWidth="1"/>
    <col min="5919" max="5919" width="1.5703125" style="106" customWidth="1"/>
    <col min="5920" max="5920" width="12.28515625" style="106" customWidth="1"/>
    <col min="5921" max="5921" width="1.5703125" style="106" customWidth="1"/>
    <col min="5922" max="5922" width="12.28515625" style="106" customWidth="1"/>
    <col min="5923" max="5923" width="4.5703125" style="106" customWidth="1"/>
    <col min="5924" max="5924" width="1.42578125" style="106" customWidth="1"/>
    <col min="5925" max="6147" width="13.85546875" style="106"/>
    <col min="6148" max="6148" width="7.85546875" style="106" customWidth="1"/>
    <col min="6149" max="6150" width="2.28515625" style="106" customWidth="1"/>
    <col min="6151" max="6151" width="31.42578125" style="106" customWidth="1"/>
    <col min="6152" max="6152" width="2.28515625" style="106" customWidth="1"/>
    <col min="6153" max="6153" width="2.140625" style="106" customWidth="1"/>
    <col min="6154" max="6154" width="12.28515625" style="106" customWidth="1"/>
    <col min="6155" max="6155" width="1.5703125" style="106" customWidth="1"/>
    <col min="6156" max="6156" width="12.28515625" style="106" customWidth="1"/>
    <col min="6157" max="6157" width="1.5703125" style="106" customWidth="1"/>
    <col min="6158" max="6158" width="12.28515625" style="106" customWidth="1"/>
    <col min="6159" max="6159" width="1.5703125" style="106" customWidth="1"/>
    <col min="6160" max="6160" width="13.5703125" style="106" customWidth="1"/>
    <col min="6161" max="6161" width="0.85546875" style="106" customWidth="1"/>
    <col min="6162" max="6162" width="12.28515625" style="106" customWidth="1"/>
    <col min="6163" max="6163" width="1.5703125" style="106" customWidth="1"/>
    <col min="6164" max="6164" width="12.28515625" style="106" customWidth="1"/>
    <col min="6165" max="6165" width="1.5703125" style="106" customWidth="1"/>
    <col min="6166" max="6166" width="12.28515625" style="106" customWidth="1"/>
    <col min="6167" max="6167" width="0.85546875" style="106" customWidth="1"/>
    <col min="6168" max="6168" width="12.28515625" style="106" customWidth="1"/>
    <col min="6169" max="6169" width="1.5703125" style="106" customWidth="1"/>
    <col min="6170" max="6170" width="12.28515625" style="106" customWidth="1"/>
    <col min="6171" max="6171" width="1.5703125" style="106" customWidth="1"/>
    <col min="6172" max="6172" width="12.28515625" style="106" customWidth="1"/>
    <col min="6173" max="6173" width="0.85546875" style="106" customWidth="1"/>
    <col min="6174" max="6174" width="12.28515625" style="106" customWidth="1"/>
    <col min="6175" max="6175" width="1.5703125" style="106" customWidth="1"/>
    <col min="6176" max="6176" width="12.28515625" style="106" customWidth="1"/>
    <col min="6177" max="6177" width="1.5703125" style="106" customWidth="1"/>
    <col min="6178" max="6178" width="12.28515625" style="106" customWidth="1"/>
    <col min="6179" max="6179" width="4.5703125" style="106" customWidth="1"/>
    <col min="6180" max="6180" width="1.42578125" style="106" customWidth="1"/>
    <col min="6181" max="6403" width="13.85546875" style="106"/>
    <col min="6404" max="6404" width="7.85546875" style="106" customWidth="1"/>
    <col min="6405" max="6406" width="2.28515625" style="106" customWidth="1"/>
    <col min="6407" max="6407" width="31.42578125" style="106" customWidth="1"/>
    <col min="6408" max="6408" width="2.28515625" style="106" customWidth="1"/>
    <col min="6409" max="6409" width="2.140625" style="106" customWidth="1"/>
    <col min="6410" max="6410" width="12.28515625" style="106" customWidth="1"/>
    <col min="6411" max="6411" width="1.5703125" style="106" customWidth="1"/>
    <col min="6412" max="6412" width="12.28515625" style="106" customWidth="1"/>
    <col min="6413" max="6413" width="1.5703125" style="106" customWidth="1"/>
    <col min="6414" max="6414" width="12.28515625" style="106" customWidth="1"/>
    <col min="6415" max="6415" width="1.5703125" style="106" customWidth="1"/>
    <col min="6416" max="6416" width="13.5703125" style="106" customWidth="1"/>
    <col min="6417" max="6417" width="0.85546875" style="106" customWidth="1"/>
    <col min="6418" max="6418" width="12.28515625" style="106" customWidth="1"/>
    <col min="6419" max="6419" width="1.5703125" style="106" customWidth="1"/>
    <col min="6420" max="6420" width="12.28515625" style="106" customWidth="1"/>
    <col min="6421" max="6421" width="1.5703125" style="106" customWidth="1"/>
    <col min="6422" max="6422" width="12.28515625" style="106" customWidth="1"/>
    <col min="6423" max="6423" width="0.85546875" style="106" customWidth="1"/>
    <col min="6424" max="6424" width="12.28515625" style="106" customWidth="1"/>
    <col min="6425" max="6425" width="1.5703125" style="106" customWidth="1"/>
    <col min="6426" max="6426" width="12.28515625" style="106" customWidth="1"/>
    <col min="6427" max="6427" width="1.5703125" style="106" customWidth="1"/>
    <col min="6428" max="6428" width="12.28515625" style="106" customWidth="1"/>
    <col min="6429" max="6429" width="0.85546875" style="106" customWidth="1"/>
    <col min="6430" max="6430" width="12.28515625" style="106" customWidth="1"/>
    <col min="6431" max="6431" width="1.5703125" style="106" customWidth="1"/>
    <col min="6432" max="6432" width="12.28515625" style="106" customWidth="1"/>
    <col min="6433" max="6433" width="1.5703125" style="106" customWidth="1"/>
    <col min="6434" max="6434" width="12.28515625" style="106" customWidth="1"/>
    <col min="6435" max="6435" width="4.5703125" style="106" customWidth="1"/>
    <col min="6436" max="6436" width="1.42578125" style="106" customWidth="1"/>
    <col min="6437" max="6659" width="13.85546875" style="106"/>
    <col min="6660" max="6660" width="7.85546875" style="106" customWidth="1"/>
    <col min="6661" max="6662" width="2.28515625" style="106" customWidth="1"/>
    <col min="6663" max="6663" width="31.42578125" style="106" customWidth="1"/>
    <col min="6664" max="6664" width="2.28515625" style="106" customWidth="1"/>
    <col min="6665" max="6665" width="2.140625" style="106" customWidth="1"/>
    <col min="6666" max="6666" width="12.28515625" style="106" customWidth="1"/>
    <col min="6667" max="6667" width="1.5703125" style="106" customWidth="1"/>
    <col min="6668" max="6668" width="12.28515625" style="106" customWidth="1"/>
    <col min="6669" max="6669" width="1.5703125" style="106" customWidth="1"/>
    <col min="6670" max="6670" width="12.28515625" style="106" customWidth="1"/>
    <col min="6671" max="6671" width="1.5703125" style="106" customWidth="1"/>
    <col min="6672" max="6672" width="13.5703125" style="106" customWidth="1"/>
    <col min="6673" max="6673" width="0.85546875" style="106" customWidth="1"/>
    <col min="6674" max="6674" width="12.28515625" style="106" customWidth="1"/>
    <col min="6675" max="6675" width="1.5703125" style="106" customWidth="1"/>
    <col min="6676" max="6676" width="12.28515625" style="106" customWidth="1"/>
    <col min="6677" max="6677" width="1.5703125" style="106" customWidth="1"/>
    <col min="6678" max="6678" width="12.28515625" style="106" customWidth="1"/>
    <col min="6679" max="6679" width="0.85546875" style="106" customWidth="1"/>
    <col min="6680" max="6680" width="12.28515625" style="106" customWidth="1"/>
    <col min="6681" max="6681" width="1.5703125" style="106" customWidth="1"/>
    <col min="6682" max="6682" width="12.28515625" style="106" customWidth="1"/>
    <col min="6683" max="6683" width="1.5703125" style="106" customWidth="1"/>
    <col min="6684" max="6684" width="12.28515625" style="106" customWidth="1"/>
    <col min="6685" max="6685" width="0.85546875" style="106" customWidth="1"/>
    <col min="6686" max="6686" width="12.28515625" style="106" customWidth="1"/>
    <col min="6687" max="6687" width="1.5703125" style="106" customWidth="1"/>
    <col min="6688" max="6688" width="12.28515625" style="106" customWidth="1"/>
    <col min="6689" max="6689" width="1.5703125" style="106" customWidth="1"/>
    <col min="6690" max="6690" width="12.28515625" style="106" customWidth="1"/>
    <col min="6691" max="6691" width="4.5703125" style="106" customWidth="1"/>
    <col min="6692" max="6692" width="1.42578125" style="106" customWidth="1"/>
    <col min="6693" max="6915" width="13.85546875" style="106"/>
    <col min="6916" max="6916" width="7.85546875" style="106" customWidth="1"/>
    <col min="6917" max="6918" width="2.28515625" style="106" customWidth="1"/>
    <col min="6919" max="6919" width="31.42578125" style="106" customWidth="1"/>
    <col min="6920" max="6920" width="2.28515625" style="106" customWidth="1"/>
    <col min="6921" max="6921" width="2.140625" style="106" customWidth="1"/>
    <col min="6922" max="6922" width="12.28515625" style="106" customWidth="1"/>
    <col min="6923" max="6923" width="1.5703125" style="106" customWidth="1"/>
    <col min="6924" max="6924" width="12.28515625" style="106" customWidth="1"/>
    <col min="6925" max="6925" width="1.5703125" style="106" customWidth="1"/>
    <col min="6926" max="6926" width="12.28515625" style="106" customWidth="1"/>
    <col min="6927" max="6927" width="1.5703125" style="106" customWidth="1"/>
    <col min="6928" max="6928" width="13.5703125" style="106" customWidth="1"/>
    <col min="6929" max="6929" width="0.85546875" style="106" customWidth="1"/>
    <col min="6930" max="6930" width="12.28515625" style="106" customWidth="1"/>
    <col min="6931" max="6931" width="1.5703125" style="106" customWidth="1"/>
    <col min="6932" max="6932" width="12.28515625" style="106" customWidth="1"/>
    <col min="6933" max="6933" width="1.5703125" style="106" customWidth="1"/>
    <col min="6934" max="6934" width="12.28515625" style="106" customWidth="1"/>
    <col min="6935" max="6935" width="0.85546875" style="106" customWidth="1"/>
    <col min="6936" max="6936" width="12.28515625" style="106" customWidth="1"/>
    <col min="6937" max="6937" width="1.5703125" style="106" customWidth="1"/>
    <col min="6938" max="6938" width="12.28515625" style="106" customWidth="1"/>
    <col min="6939" max="6939" width="1.5703125" style="106" customWidth="1"/>
    <col min="6940" max="6940" width="12.28515625" style="106" customWidth="1"/>
    <col min="6941" max="6941" width="0.85546875" style="106" customWidth="1"/>
    <col min="6942" max="6942" width="12.28515625" style="106" customWidth="1"/>
    <col min="6943" max="6943" width="1.5703125" style="106" customWidth="1"/>
    <col min="6944" max="6944" width="12.28515625" style="106" customWidth="1"/>
    <col min="6945" max="6945" width="1.5703125" style="106" customWidth="1"/>
    <col min="6946" max="6946" width="12.28515625" style="106" customWidth="1"/>
    <col min="6947" max="6947" width="4.5703125" style="106" customWidth="1"/>
    <col min="6948" max="6948" width="1.42578125" style="106" customWidth="1"/>
    <col min="6949" max="7171" width="13.85546875" style="106"/>
    <col min="7172" max="7172" width="7.85546875" style="106" customWidth="1"/>
    <col min="7173" max="7174" width="2.28515625" style="106" customWidth="1"/>
    <col min="7175" max="7175" width="31.42578125" style="106" customWidth="1"/>
    <col min="7176" max="7176" width="2.28515625" style="106" customWidth="1"/>
    <col min="7177" max="7177" width="2.140625" style="106" customWidth="1"/>
    <col min="7178" max="7178" width="12.28515625" style="106" customWidth="1"/>
    <col min="7179" max="7179" width="1.5703125" style="106" customWidth="1"/>
    <col min="7180" max="7180" width="12.28515625" style="106" customWidth="1"/>
    <col min="7181" max="7181" width="1.5703125" style="106" customWidth="1"/>
    <col min="7182" max="7182" width="12.28515625" style="106" customWidth="1"/>
    <col min="7183" max="7183" width="1.5703125" style="106" customWidth="1"/>
    <col min="7184" max="7184" width="13.5703125" style="106" customWidth="1"/>
    <col min="7185" max="7185" width="0.85546875" style="106" customWidth="1"/>
    <col min="7186" max="7186" width="12.28515625" style="106" customWidth="1"/>
    <col min="7187" max="7187" width="1.5703125" style="106" customWidth="1"/>
    <col min="7188" max="7188" width="12.28515625" style="106" customWidth="1"/>
    <col min="7189" max="7189" width="1.5703125" style="106" customWidth="1"/>
    <col min="7190" max="7190" width="12.28515625" style="106" customWidth="1"/>
    <col min="7191" max="7191" width="0.85546875" style="106" customWidth="1"/>
    <col min="7192" max="7192" width="12.28515625" style="106" customWidth="1"/>
    <col min="7193" max="7193" width="1.5703125" style="106" customWidth="1"/>
    <col min="7194" max="7194" width="12.28515625" style="106" customWidth="1"/>
    <col min="7195" max="7195" width="1.5703125" style="106" customWidth="1"/>
    <col min="7196" max="7196" width="12.28515625" style="106" customWidth="1"/>
    <col min="7197" max="7197" width="0.85546875" style="106" customWidth="1"/>
    <col min="7198" max="7198" width="12.28515625" style="106" customWidth="1"/>
    <col min="7199" max="7199" width="1.5703125" style="106" customWidth="1"/>
    <col min="7200" max="7200" width="12.28515625" style="106" customWidth="1"/>
    <col min="7201" max="7201" width="1.5703125" style="106" customWidth="1"/>
    <col min="7202" max="7202" width="12.28515625" style="106" customWidth="1"/>
    <col min="7203" max="7203" width="4.5703125" style="106" customWidth="1"/>
    <col min="7204" max="7204" width="1.42578125" style="106" customWidth="1"/>
    <col min="7205" max="7427" width="13.85546875" style="106"/>
    <col min="7428" max="7428" width="7.85546875" style="106" customWidth="1"/>
    <col min="7429" max="7430" width="2.28515625" style="106" customWidth="1"/>
    <col min="7431" max="7431" width="31.42578125" style="106" customWidth="1"/>
    <col min="7432" max="7432" width="2.28515625" style="106" customWidth="1"/>
    <col min="7433" max="7433" width="2.140625" style="106" customWidth="1"/>
    <col min="7434" max="7434" width="12.28515625" style="106" customWidth="1"/>
    <col min="7435" max="7435" width="1.5703125" style="106" customWidth="1"/>
    <col min="7436" max="7436" width="12.28515625" style="106" customWidth="1"/>
    <col min="7437" max="7437" width="1.5703125" style="106" customWidth="1"/>
    <col min="7438" max="7438" width="12.28515625" style="106" customWidth="1"/>
    <col min="7439" max="7439" width="1.5703125" style="106" customWidth="1"/>
    <col min="7440" max="7440" width="13.5703125" style="106" customWidth="1"/>
    <col min="7441" max="7441" width="0.85546875" style="106" customWidth="1"/>
    <col min="7442" max="7442" width="12.28515625" style="106" customWidth="1"/>
    <col min="7443" max="7443" width="1.5703125" style="106" customWidth="1"/>
    <col min="7444" max="7444" width="12.28515625" style="106" customWidth="1"/>
    <col min="7445" max="7445" width="1.5703125" style="106" customWidth="1"/>
    <col min="7446" max="7446" width="12.28515625" style="106" customWidth="1"/>
    <col min="7447" max="7447" width="0.85546875" style="106" customWidth="1"/>
    <col min="7448" max="7448" width="12.28515625" style="106" customWidth="1"/>
    <col min="7449" max="7449" width="1.5703125" style="106" customWidth="1"/>
    <col min="7450" max="7450" width="12.28515625" style="106" customWidth="1"/>
    <col min="7451" max="7451" width="1.5703125" style="106" customWidth="1"/>
    <col min="7452" max="7452" width="12.28515625" style="106" customWidth="1"/>
    <col min="7453" max="7453" width="0.85546875" style="106" customWidth="1"/>
    <col min="7454" max="7454" width="12.28515625" style="106" customWidth="1"/>
    <col min="7455" max="7455" width="1.5703125" style="106" customWidth="1"/>
    <col min="7456" max="7456" width="12.28515625" style="106" customWidth="1"/>
    <col min="7457" max="7457" width="1.5703125" style="106" customWidth="1"/>
    <col min="7458" max="7458" width="12.28515625" style="106" customWidth="1"/>
    <col min="7459" max="7459" width="4.5703125" style="106" customWidth="1"/>
    <col min="7460" max="7460" width="1.42578125" style="106" customWidth="1"/>
    <col min="7461" max="7683" width="13.85546875" style="106"/>
    <col min="7684" max="7684" width="7.85546875" style="106" customWidth="1"/>
    <col min="7685" max="7686" width="2.28515625" style="106" customWidth="1"/>
    <col min="7687" max="7687" width="31.42578125" style="106" customWidth="1"/>
    <col min="7688" max="7688" width="2.28515625" style="106" customWidth="1"/>
    <col min="7689" max="7689" width="2.140625" style="106" customWidth="1"/>
    <col min="7690" max="7690" width="12.28515625" style="106" customWidth="1"/>
    <col min="7691" max="7691" width="1.5703125" style="106" customWidth="1"/>
    <col min="7692" max="7692" width="12.28515625" style="106" customWidth="1"/>
    <col min="7693" max="7693" width="1.5703125" style="106" customWidth="1"/>
    <col min="7694" max="7694" width="12.28515625" style="106" customWidth="1"/>
    <col min="7695" max="7695" width="1.5703125" style="106" customWidth="1"/>
    <col min="7696" max="7696" width="13.5703125" style="106" customWidth="1"/>
    <col min="7697" max="7697" width="0.85546875" style="106" customWidth="1"/>
    <col min="7698" max="7698" width="12.28515625" style="106" customWidth="1"/>
    <col min="7699" max="7699" width="1.5703125" style="106" customWidth="1"/>
    <col min="7700" max="7700" width="12.28515625" style="106" customWidth="1"/>
    <col min="7701" max="7701" width="1.5703125" style="106" customWidth="1"/>
    <col min="7702" max="7702" width="12.28515625" style="106" customWidth="1"/>
    <col min="7703" max="7703" width="0.85546875" style="106" customWidth="1"/>
    <col min="7704" max="7704" width="12.28515625" style="106" customWidth="1"/>
    <col min="7705" max="7705" width="1.5703125" style="106" customWidth="1"/>
    <col min="7706" max="7706" width="12.28515625" style="106" customWidth="1"/>
    <col min="7707" max="7707" width="1.5703125" style="106" customWidth="1"/>
    <col min="7708" max="7708" width="12.28515625" style="106" customWidth="1"/>
    <col min="7709" max="7709" width="0.85546875" style="106" customWidth="1"/>
    <col min="7710" max="7710" width="12.28515625" style="106" customWidth="1"/>
    <col min="7711" max="7711" width="1.5703125" style="106" customWidth="1"/>
    <col min="7712" max="7712" width="12.28515625" style="106" customWidth="1"/>
    <col min="7713" max="7713" width="1.5703125" style="106" customWidth="1"/>
    <col min="7714" max="7714" width="12.28515625" style="106" customWidth="1"/>
    <col min="7715" max="7715" width="4.5703125" style="106" customWidth="1"/>
    <col min="7716" max="7716" width="1.42578125" style="106" customWidth="1"/>
    <col min="7717" max="7939" width="13.85546875" style="106"/>
    <col min="7940" max="7940" width="7.85546875" style="106" customWidth="1"/>
    <col min="7941" max="7942" width="2.28515625" style="106" customWidth="1"/>
    <col min="7943" max="7943" width="31.42578125" style="106" customWidth="1"/>
    <col min="7944" max="7944" width="2.28515625" style="106" customWidth="1"/>
    <col min="7945" max="7945" width="2.140625" style="106" customWidth="1"/>
    <col min="7946" max="7946" width="12.28515625" style="106" customWidth="1"/>
    <col min="7947" max="7947" width="1.5703125" style="106" customWidth="1"/>
    <col min="7948" max="7948" width="12.28515625" style="106" customWidth="1"/>
    <col min="7949" max="7949" width="1.5703125" style="106" customWidth="1"/>
    <col min="7950" max="7950" width="12.28515625" style="106" customWidth="1"/>
    <col min="7951" max="7951" width="1.5703125" style="106" customWidth="1"/>
    <col min="7952" max="7952" width="13.5703125" style="106" customWidth="1"/>
    <col min="7953" max="7953" width="0.85546875" style="106" customWidth="1"/>
    <col min="7954" max="7954" width="12.28515625" style="106" customWidth="1"/>
    <col min="7955" max="7955" width="1.5703125" style="106" customWidth="1"/>
    <col min="7956" max="7956" width="12.28515625" style="106" customWidth="1"/>
    <col min="7957" max="7957" width="1.5703125" style="106" customWidth="1"/>
    <col min="7958" max="7958" width="12.28515625" style="106" customWidth="1"/>
    <col min="7959" max="7959" width="0.85546875" style="106" customWidth="1"/>
    <col min="7960" max="7960" width="12.28515625" style="106" customWidth="1"/>
    <col min="7961" max="7961" width="1.5703125" style="106" customWidth="1"/>
    <col min="7962" max="7962" width="12.28515625" style="106" customWidth="1"/>
    <col min="7963" max="7963" width="1.5703125" style="106" customWidth="1"/>
    <col min="7964" max="7964" width="12.28515625" style="106" customWidth="1"/>
    <col min="7965" max="7965" width="0.85546875" style="106" customWidth="1"/>
    <col min="7966" max="7966" width="12.28515625" style="106" customWidth="1"/>
    <col min="7967" max="7967" width="1.5703125" style="106" customWidth="1"/>
    <col min="7968" max="7968" width="12.28515625" style="106" customWidth="1"/>
    <col min="7969" max="7969" width="1.5703125" style="106" customWidth="1"/>
    <col min="7970" max="7970" width="12.28515625" style="106" customWidth="1"/>
    <col min="7971" max="7971" width="4.5703125" style="106" customWidth="1"/>
    <col min="7972" max="7972" width="1.42578125" style="106" customWidth="1"/>
    <col min="7973" max="8195" width="13.85546875" style="106"/>
    <col min="8196" max="8196" width="7.85546875" style="106" customWidth="1"/>
    <col min="8197" max="8198" width="2.28515625" style="106" customWidth="1"/>
    <col min="8199" max="8199" width="31.42578125" style="106" customWidth="1"/>
    <col min="8200" max="8200" width="2.28515625" style="106" customWidth="1"/>
    <col min="8201" max="8201" width="2.140625" style="106" customWidth="1"/>
    <col min="8202" max="8202" width="12.28515625" style="106" customWidth="1"/>
    <col min="8203" max="8203" width="1.5703125" style="106" customWidth="1"/>
    <col min="8204" max="8204" width="12.28515625" style="106" customWidth="1"/>
    <col min="8205" max="8205" width="1.5703125" style="106" customWidth="1"/>
    <col min="8206" max="8206" width="12.28515625" style="106" customWidth="1"/>
    <col min="8207" max="8207" width="1.5703125" style="106" customWidth="1"/>
    <col min="8208" max="8208" width="13.5703125" style="106" customWidth="1"/>
    <col min="8209" max="8209" width="0.85546875" style="106" customWidth="1"/>
    <col min="8210" max="8210" width="12.28515625" style="106" customWidth="1"/>
    <col min="8211" max="8211" width="1.5703125" style="106" customWidth="1"/>
    <col min="8212" max="8212" width="12.28515625" style="106" customWidth="1"/>
    <col min="8213" max="8213" width="1.5703125" style="106" customWidth="1"/>
    <col min="8214" max="8214" width="12.28515625" style="106" customWidth="1"/>
    <col min="8215" max="8215" width="0.85546875" style="106" customWidth="1"/>
    <col min="8216" max="8216" width="12.28515625" style="106" customWidth="1"/>
    <col min="8217" max="8217" width="1.5703125" style="106" customWidth="1"/>
    <col min="8218" max="8218" width="12.28515625" style="106" customWidth="1"/>
    <col min="8219" max="8219" width="1.5703125" style="106" customWidth="1"/>
    <col min="8220" max="8220" width="12.28515625" style="106" customWidth="1"/>
    <col min="8221" max="8221" width="0.85546875" style="106" customWidth="1"/>
    <col min="8222" max="8222" width="12.28515625" style="106" customWidth="1"/>
    <col min="8223" max="8223" width="1.5703125" style="106" customWidth="1"/>
    <col min="8224" max="8224" width="12.28515625" style="106" customWidth="1"/>
    <col min="8225" max="8225" width="1.5703125" style="106" customWidth="1"/>
    <col min="8226" max="8226" width="12.28515625" style="106" customWidth="1"/>
    <col min="8227" max="8227" width="4.5703125" style="106" customWidth="1"/>
    <col min="8228" max="8228" width="1.42578125" style="106" customWidth="1"/>
    <col min="8229" max="8451" width="13.85546875" style="106"/>
    <col min="8452" max="8452" width="7.85546875" style="106" customWidth="1"/>
    <col min="8453" max="8454" width="2.28515625" style="106" customWidth="1"/>
    <col min="8455" max="8455" width="31.42578125" style="106" customWidth="1"/>
    <col min="8456" max="8456" width="2.28515625" style="106" customWidth="1"/>
    <col min="8457" max="8457" width="2.140625" style="106" customWidth="1"/>
    <col min="8458" max="8458" width="12.28515625" style="106" customWidth="1"/>
    <col min="8459" max="8459" width="1.5703125" style="106" customWidth="1"/>
    <col min="8460" max="8460" width="12.28515625" style="106" customWidth="1"/>
    <col min="8461" max="8461" width="1.5703125" style="106" customWidth="1"/>
    <col min="8462" max="8462" width="12.28515625" style="106" customWidth="1"/>
    <col min="8463" max="8463" width="1.5703125" style="106" customWidth="1"/>
    <col min="8464" max="8464" width="13.5703125" style="106" customWidth="1"/>
    <col min="8465" max="8465" width="0.85546875" style="106" customWidth="1"/>
    <col min="8466" max="8466" width="12.28515625" style="106" customWidth="1"/>
    <col min="8467" max="8467" width="1.5703125" style="106" customWidth="1"/>
    <col min="8468" max="8468" width="12.28515625" style="106" customWidth="1"/>
    <col min="8469" max="8469" width="1.5703125" style="106" customWidth="1"/>
    <col min="8470" max="8470" width="12.28515625" style="106" customWidth="1"/>
    <col min="8471" max="8471" width="0.85546875" style="106" customWidth="1"/>
    <col min="8472" max="8472" width="12.28515625" style="106" customWidth="1"/>
    <col min="8473" max="8473" width="1.5703125" style="106" customWidth="1"/>
    <col min="8474" max="8474" width="12.28515625" style="106" customWidth="1"/>
    <col min="8475" max="8475" width="1.5703125" style="106" customWidth="1"/>
    <col min="8476" max="8476" width="12.28515625" style="106" customWidth="1"/>
    <col min="8477" max="8477" width="0.85546875" style="106" customWidth="1"/>
    <col min="8478" max="8478" width="12.28515625" style="106" customWidth="1"/>
    <col min="8479" max="8479" width="1.5703125" style="106" customWidth="1"/>
    <col min="8480" max="8480" width="12.28515625" style="106" customWidth="1"/>
    <col min="8481" max="8481" width="1.5703125" style="106" customWidth="1"/>
    <col min="8482" max="8482" width="12.28515625" style="106" customWidth="1"/>
    <col min="8483" max="8483" width="4.5703125" style="106" customWidth="1"/>
    <col min="8484" max="8484" width="1.42578125" style="106" customWidth="1"/>
    <col min="8485" max="8707" width="13.85546875" style="106"/>
    <col min="8708" max="8708" width="7.85546875" style="106" customWidth="1"/>
    <col min="8709" max="8710" width="2.28515625" style="106" customWidth="1"/>
    <col min="8711" max="8711" width="31.42578125" style="106" customWidth="1"/>
    <col min="8712" max="8712" width="2.28515625" style="106" customWidth="1"/>
    <col min="8713" max="8713" width="2.140625" style="106" customWidth="1"/>
    <col min="8714" max="8714" width="12.28515625" style="106" customWidth="1"/>
    <col min="8715" max="8715" width="1.5703125" style="106" customWidth="1"/>
    <col min="8716" max="8716" width="12.28515625" style="106" customWidth="1"/>
    <col min="8717" max="8717" width="1.5703125" style="106" customWidth="1"/>
    <col min="8718" max="8718" width="12.28515625" style="106" customWidth="1"/>
    <col min="8719" max="8719" width="1.5703125" style="106" customWidth="1"/>
    <col min="8720" max="8720" width="13.5703125" style="106" customWidth="1"/>
    <col min="8721" max="8721" width="0.85546875" style="106" customWidth="1"/>
    <col min="8722" max="8722" width="12.28515625" style="106" customWidth="1"/>
    <col min="8723" max="8723" width="1.5703125" style="106" customWidth="1"/>
    <col min="8724" max="8724" width="12.28515625" style="106" customWidth="1"/>
    <col min="8725" max="8725" width="1.5703125" style="106" customWidth="1"/>
    <col min="8726" max="8726" width="12.28515625" style="106" customWidth="1"/>
    <col min="8727" max="8727" width="0.85546875" style="106" customWidth="1"/>
    <col min="8728" max="8728" width="12.28515625" style="106" customWidth="1"/>
    <col min="8729" max="8729" width="1.5703125" style="106" customWidth="1"/>
    <col min="8730" max="8730" width="12.28515625" style="106" customWidth="1"/>
    <col min="8731" max="8731" width="1.5703125" style="106" customWidth="1"/>
    <col min="8732" max="8732" width="12.28515625" style="106" customWidth="1"/>
    <col min="8733" max="8733" width="0.85546875" style="106" customWidth="1"/>
    <col min="8734" max="8734" width="12.28515625" style="106" customWidth="1"/>
    <col min="8735" max="8735" width="1.5703125" style="106" customWidth="1"/>
    <col min="8736" max="8736" width="12.28515625" style="106" customWidth="1"/>
    <col min="8737" max="8737" width="1.5703125" style="106" customWidth="1"/>
    <col min="8738" max="8738" width="12.28515625" style="106" customWidth="1"/>
    <col min="8739" max="8739" width="4.5703125" style="106" customWidth="1"/>
    <col min="8740" max="8740" width="1.42578125" style="106" customWidth="1"/>
    <col min="8741" max="8963" width="13.85546875" style="106"/>
    <col min="8964" max="8964" width="7.85546875" style="106" customWidth="1"/>
    <col min="8965" max="8966" width="2.28515625" style="106" customWidth="1"/>
    <col min="8967" max="8967" width="31.42578125" style="106" customWidth="1"/>
    <col min="8968" max="8968" width="2.28515625" style="106" customWidth="1"/>
    <col min="8969" max="8969" width="2.140625" style="106" customWidth="1"/>
    <col min="8970" max="8970" width="12.28515625" style="106" customWidth="1"/>
    <col min="8971" max="8971" width="1.5703125" style="106" customWidth="1"/>
    <col min="8972" max="8972" width="12.28515625" style="106" customWidth="1"/>
    <col min="8973" max="8973" width="1.5703125" style="106" customWidth="1"/>
    <col min="8974" max="8974" width="12.28515625" style="106" customWidth="1"/>
    <col min="8975" max="8975" width="1.5703125" style="106" customWidth="1"/>
    <col min="8976" max="8976" width="13.5703125" style="106" customWidth="1"/>
    <col min="8977" max="8977" width="0.85546875" style="106" customWidth="1"/>
    <col min="8978" max="8978" width="12.28515625" style="106" customWidth="1"/>
    <col min="8979" max="8979" width="1.5703125" style="106" customWidth="1"/>
    <col min="8980" max="8980" width="12.28515625" style="106" customWidth="1"/>
    <col min="8981" max="8981" width="1.5703125" style="106" customWidth="1"/>
    <col min="8982" max="8982" width="12.28515625" style="106" customWidth="1"/>
    <col min="8983" max="8983" width="0.85546875" style="106" customWidth="1"/>
    <col min="8984" max="8984" width="12.28515625" style="106" customWidth="1"/>
    <col min="8985" max="8985" width="1.5703125" style="106" customWidth="1"/>
    <col min="8986" max="8986" width="12.28515625" style="106" customWidth="1"/>
    <col min="8987" max="8987" width="1.5703125" style="106" customWidth="1"/>
    <col min="8988" max="8988" width="12.28515625" style="106" customWidth="1"/>
    <col min="8989" max="8989" width="0.85546875" style="106" customWidth="1"/>
    <col min="8990" max="8990" width="12.28515625" style="106" customWidth="1"/>
    <col min="8991" max="8991" width="1.5703125" style="106" customWidth="1"/>
    <col min="8992" max="8992" width="12.28515625" style="106" customWidth="1"/>
    <col min="8993" max="8993" width="1.5703125" style="106" customWidth="1"/>
    <col min="8994" max="8994" width="12.28515625" style="106" customWidth="1"/>
    <col min="8995" max="8995" width="4.5703125" style="106" customWidth="1"/>
    <col min="8996" max="8996" width="1.42578125" style="106" customWidth="1"/>
    <col min="8997" max="9219" width="13.85546875" style="106"/>
    <col min="9220" max="9220" width="7.85546875" style="106" customWidth="1"/>
    <col min="9221" max="9222" width="2.28515625" style="106" customWidth="1"/>
    <col min="9223" max="9223" width="31.42578125" style="106" customWidth="1"/>
    <col min="9224" max="9224" width="2.28515625" style="106" customWidth="1"/>
    <col min="9225" max="9225" width="2.140625" style="106" customWidth="1"/>
    <col min="9226" max="9226" width="12.28515625" style="106" customWidth="1"/>
    <col min="9227" max="9227" width="1.5703125" style="106" customWidth="1"/>
    <col min="9228" max="9228" width="12.28515625" style="106" customWidth="1"/>
    <col min="9229" max="9229" width="1.5703125" style="106" customWidth="1"/>
    <col min="9230" max="9230" width="12.28515625" style="106" customWidth="1"/>
    <col min="9231" max="9231" width="1.5703125" style="106" customWidth="1"/>
    <col min="9232" max="9232" width="13.5703125" style="106" customWidth="1"/>
    <col min="9233" max="9233" width="0.85546875" style="106" customWidth="1"/>
    <col min="9234" max="9234" width="12.28515625" style="106" customWidth="1"/>
    <col min="9235" max="9235" width="1.5703125" style="106" customWidth="1"/>
    <col min="9236" max="9236" width="12.28515625" style="106" customWidth="1"/>
    <col min="9237" max="9237" width="1.5703125" style="106" customWidth="1"/>
    <col min="9238" max="9238" width="12.28515625" style="106" customWidth="1"/>
    <col min="9239" max="9239" width="0.85546875" style="106" customWidth="1"/>
    <col min="9240" max="9240" width="12.28515625" style="106" customWidth="1"/>
    <col min="9241" max="9241" width="1.5703125" style="106" customWidth="1"/>
    <col min="9242" max="9242" width="12.28515625" style="106" customWidth="1"/>
    <col min="9243" max="9243" width="1.5703125" style="106" customWidth="1"/>
    <col min="9244" max="9244" width="12.28515625" style="106" customWidth="1"/>
    <col min="9245" max="9245" width="0.85546875" style="106" customWidth="1"/>
    <col min="9246" max="9246" width="12.28515625" style="106" customWidth="1"/>
    <col min="9247" max="9247" width="1.5703125" style="106" customWidth="1"/>
    <col min="9248" max="9248" width="12.28515625" style="106" customWidth="1"/>
    <col min="9249" max="9249" width="1.5703125" style="106" customWidth="1"/>
    <col min="9250" max="9250" width="12.28515625" style="106" customWidth="1"/>
    <col min="9251" max="9251" width="4.5703125" style="106" customWidth="1"/>
    <col min="9252" max="9252" width="1.42578125" style="106" customWidth="1"/>
    <col min="9253" max="9475" width="13.85546875" style="106"/>
    <col min="9476" max="9476" width="7.85546875" style="106" customWidth="1"/>
    <col min="9477" max="9478" width="2.28515625" style="106" customWidth="1"/>
    <col min="9479" max="9479" width="31.42578125" style="106" customWidth="1"/>
    <col min="9480" max="9480" width="2.28515625" style="106" customWidth="1"/>
    <col min="9481" max="9481" width="2.140625" style="106" customWidth="1"/>
    <col min="9482" max="9482" width="12.28515625" style="106" customWidth="1"/>
    <col min="9483" max="9483" width="1.5703125" style="106" customWidth="1"/>
    <col min="9484" max="9484" width="12.28515625" style="106" customWidth="1"/>
    <col min="9485" max="9485" width="1.5703125" style="106" customWidth="1"/>
    <col min="9486" max="9486" width="12.28515625" style="106" customWidth="1"/>
    <col min="9487" max="9487" width="1.5703125" style="106" customWidth="1"/>
    <col min="9488" max="9488" width="13.5703125" style="106" customWidth="1"/>
    <col min="9489" max="9489" width="0.85546875" style="106" customWidth="1"/>
    <col min="9490" max="9490" width="12.28515625" style="106" customWidth="1"/>
    <col min="9491" max="9491" width="1.5703125" style="106" customWidth="1"/>
    <col min="9492" max="9492" width="12.28515625" style="106" customWidth="1"/>
    <col min="9493" max="9493" width="1.5703125" style="106" customWidth="1"/>
    <col min="9494" max="9494" width="12.28515625" style="106" customWidth="1"/>
    <col min="9495" max="9495" width="0.85546875" style="106" customWidth="1"/>
    <col min="9496" max="9496" width="12.28515625" style="106" customWidth="1"/>
    <col min="9497" max="9497" width="1.5703125" style="106" customWidth="1"/>
    <col min="9498" max="9498" width="12.28515625" style="106" customWidth="1"/>
    <col min="9499" max="9499" width="1.5703125" style="106" customWidth="1"/>
    <col min="9500" max="9500" width="12.28515625" style="106" customWidth="1"/>
    <col min="9501" max="9501" width="0.85546875" style="106" customWidth="1"/>
    <col min="9502" max="9502" width="12.28515625" style="106" customWidth="1"/>
    <col min="9503" max="9503" width="1.5703125" style="106" customWidth="1"/>
    <col min="9504" max="9504" width="12.28515625" style="106" customWidth="1"/>
    <col min="9505" max="9505" width="1.5703125" style="106" customWidth="1"/>
    <col min="9506" max="9506" width="12.28515625" style="106" customWidth="1"/>
    <col min="9507" max="9507" width="4.5703125" style="106" customWidth="1"/>
    <col min="9508" max="9508" width="1.42578125" style="106" customWidth="1"/>
    <col min="9509" max="9731" width="13.85546875" style="106"/>
    <col min="9732" max="9732" width="7.85546875" style="106" customWidth="1"/>
    <col min="9733" max="9734" width="2.28515625" style="106" customWidth="1"/>
    <col min="9735" max="9735" width="31.42578125" style="106" customWidth="1"/>
    <col min="9736" max="9736" width="2.28515625" style="106" customWidth="1"/>
    <col min="9737" max="9737" width="2.140625" style="106" customWidth="1"/>
    <col min="9738" max="9738" width="12.28515625" style="106" customWidth="1"/>
    <col min="9739" max="9739" width="1.5703125" style="106" customWidth="1"/>
    <col min="9740" max="9740" width="12.28515625" style="106" customWidth="1"/>
    <col min="9741" max="9741" width="1.5703125" style="106" customWidth="1"/>
    <col min="9742" max="9742" width="12.28515625" style="106" customWidth="1"/>
    <col min="9743" max="9743" width="1.5703125" style="106" customWidth="1"/>
    <col min="9744" max="9744" width="13.5703125" style="106" customWidth="1"/>
    <col min="9745" max="9745" width="0.85546875" style="106" customWidth="1"/>
    <col min="9746" max="9746" width="12.28515625" style="106" customWidth="1"/>
    <col min="9747" max="9747" width="1.5703125" style="106" customWidth="1"/>
    <col min="9748" max="9748" width="12.28515625" style="106" customWidth="1"/>
    <col min="9749" max="9749" width="1.5703125" style="106" customWidth="1"/>
    <col min="9750" max="9750" width="12.28515625" style="106" customWidth="1"/>
    <col min="9751" max="9751" width="0.85546875" style="106" customWidth="1"/>
    <col min="9752" max="9752" width="12.28515625" style="106" customWidth="1"/>
    <col min="9753" max="9753" width="1.5703125" style="106" customWidth="1"/>
    <col min="9754" max="9754" width="12.28515625" style="106" customWidth="1"/>
    <col min="9755" max="9755" width="1.5703125" style="106" customWidth="1"/>
    <col min="9756" max="9756" width="12.28515625" style="106" customWidth="1"/>
    <col min="9757" max="9757" width="0.85546875" style="106" customWidth="1"/>
    <col min="9758" max="9758" width="12.28515625" style="106" customWidth="1"/>
    <col min="9759" max="9759" width="1.5703125" style="106" customWidth="1"/>
    <col min="9760" max="9760" width="12.28515625" style="106" customWidth="1"/>
    <col min="9761" max="9761" width="1.5703125" style="106" customWidth="1"/>
    <col min="9762" max="9762" width="12.28515625" style="106" customWidth="1"/>
    <col min="9763" max="9763" width="4.5703125" style="106" customWidth="1"/>
    <col min="9764" max="9764" width="1.42578125" style="106" customWidth="1"/>
    <col min="9765" max="9987" width="13.85546875" style="106"/>
    <col min="9988" max="9988" width="7.85546875" style="106" customWidth="1"/>
    <col min="9989" max="9990" width="2.28515625" style="106" customWidth="1"/>
    <col min="9991" max="9991" width="31.42578125" style="106" customWidth="1"/>
    <col min="9992" max="9992" width="2.28515625" style="106" customWidth="1"/>
    <col min="9993" max="9993" width="2.140625" style="106" customWidth="1"/>
    <col min="9994" max="9994" width="12.28515625" style="106" customWidth="1"/>
    <col min="9995" max="9995" width="1.5703125" style="106" customWidth="1"/>
    <col min="9996" max="9996" width="12.28515625" style="106" customWidth="1"/>
    <col min="9997" max="9997" width="1.5703125" style="106" customWidth="1"/>
    <col min="9998" max="9998" width="12.28515625" style="106" customWidth="1"/>
    <col min="9999" max="9999" width="1.5703125" style="106" customWidth="1"/>
    <col min="10000" max="10000" width="13.5703125" style="106" customWidth="1"/>
    <col min="10001" max="10001" width="0.85546875" style="106" customWidth="1"/>
    <col min="10002" max="10002" width="12.28515625" style="106" customWidth="1"/>
    <col min="10003" max="10003" width="1.5703125" style="106" customWidth="1"/>
    <col min="10004" max="10004" width="12.28515625" style="106" customWidth="1"/>
    <col min="10005" max="10005" width="1.5703125" style="106" customWidth="1"/>
    <col min="10006" max="10006" width="12.28515625" style="106" customWidth="1"/>
    <col min="10007" max="10007" width="0.85546875" style="106" customWidth="1"/>
    <col min="10008" max="10008" width="12.28515625" style="106" customWidth="1"/>
    <col min="10009" max="10009" width="1.5703125" style="106" customWidth="1"/>
    <col min="10010" max="10010" width="12.28515625" style="106" customWidth="1"/>
    <col min="10011" max="10011" width="1.5703125" style="106" customWidth="1"/>
    <col min="10012" max="10012" width="12.28515625" style="106" customWidth="1"/>
    <col min="10013" max="10013" width="0.85546875" style="106" customWidth="1"/>
    <col min="10014" max="10014" width="12.28515625" style="106" customWidth="1"/>
    <col min="10015" max="10015" width="1.5703125" style="106" customWidth="1"/>
    <col min="10016" max="10016" width="12.28515625" style="106" customWidth="1"/>
    <col min="10017" max="10017" width="1.5703125" style="106" customWidth="1"/>
    <col min="10018" max="10018" width="12.28515625" style="106" customWidth="1"/>
    <col min="10019" max="10019" width="4.5703125" style="106" customWidth="1"/>
    <col min="10020" max="10020" width="1.42578125" style="106" customWidth="1"/>
    <col min="10021" max="10243" width="13.85546875" style="106"/>
    <col min="10244" max="10244" width="7.85546875" style="106" customWidth="1"/>
    <col min="10245" max="10246" width="2.28515625" style="106" customWidth="1"/>
    <col min="10247" max="10247" width="31.42578125" style="106" customWidth="1"/>
    <col min="10248" max="10248" width="2.28515625" style="106" customWidth="1"/>
    <col min="10249" max="10249" width="2.140625" style="106" customWidth="1"/>
    <col min="10250" max="10250" width="12.28515625" style="106" customWidth="1"/>
    <col min="10251" max="10251" width="1.5703125" style="106" customWidth="1"/>
    <col min="10252" max="10252" width="12.28515625" style="106" customWidth="1"/>
    <col min="10253" max="10253" width="1.5703125" style="106" customWidth="1"/>
    <col min="10254" max="10254" width="12.28515625" style="106" customWidth="1"/>
    <col min="10255" max="10255" width="1.5703125" style="106" customWidth="1"/>
    <col min="10256" max="10256" width="13.5703125" style="106" customWidth="1"/>
    <col min="10257" max="10257" width="0.85546875" style="106" customWidth="1"/>
    <col min="10258" max="10258" width="12.28515625" style="106" customWidth="1"/>
    <col min="10259" max="10259" width="1.5703125" style="106" customWidth="1"/>
    <col min="10260" max="10260" width="12.28515625" style="106" customWidth="1"/>
    <col min="10261" max="10261" width="1.5703125" style="106" customWidth="1"/>
    <col min="10262" max="10262" width="12.28515625" style="106" customWidth="1"/>
    <col min="10263" max="10263" width="0.85546875" style="106" customWidth="1"/>
    <col min="10264" max="10264" width="12.28515625" style="106" customWidth="1"/>
    <col min="10265" max="10265" width="1.5703125" style="106" customWidth="1"/>
    <col min="10266" max="10266" width="12.28515625" style="106" customWidth="1"/>
    <col min="10267" max="10267" width="1.5703125" style="106" customWidth="1"/>
    <col min="10268" max="10268" width="12.28515625" style="106" customWidth="1"/>
    <col min="10269" max="10269" width="0.85546875" style="106" customWidth="1"/>
    <col min="10270" max="10270" width="12.28515625" style="106" customWidth="1"/>
    <col min="10271" max="10271" width="1.5703125" style="106" customWidth="1"/>
    <col min="10272" max="10272" width="12.28515625" style="106" customWidth="1"/>
    <col min="10273" max="10273" width="1.5703125" style="106" customWidth="1"/>
    <col min="10274" max="10274" width="12.28515625" style="106" customWidth="1"/>
    <col min="10275" max="10275" width="4.5703125" style="106" customWidth="1"/>
    <col min="10276" max="10276" width="1.42578125" style="106" customWidth="1"/>
    <col min="10277" max="10499" width="13.85546875" style="106"/>
    <col min="10500" max="10500" width="7.85546875" style="106" customWidth="1"/>
    <col min="10501" max="10502" width="2.28515625" style="106" customWidth="1"/>
    <col min="10503" max="10503" width="31.42578125" style="106" customWidth="1"/>
    <col min="10504" max="10504" width="2.28515625" style="106" customWidth="1"/>
    <col min="10505" max="10505" width="2.140625" style="106" customWidth="1"/>
    <col min="10506" max="10506" width="12.28515625" style="106" customWidth="1"/>
    <col min="10507" max="10507" width="1.5703125" style="106" customWidth="1"/>
    <col min="10508" max="10508" width="12.28515625" style="106" customWidth="1"/>
    <col min="10509" max="10509" width="1.5703125" style="106" customWidth="1"/>
    <col min="10510" max="10510" width="12.28515625" style="106" customWidth="1"/>
    <col min="10511" max="10511" width="1.5703125" style="106" customWidth="1"/>
    <col min="10512" max="10512" width="13.5703125" style="106" customWidth="1"/>
    <col min="10513" max="10513" width="0.85546875" style="106" customWidth="1"/>
    <col min="10514" max="10514" width="12.28515625" style="106" customWidth="1"/>
    <col min="10515" max="10515" width="1.5703125" style="106" customWidth="1"/>
    <col min="10516" max="10516" width="12.28515625" style="106" customWidth="1"/>
    <col min="10517" max="10517" width="1.5703125" style="106" customWidth="1"/>
    <col min="10518" max="10518" width="12.28515625" style="106" customWidth="1"/>
    <col min="10519" max="10519" width="0.85546875" style="106" customWidth="1"/>
    <col min="10520" max="10520" width="12.28515625" style="106" customWidth="1"/>
    <col min="10521" max="10521" width="1.5703125" style="106" customWidth="1"/>
    <col min="10522" max="10522" width="12.28515625" style="106" customWidth="1"/>
    <col min="10523" max="10523" width="1.5703125" style="106" customWidth="1"/>
    <col min="10524" max="10524" width="12.28515625" style="106" customWidth="1"/>
    <col min="10525" max="10525" width="0.85546875" style="106" customWidth="1"/>
    <col min="10526" max="10526" width="12.28515625" style="106" customWidth="1"/>
    <col min="10527" max="10527" width="1.5703125" style="106" customWidth="1"/>
    <col min="10528" max="10528" width="12.28515625" style="106" customWidth="1"/>
    <col min="10529" max="10529" width="1.5703125" style="106" customWidth="1"/>
    <col min="10530" max="10530" width="12.28515625" style="106" customWidth="1"/>
    <col min="10531" max="10531" width="4.5703125" style="106" customWidth="1"/>
    <col min="10532" max="10532" width="1.42578125" style="106" customWidth="1"/>
    <col min="10533" max="10755" width="13.85546875" style="106"/>
    <col min="10756" max="10756" width="7.85546875" style="106" customWidth="1"/>
    <col min="10757" max="10758" width="2.28515625" style="106" customWidth="1"/>
    <col min="10759" max="10759" width="31.42578125" style="106" customWidth="1"/>
    <col min="10760" max="10760" width="2.28515625" style="106" customWidth="1"/>
    <col min="10761" max="10761" width="2.140625" style="106" customWidth="1"/>
    <col min="10762" max="10762" width="12.28515625" style="106" customWidth="1"/>
    <col min="10763" max="10763" width="1.5703125" style="106" customWidth="1"/>
    <col min="10764" max="10764" width="12.28515625" style="106" customWidth="1"/>
    <col min="10765" max="10765" width="1.5703125" style="106" customWidth="1"/>
    <col min="10766" max="10766" width="12.28515625" style="106" customWidth="1"/>
    <col min="10767" max="10767" width="1.5703125" style="106" customWidth="1"/>
    <col min="10768" max="10768" width="13.5703125" style="106" customWidth="1"/>
    <col min="10769" max="10769" width="0.85546875" style="106" customWidth="1"/>
    <col min="10770" max="10770" width="12.28515625" style="106" customWidth="1"/>
    <col min="10771" max="10771" width="1.5703125" style="106" customWidth="1"/>
    <col min="10772" max="10772" width="12.28515625" style="106" customWidth="1"/>
    <col min="10773" max="10773" width="1.5703125" style="106" customWidth="1"/>
    <col min="10774" max="10774" width="12.28515625" style="106" customWidth="1"/>
    <col min="10775" max="10775" width="0.85546875" style="106" customWidth="1"/>
    <col min="10776" max="10776" width="12.28515625" style="106" customWidth="1"/>
    <col min="10777" max="10777" width="1.5703125" style="106" customWidth="1"/>
    <col min="10778" max="10778" width="12.28515625" style="106" customWidth="1"/>
    <col min="10779" max="10779" width="1.5703125" style="106" customWidth="1"/>
    <col min="10780" max="10780" width="12.28515625" style="106" customWidth="1"/>
    <col min="10781" max="10781" width="0.85546875" style="106" customWidth="1"/>
    <col min="10782" max="10782" width="12.28515625" style="106" customWidth="1"/>
    <col min="10783" max="10783" width="1.5703125" style="106" customWidth="1"/>
    <col min="10784" max="10784" width="12.28515625" style="106" customWidth="1"/>
    <col min="10785" max="10785" width="1.5703125" style="106" customWidth="1"/>
    <col min="10786" max="10786" width="12.28515625" style="106" customWidth="1"/>
    <col min="10787" max="10787" width="4.5703125" style="106" customWidth="1"/>
    <col min="10788" max="10788" width="1.42578125" style="106" customWidth="1"/>
    <col min="10789" max="11011" width="13.85546875" style="106"/>
    <col min="11012" max="11012" width="7.85546875" style="106" customWidth="1"/>
    <col min="11013" max="11014" width="2.28515625" style="106" customWidth="1"/>
    <col min="11015" max="11015" width="31.42578125" style="106" customWidth="1"/>
    <col min="11016" max="11016" width="2.28515625" style="106" customWidth="1"/>
    <col min="11017" max="11017" width="2.140625" style="106" customWidth="1"/>
    <col min="11018" max="11018" width="12.28515625" style="106" customWidth="1"/>
    <col min="11019" max="11019" width="1.5703125" style="106" customWidth="1"/>
    <col min="11020" max="11020" width="12.28515625" style="106" customWidth="1"/>
    <col min="11021" max="11021" width="1.5703125" style="106" customWidth="1"/>
    <col min="11022" max="11022" width="12.28515625" style="106" customWidth="1"/>
    <col min="11023" max="11023" width="1.5703125" style="106" customWidth="1"/>
    <col min="11024" max="11024" width="13.5703125" style="106" customWidth="1"/>
    <col min="11025" max="11025" width="0.85546875" style="106" customWidth="1"/>
    <col min="11026" max="11026" width="12.28515625" style="106" customWidth="1"/>
    <col min="11027" max="11027" width="1.5703125" style="106" customWidth="1"/>
    <col min="11028" max="11028" width="12.28515625" style="106" customWidth="1"/>
    <col min="11029" max="11029" width="1.5703125" style="106" customWidth="1"/>
    <col min="11030" max="11030" width="12.28515625" style="106" customWidth="1"/>
    <col min="11031" max="11031" width="0.85546875" style="106" customWidth="1"/>
    <col min="11032" max="11032" width="12.28515625" style="106" customWidth="1"/>
    <col min="11033" max="11033" width="1.5703125" style="106" customWidth="1"/>
    <col min="11034" max="11034" width="12.28515625" style="106" customWidth="1"/>
    <col min="11035" max="11035" width="1.5703125" style="106" customWidth="1"/>
    <col min="11036" max="11036" width="12.28515625" style="106" customWidth="1"/>
    <col min="11037" max="11037" width="0.85546875" style="106" customWidth="1"/>
    <col min="11038" max="11038" width="12.28515625" style="106" customWidth="1"/>
    <col min="11039" max="11039" width="1.5703125" style="106" customWidth="1"/>
    <col min="11040" max="11040" width="12.28515625" style="106" customWidth="1"/>
    <col min="11041" max="11041" width="1.5703125" style="106" customWidth="1"/>
    <col min="11042" max="11042" width="12.28515625" style="106" customWidth="1"/>
    <col min="11043" max="11043" width="4.5703125" style="106" customWidth="1"/>
    <col min="11044" max="11044" width="1.42578125" style="106" customWidth="1"/>
    <col min="11045" max="11267" width="13.85546875" style="106"/>
    <col min="11268" max="11268" width="7.85546875" style="106" customWidth="1"/>
    <col min="11269" max="11270" width="2.28515625" style="106" customWidth="1"/>
    <col min="11271" max="11271" width="31.42578125" style="106" customWidth="1"/>
    <col min="11272" max="11272" width="2.28515625" style="106" customWidth="1"/>
    <col min="11273" max="11273" width="2.140625" style="106" customWidth="1"/>
    <col min="11274" max="11274" width="12.28515625" style="106" customWidth="1"/>
    <col min="11275" max="11275" width="1.5703125" style="106" customWidth="1"/>
    <col min="11276" max="11276" width="12.28515625" style="106" customWidth="1"/>
    <col min="11277" max="11277" width="1.5703125" style="106" customWidth="1"/>
    <col min="11278" max="11278" width="12.28515625" style="106" customWidth="1"/>
    <col min="11279" max="11279" width="1.5703125" style="106" customWidth="1"/>
    <col min="11280" max="11280" width="13.5703125" style="106" customWidth="1"/>
    <col min="11281" max="11281" width="0.85546875" style="106" customWidth="1"/>
    <col min="11282" max="11282" width="12.28515625" style="106" customWidth="1"/>
    <col min="11283" max="11283" width="1.5703125" style="106" customWidth="1"/>
    <col min="11284" max="11284" width="12.28515625" style="106" customWidth="1"/>
    <col min="11285" max="11285" width="1.5703125" style="106" customWidth="1"/>
    <col min="11286" max="11286" width="12.28515625" style="106" customWidth="1"/>
    <col min="11287" max="11287" width="0.85546875" style="106" customWidth="1"/>
    <col min="11288" max="11288" width="12.28515625" style="106" customWidth="1"/>
    <col min="11289" max="11289" width="1.5703125" style="106" customWidth="1"/>
    <col min="11290" max="11290" width="12.28515625" style="106" customWidth="1"/>
    <col min="11291" max="11291" width="1.5703125" style="106" customWidth="1"/>
    <col min="11292" max="11292" width="12.28515625" style="106" customWidth="1"/>
    <col min="11293" max="11293" width="0.85546875" style="106" customWidth="1"/>
    <col min="11294" max="11294" width="12.28515625" style="106" customWidth="1"/>
    <col min="11295" max="11295" width="1.5703125" style="106" customWidth="1"/>
    <col min="11296" max="11296" width="12.28515625" style="106" customWidth="1"/>
    <col min="11297" max="11297" width="1.5703125" style="106" customWidth="1"/>
    <col min="11298" max="11298" width="12.28515625" style="106" customWidth="1"/>
    <col min="11299" max="11299" width="4.5703125" style="106" customWidth="1"/>
    <col min="11300" max="11300" width="1.42578125" style="106" customWidth="1"/>
    <col min="11301" max="11523" width="13.85546875" style="106"/>
    <col min="11524" max="11524" width="7.85546875" style="106" customWidth="1"/>
    <col min="11525" max="11526" width="2.28515625" style="106" customWidth="1"/>
    <col min="11527" max="11527" width="31.42578125" style="106" customWidth="1"/>
    <col min="11528" max="11528" width="2.28515625" style="106" customWidth="1"/>
    <col min="11529" max="11529" width="2.140625" style="106" customWidth="1"/>
    <col min="11530" max="11530" width="12.28515625" style="106" customWidth="1"/>
    <col min="11531" max="11531" width="1.5703125" style="106" customWidth="1"/>
    <col min="11532" max="11532" width="12.28515625" style="106" customWidth="1"/>
    <col min="11533" max="11533" width="1.5703125" style="106" customWidth="1"/>
    <col min="11534" max="11534" width="12.28515625" style="106" customWidth="1"/>
    <col min="11535" max="11535" width="1.5703125" style="106" customWidth="1"/>
    <col min="11536" max="11536" width="13.5703125" style="106" customWidth="1"/>
    <col min="11537" max="11537" width="0.85546875" style="106" customWidth="1"/>
    <col min="11538" max="11538" width="12.28515625" style="106" customWidth="1"/>
    <col min="11539" max="11539" width="1.5703125" style="106" customWidth="1"/>
    <col min="11540" max="11540" width="12.28515625" style="106" customWidth="1"/>
    <col min="11541" max="11541" width="1.5703125" style="106" customWidth="1"/>
    <col min="11542" max="11542" width="12.28515625" style="106" customWidth="1"/>
    <col min="11543" max="11543" width="0.85546875" style="106" customWidth="1"/>
    <col min="11544" max="11544" width="12.28515625" style="106" customWidth="1"/>
    <col min="11545" max="11545" width="1.5703125" style="106" customWidth="1"/>
    <col min="11546" max="11546" width="12.28515625" style="106" customWidth="1"/>
    <col min="11547" max="11547" width="1.5703125" style="106" customWidth="1"/>
    <col min="11548" max="11548" width="12.28515625" style="106" customWidth="1"/>
    <col min="11549" max="11549" width="0.85546875" style="106" customWidth="1"/>
    <col min="11550" max="11550" width="12.28515625" style="106" customWidth="1"/>
    <col min="11551" max="11551" width="1.5703125" style="106" customWidth="1"/>
    <col min="11552" max="11552" width="12.28515625" style="106" customWidth="1"/>
    <col min="11553" max="11553" width="1.5703125" style="106" customWidth="1"/>
    <col min="11554" max="11554" width="12.28515625" style="106" customWidth="1"/>
    <col min="11555" max="11555" width="4.5703125" style="106" customWidth="1"/>
    <col min="11556" max="11556" width="1.42578125" style="106" customWidth="1"/>
    <col min="11557" max="11779" width="13.85546875" style="106"/>
    <col min="11780" max="11780" width="7.85546875" style="106" customWidth="1"/>
    <col min="11781" max="11782" width="2.28515625" style="106" customWidth="1"/>
    <col min="11783" max="11783" width="31.42578125" style="106" customWidth="1"/>
    <col min="11784" max="11784" width="2.28515625" style="106" customWidth="1"/>
    <col min="11785" max="11785" width="2.140625" style="106" customWidth="1"/>
    <col min="11786" max="11786" width="12.28515625" style="106" customWidth="1"/>
    <col min="11787" max="11787" width="1.5703125" style="106" customWidth="1"/>
    <col min="11788" max="11788" width="12.28515625" style="106" customWidth="1"/>
    <col min="11789" max="11789" width="1.5703125" style="106" customWidth="1"/>
    <col min="11790" max="11790" width="12.28515625" style="106" customWidth="1"/>
    <col min="11791" max="11791" width="1.5703125" style="106" customWidth="1"/>
    <col min="11792" max="11792" width="13.5703125" style="106" customWidth="1"/>
    <col min="11793" max="11793" width="0.85546875" style="106" customWidth="1"/>
    <col min="11794" max="11794" width="12.28515625" style="106" customWidth="1"/>
    <col min="11795" max="11795" width="1.5703125" style="106" customWidth="1"/>
    <col min="11796" max="11796" width="12.28515625" style="106" customWidth="1"/>
    <col min="11797" max="11797" width="1.5703125" style="106" customWidth="1"/>
    <col min="11798" max="11798" width="12.28515625" style="106" customWidth="1"/>
    <col min="11799" max="11799" width="0.85546875" style="106" customWidth="1"/>
    <col min="11800" max="11800" width="12.28515625" style="106" customWidth="1"/>
    <col min="11801" max="11801" width="1.5703125" style="106" customWidth="1"/>
    <col min="11802" max="11802" width="12.28515625" style="106" customWidth="1"/>
    <col min="11803" max="11803" width="1.5703125" style="106" customWidth="1"/>
    <col min="11804" max="11804" width="12.28515625" style="106" customWidth="1"/>
    <col min="11805" max="11805" width="0.85546875" style="106" customWidth="1"/>
    <col min="11806" max="11806" width="12.28515625" style="106" customWidth="1"/>
    <col min="11807" max="11807" width="1.5703125" style="106" customWidth="1"/>
    <col min="11808" max="11808" width="12.28515625" style="106" customWidth="1"/>
    <col min="11809" max="11809" width="1.5703125" style="106" customWidth="1"/>
    <col min="11810" max="11810" width="12.28515625" style="106" customWidth="1"/>
    <col min="11811" max="11811" width="4.5703125" style="106" customWidth="1"/>
    <col min="11812" max="11812" width="1.42578125" style="106" customWidth="1"/>
    <col min="11813" max="12035" width="13.85546875" style="106"/>
    <col min="12036" max="12036" width="7.85546875" style="106" customWidth="1"/>
    <col min="12037" max="12038" width="2.28515625" style="106" customWidth="1"/>
    <col min="12039" max="12039" width="31.42578125" style="106" customWidth="1"/>
    <col min="12040" max="12040" width="2.28515625" style="106" customWidth="1"/>
    <col min="12041" max="12041" width="2.140625" style="106" customWidth="1"/>
    <col min="12042" max="12042" width="12.28515625" style="106" customWidth="1"/>
    <col min="12043" max="12043" width="1.5703125" style="106" customWidth="1"/>
    <col min="12044" max="12044" width="12.28515625" style="106" customWidth="1"/>
    <col min="12045" max="12045" width="1.5703125" style="106" customWidth="1"/>
    <col min="12046" max="12046" width="12.28515625" style="106" customWidth="1"/>
    <col min="12047" max="12047" width="1.5703125" style="106" customWidth="1"/>
    <col min="12048" max="12048" width="13.5703125" style="106" customWidth="1"/>
    <col min="12049" max="12049" width="0.85546875" style="106" customWidth="1"/>
    <col min="12050" max="12050" width="12.28515625" style="106" customWidth="1"/>
    <col min="12051" max="12051" width="1.5703125" style="106" customWidth="1"/>
    <col min="12052" max="12052" width="12.28515625" style="106" customWidth="1"/>
    <col min="12053" max="12053" width="1.5703125" style="106" customWidth="1"/>
    <col min="12054" max="12054" width="12.28515625" style="106" customWidth="1"/>
    <col min="12055" max="12055" width="0.85546875" style="106" customWidth="1"/>
    <col min="12056" max="12056" width="12.28515625" style="106" customWidth="1"/>
    <col min="12057" max="12057" width="1.5703125" style="106" customWidth="1"/>
    <col min="12058" max="12058" width="12.28515625" style="106" customWidth="1"/>
    <col min="12059" max="12059" width="1.5703125" style="106" customWidth="1"/>
    <col min="12060" max="12060" width="12.28515625" style="106" customWidth="1"/>
    <col min="12061" max="12061" width="0.85546875" style="106" customWidth="1"/>
    <col min="12062" max="12062" width="12.28515625" style="106" customWidth="1"/>
    <col min="12063" max="12063" width="1.5703125" style="106" customWidth="1"/>
    <col min="12064" max="12064" width="12.28515625" style="106" customWidth="1"/>
    <col min="12065" max="12065" width="1.5703125" style="106" customWidth="1"/>
    <col min="12066" max="12066" width="12.28515625" style="106" customWidth="1"/>
    <col min="12067" max="12067" width="4.5703125" style="106" customWidth="1"/>
    <col min="12068" max="12068" width="1.42578125" style="106" customWidth="1"/>
    <col min="12069" max="12291" width="13.85546875" style="106"/>
    <col min="12292" max="12292" width="7.85546875" style="106" customWidth="1"/>
    <col min="12293" max="12294" width="2.28515625" style="106" customWidth="1"/>
    <col min="12295" max="12295" width="31.42578125" style="106" customWidth="1"/>
    <col min="12296" max="12296" width="2.28515625" style="106" customWidth="1"/>
    <col min="12297" max="12297" width="2.140625" style="106" customWidth="1"/>
    <col min="12298" max="12298" width="12.28515625" style="106" customWidth="1"/>
    <col min="12299" max="12299" width="1.5703125" style="106" customWidth="1"/>
    <col min="12300" max="12300" width="12.28515625" style="106" customWidth="1"/>
    <col min="12301" max="12301" width="1.5703125" style="106" customWidth="1"/>
    <col min="12302" max="12302" width="12.28515625" style="106" customWidth="1"/>
    <col min="12303" max="12303" width="1.5703125" style="106" customWidth="1"/>
    <col min="12304" max="12304" width="13.5703125" style="106" customWidth="1"/>
    <col min="12305" max="12305" width="0.85546875" style="106" customWidth="1"/>
    <col min="12306" max="12306" width="12.28515625" style="106" customWidth="1"/>
    <col min="12307" max="12307" width="1.5703125" style="106" customWidth="1"/>
    <col min="12308" max="12308" width="12.28515625" style="106" customWidth="1"/>
    <col min="12309" max="12309" width="1.5703125" style="106" customWidth="1"/>
    <col min="12310" max="12310" width="12.28515625" style="106" customWidth="1"/>
    <col min="12311" max="12311" width="0.85546875" style="106" customWidth="1"/>
    <col min="12312" max="12312" width="12.28515625" style="106" customWidth="1"/>
    <col min="12313" max="12313" width="1.5703125" style="106" customWidth="1"/>
    <col min="12314" max="12314" width="12.28515625" style="106" customWidth="1"/>
    <col min="12315" max="12315" width="1.5703125" style="106" customWidth="1"/>
    <col min="12316" max="12316" width="12.28515625" style="106" customWidth="1"/>
    <col min="12317" max="12317" width="0.85546875" style="106" customWidth="1"/>
    <col min="12318" max="12318" width="12.28515625" style="106" customWidth="1"/>
    <col min="12319" max="12319" width="1.5703125" style="106" customWidth="1"/>
    <col min="12320" max="12320" width="12.28515625" style="106" customWidth="1"/>
    <col min="12321" max="12321" width="1.5703125" style="106" customWidth="1"/>
    <col min="12322" max="12322" width="12.28515625" style="106" customWidth="1"/>
    <col min="12323" max="12323" width="4.5703125" style="106" customWidth="1"/>
    <col min="12324" max="12324" width="1.42578125" style="106" customWidth="1"/>
    <col min="12325" max="12547" width="13.85546875" style="106"/>
    <col min="12548" max="12548" width="7.85546875" style="106" customWidth="1"/>
    <col min="12549" max="12550" width="2.28515625" style="106" customWidth="1"/>
    <col min="12551" max="12551" width="31.42578125" style="106" customWidth="1"/>
    <col min="12552" max="12552" width="2.28515625" style="106" customWidth="1"/>
    <col min="12553" max="12553" width="2.140625" style="106" customWidth="1"/>
    <col min="12554" max="12554" width="12.28515625" style="106" customWidth="1"/>
    <col min="12555" max="12555" width="1.5703125" style="106" customWidth="1"/>
    <col min="12556" max="12556" width="12.28515625" style="106" customWidth="1"/>
    <col min="12557" max="12557" width="1.5703125" style="106" customWidth="1"/>
    <col min="12558" max="12558" width="12.28515625" style="106" customWidth="1"/>
    <col min="12559" max="12559" width="1.5703125" style="106" customWidth="1"/>
    <col min="12560" max="12560" width="13.5703125" style="106" customWidth="1"/>
    <col min="12561" max="12561" width="0.85546875" style="106" customWidth="1"/>
    <col min="12562" max="12562" width="12.28515625" style="106" customWidth="1"/>
    <col min="12563" max="12563" width="1.5703125" style="106" customWidth="1"/>
    <col min="12564" max="12564" width="12.28515625" style="106" customWidth="1"/>
    <col min="12565" max="12565" width="1.5703125" style="106" customWidth="1"/>
    <col min="12566" max="12566" width="12.28515625" style="106" customWidth="1"/>
    <col min="12567" max="12567" width="0.85546875" style="106" customWidth="1"/>
    <col min="12568" max="12568" width="12.28515625" style="106" customWidth="1"/>
    <col min="12569" max="12569" width="1.5703125" style="106" customWidth="1"/>
    <col min="12570" max="12570" width="12.28515625" style="106" customWidth="1"/>
    <col min="12571" max="12571" width="1.5703125" style="106" customWidth="1"/>
    <col min="12572" max="12572" width="12.28515625" style="106" customWidth="1"/>
    <col min="12573" max="12573" width="0.85546875" style="106" customWidth="1"/>
    <col min="12574" max="12574" width="12.28515625" style="106" customWidth="1"/>
    <col min="12575" max="12575" width="1.5703125" style="106" customWidth="1"/>
    <col min="12576" max="12576" width="12.28515625" style="106" customWidth="1"/>
    <col min="12577" max="12577" width="1.5703125" style="106" customWidth="1"/>
    <col min="12578" max="12578" width="12.28515625" style="106" customWidth="1"/>
    <col min="12579" max="12579" width="4.5703125" style="106" customWidth="1"/>
    <col min="12580" max="12580" width="1.42578125" style="106" customWidth="1"/>
    <col min="12581" max="12803" width="13.85546875" style="106"/>
    <col min="12804" max="12804" width="7.85546875" style="106" customWidth="1"/>
    <col min="12805" max="12806" width="2.28515625" style="106" customWidth="1"/>
    <col min="12807" max="12807" width="31.42578125" style="106" customWidth="1"/>
    <col min="12808" max="12808" width="2.28515625" style="106" customWidth="1"/>
    <col min="12809" max="12809" width="2.140625" style="106" customWidth="1"/>
    <col min="12810" max="12810" width="12.28515625" style="106" customWidth="1"/>
    <col min="12811" max="12811" width="1.5703125" style="106" customWidth="1"/>
    <col min="12812" max="12812" width="12.28515625" style="106" customWidth="1"/>
    <col min="12813" max="12813" width="1.5703125" style="106" customWidth="1"/>
    <col min="12814" max="12814" width="12.28515625" style="106" customWidth="1"/>
    <col min="12815" max="12815" width="1.5703125" style="106" customWidth="1"/>
    <col min="12816" max="12816" width="13.5703125" style="106" customWidth="1"/>
    <col min="12817" max="12817" width="0.85546875" style="106" customWidth="1"/>
    <col min="12818" max="12818" width="12.28515625" style="106" customWidth="1"/>
    <col min="12819" max="12819" width="1.5703125" style="106" customWidth="1"/>
    <col min="12820" max="12820" width="12.28515625" style="106" customWidth="1"/>
    <col min="12821" max="12821" width="1.5703125" style="106" customWidth="1"/>
    <col min="12822" max="12822" width="12.28515625" style="106" customWidth="1"/>
    <col min="12823" max="12823" width="0.85546875" style="106" customWidth="1"/>
    <col min="12824" max="12824" width="12.28515625" style="106" customWidth="1"/>
    <col min="12825" max="12825" width="1.5703125" style="106" customWidth="1"/>
    <col min="12826" max="12826" width="12.28515625" style="106" customWidth="1"/>
    <col min="12827" max="12827" width="1.5703125" style="106" customWidth="1"/>
    <col min="12828" max="12828" width="12.28515625" style="106" customWidth="1"/>
    <col min="12829" max="12829" width="0.85546875" style="106" customWidth="1"/>
    <col min="12830" max="12830" width="12.28515625" style="106" customWidth="1"/>
    <col min="12831" max="12831" width="1.5703125" style="106" customWidth="1"/>
    <col min="12832" max="12832" width="12.28515625" style="106" customWidth="1"/>
    <col min="12833" max="12833" width="1.5703125" style="106" customWidth="1"/>
    <col min="12834" max="12834" width="12.28515625" style="106" customWidth="1"/>
    <col min="12835" max="12835" width="4.5703125" style="106" customWidth="1"/>
    <col min="12836" max="12836" width="1.42578125" style="106" customWidth="1"/>
    <col min="12837" max="13059" width="13.85546875" style="106"/>
    <col min="13060" max="13060" width="7.85546875" style="106" customWidth="1"/>
    <col min="13061" max="13062" width="2.28515625" style="106" customWidth="1"/>
    <col min="13063" max="13063" width="31.42578125" style="106" customWidth="1"/>
    <col min="13064" max="13064" width="2.28515625" style="106" customWidth="1"/>
    <col min="13065" max="13065" width="2.140625" style="106" customWidth="1"/>
    <col min="13066" max="13066" width="12.28515625" style="106" customWidth="1"/>
    <col min="13067" max="13067" width="1.5703125" style="106" customWidth="1"/>
    <col min="13068" max="13068" width="12.28515625" style="106" customWidth="1"/>
    <col min="13069" max="13069" width="1.5703125" style="106" customWidth="1"/>
    <col min="13070" max="13070" width="12.28515625" style="106" customWidth="1"/>
    <col min="13071" max="13071" width="1.5703125" style="106" customWidth="1"/>
    <col min="13072" max="13072" width="13.5703125" style="106" customWidth="1"/>
    <col min="13073" max="13073" width="0.85546875" style="106" customWidth="1"/>
    <col min="13074" max="13074" width="12.28515625" style="106" customWidth="1"/>
    <col min="13075" max="13075" width="1.5703125" style="106" customWidth="1"/>
    <col min="13076" max="13076" width="12.28515625" style="106" customWidth="1"/>
    <col min="13077" max="13077" width="1.5703125" style="106" customWidth="1"/>
    <col min="13078" max="13078" width="12.28515625" style="106" customWidth="1"/>
    <col min="13079" max="13079" width="0.85546875" style="106" customWidth="1"/>
    <col min="13080" max="13080" width="12.28515625" style="106" customWidth="1"/>
    <col min="13081" max="13081" width="1.5703125" style="106" customWidth="1"/>
    <col min="13082" max="13082" width="12.28515625" style="106" customWidth="1"/>
    <col min="13083" max="13083" width="1.5703125" style="106" customWidth="1"/>
    <col min="13084" max="13084" width="12.28515625" style="106" customWidth="1"/>
    <col min="13085" max="13085" width="0.85546875" style="106" customWidth="1"/>
    <col min="13086" max="13086" width="12.28515625" style="106" customWidth="1"/>
    <col min="13087" max="13087" width="1.5703125" style="106" customWidth="1"/>
    <col min="13088" max="13088" width="12.28515625" style="106" customWidth="1"/>
    <col min="13089" max="13089" width="1.5703125" style="106" customWidth="1"/>
    <col min="13090" max="13090" width="12.28515625" style="106" customWidth="1"/>
    <col min="13091" max="13091" width="4.5703125" style="106" customWidth="1"/>
    <col min="13092" max="13092" width="1.42578125" style="106" customWidth="1"/>
    <col min="13093" max="13315" width="13.85546875" style="106"/>
    <col min="13316" max="13316" width="7.85546875" style="106" customWidth="1"/>
    <col min="13317" max="13318" width="2.28515625" style="106" customWidth="1"/>
    <col min="13319" max="13319" width="31.42578125" style="106" customWidth="1"/>
    <col min="13320" max="13320" width="2.28515625" style="106" customWidth="1"/>
    <col min="13321" max="13321" width="2.140625" style="106" customWidth="1"/>
    <col min="13322" max="13322" width="12.28515625" style="106" customWidth="1"/>
    <col min="13323" max="13323" width="1.5703125" style="106" customWidth="1"/>
    <col min="13324" max="13324" width="12.28515625" style="106" customWidth="1"/>
    <col min="13325" max="13325" width="1.5703125" style="106" customWidth="1"/>
    <col min="13326" max="13326" width="12.28515625" style="106" customWidth="1"/>
    <col min="13327" max="13327" width="1.5703125" style="106" customWidth="1"/>
    <col min="13328" max="13328" width="13.5703125" style="106" customWidth="1"/>
    <col min="13329" max="13329" width="0.85546875" style="106" customWidth="1"/>
    <col min="13330" max="13330" width="12.28515625" style="106" customWidth="1"/>
    <col min="13331" max="13331" width="1.5703125" style="106" customWidth="1"/>
    <col min="13332" max="13332" width="12.28515625" style="106" customWidth="1"/>
    <col min="13333" max="13333" width="1.5703125" style="106" customWidth="1"/>
    <col min="13334" max="13334" width="12.28515625" style="106" customWidth="1"/>
    <col min="13335" max="13335" width="0.85546875" style="106" customWidth="1"/>
    <col min="13336" max="13336" width="12.28515625" style="106" customWidth="1"/>
    <col min="13337" max="13337" width="1.5703125" style="106" customWidth="1"/>
    <col min="13338" max="13338" width="12.28515625" style="106" customWidth="1"/>
    <col min="13339" max="13339" width="1.5703125" style="106" customWidth="1"/>
    <col min="13340" max="13340" width="12.28515625" style="106" customWidth="1"/>
    <col min="13341" max="13341" width="0.85546875" style="106" customWidth="1"/>
    <col min="13342" max="13342" width="12.28515625" style="106" customWidth="1"/>
    <col min="13343" max="13343" width="1.5703125" style="106" customWidth="1"/>
    <col min="13344" max="13344" width="12.28515625" style="106" customWidth="1"/>
    <col min="13345" max="13345" width="1.5703125" style="106" customWidth="1"/>
    <col min="13346" max="13346" width="12.28515625" style="106" customWidth="1"/>
    <col min="13347" max="13347" width="4.5703125" style="106" customWidth="1"/>
    <col min="13348" max="13348" width="1.42578125" style="106" customWidth="1"/>
    <col min="13349" max="13571" width="13.85546875" style="106"/>
    <col min="13572" max="13572" width="7.85546875" style="106" customWidth="1"/>
    <col min="13573" max="13574" width="2.28515625" style="106" customWidth="1"/>
    <col min="13575" max="13575" width="31.42578125" style="106" customWidth="1"/>
    <col min="13576" max="13576" width="2.28515625" style="106" customWidth="1"/>
    <col min="13577" max="13577" width="2.140625" style="106" customWidth="1"/>
    <col min="13578" max="13578" width="12.28515625" style="106" customWidth="1"/>
    <col min="13579" max="13579" width="1.5703125" style="106" customWidth="1"/>
    <col min="13580" max="13580" width="12.28515625" style="106" customWidth="1"/>
    <col min="13581" max="13581" width="1.5703125" style="106" customWidth="1"/>
    <col min="13582" max="13582" width="12.28515625" style="106" customWidth="1"/>
    <col min="13583" max="13583" width="1.5703125" style="106" customWidth="1"/>
    <col min="13584" max="13584" width="13.5703125" style="106" customWidth="1"/>
    <col min="13585" max="13585" width="0.85546875" style="106" customWidth="1"/>
    <col min="13586" max="13586" width="12.28515625" style="106" customWidth="1"/>
    <col min="13587" max="13587" width="1.5703125" style="106" customWidth="1"/>
    <col min="13588" max="13588" width="12.28515625" style="106" customWidth="1"/>
    <col min="13589" max="13589" width="1.5703125" style="106" customWidth="1"/>
    <col min="13590" max="13590" width="12.28515625" style="106" customWidth="1"/>
    <col min="13591" max="13591" width="0.85546875" style="106" customWidth="1"/>
    <col min="13592" max="13592" width="12.28515625" style="106" customWidth="1"/>
    <col min="13593" max="13593" width="1.5703125" style="106" customWidth="1"/>
    <col min="13594" max="13594" width="12.28515625" style="106" customWidth="1"/>
    <col min="13595" max="13595" width="1.5703125" style="106" customWidth="1"/>
    <col min="13596" max="13596" width="12.28515625" style="106" customWidth="1"/>
    <col min="13597" max="13597" width="0.85546875" style="106" customWidth="1"/>
    <col min="13598" max="13598" width="12.28515625" style="106" customWidth="1"/>
    <col min="13599" max="13599" width="1.5703125" style="106" customWidth="1"/>
    <col min="13600" max="13600" width="12.28515625" style="106" customWidth="1"/>
    <col min="13601" max="13601" width="1.5703125" style="106" customWidth="1"/>
    <col min="13602" max="13602" width="12.28515625" style="106" customWidth="1"/>
    <col min="13603" max="13603" width="4.5703125" style="106" customWidth="1"/>
    <col min="13604" max="13604" width="1.42578125" style="106" customWidth="1"/>
    <col min="13605" max="13827" width="13.85546875" style="106"/>
    <col min="13828" max="13828" width="7.85546875" style="106" customWidth="1"/>
    <col min="13829" max="13830" width="2.28515625" style="106" customWidth="1"/>
    <col min="13831" max="13831" width="31.42578125" style="106" customWidth="1"/>
    <col min="13832" max="13832" width="2.28515625" style="106" customWidth="1"/>
    <col min="13833" max="13833" width="2.140625" style="106" customWidth="1"/>
    <col min="13834" max="13834" width="12.28515625" style="106" customWidth="1"/>
    <col min="13835" max="13835" width="1.5703125" style="106" customWidth="1"/>
    <col min="13836" max="13836" width="12.28515625" style="106" customWidth="1"/>
    <col min="13837" max="13837" width="1.5703125" style="106" customWidth="1"/>
    <col min="13838" max="13838" width="12.28515625" style="106" customWidth="1"/>
    <col min="13839" max="13839" width="1.5703125" style="106" customWidth="1"/>
    <col min="13840" max="13840" width="13.5703125" style="106" customWidth="1"/>
    <col min="13841" max="13841" width="0.85546875" style="106" customWidth="1"/>
    <col min="13842" max="13842" width="12.28515625" style="106" customWidth="1"/>
    <col min="13843" max="13843" width="1.5703125" style="106" customWidth="1"/>
    <col min="13844" max="13844" width="12.28515625" style="106" customWidth="1"/>
    <col min="13845" max="13845" width="1.5703125" style="106" customWidth="1"/>
    <col min="13846" max="13846" width="12.28515625" style="106" customWidth="1"/>
    <col min="13847" max="13847" width="0.85546875" style="106" customWidth="1"/>
    <col min="13848" max="13848" width="12.28515625" style="106" customWidth="1"/>
    <col min="13849" max="13849" width="1.5703125" style="106" customWidth="1"/>
    <col min="13850" max="13850" width="12.28515625" style="106" customWidth="1"/>
    <col min="13851" max="13851" width="1.5703125" style="106" customWidth="1"/>
    <col min="13852" max="13852" width="12.28515625" style="106" customWidth="1"/>
    <col min="13853" max="13853" width="0.85546875" style="106" customWidth="1"/>
    <col min="13854" max="13854" width="12.28515625" style="106" customWidth="1"/>
    <col min="13855" max="13855" width="1.5703125" style="106" customWidth="1"/>
    <col min="13856" max="13856" width="12.28515625" style="106" customWidth="1"/>
    <col min="13857" max="13857" width="1.5703125" style="106" customWidth="1"/>
    <col min="13858" max="13858" width="12.28515625" style="106" customWidth="1"/>
    <col min="13859" max="13859" width="4.5703125" style="106" customWidth="1"/>
    <col min="13860" max="13860" width="1.42578125" style="106" customWidth="1"/>
    <col min="13861" max="14083" width="13.85546875" style="106"/>
    <col min="14084" max="14084" width="7.85546875" style="106" customWidth="1"/>
    <col min="14085" max="14086" width="2.28515625" style="106" customWidth="1"/>
    <col min="14087" max="14087" width="31.42578125" style="106" customWidth="1"/>
    <col min="14088" max="14088" width="2.28515625" style="106" customWidth="1"/>
    <col min="14089" max="14089" width="2.140625" style="106" customWidth="1"/>
    <col min="14090" max="14090" width="12.28515625" style="106" customWidth="1"/>
    <col min="14091" max="14091" width="1.5703125" style="106" customWidth="1"/>
    <col min="14092" max="14092" width="12.28515625" style="106" customWidth="1"/>
    <col min="14093" max="14093" width="1.5703125" style="106" customWidth="1"/>
    <col min="14094" max="14094" width="12.28515625" style="106" customWidth="1"/>
    <col min="14095" max="14095" width="1.5703125" style="106" customWidth="1"/>
    <col min="14096" max="14096" width="13.5703125" style="106" customWidth="1"/>
    <col min="14097" max="14097" width="0.85546875" style="106" customWidth="1"/>
    <col min="14098" max="14098" width="12.28515625" style="106" customWidth="1"/>
    <col min="14099" max="14099" width="1.5703125" style="106" customWidth="1"/>
    <col min="14100" max="14100" width="12.28515625" style="106" customWidth="1"/>
    <col min="14101" max="14101" width="1.5703125" style="106" customWidth="1"/>
    <col min="14102" max="14102" width="12.28515625" style="106" customWidth="1"/>
    <col min="14103" max="14103" width="0.85546875" style="106" customWidth="1"/>
    <col min="14104" max="14104" width="12.28515625" style="106" customWidth="1"/>
    <col min="14105" max="14105" width="1.5703125" style="106" customWidth="1"/>
    <col min="14106" max="14106" width="12.28515625" style="106" customWidth="1"/>
    <col min="14107" max="14107" width="1.5703125" style="106" customWidth="1"/>
    <col min="14108" max="14108" width="12.28515625" style="106" customWidth="1"/>
    <col min="14109" max="14109" width="0.85546875" style="106" customWidth="1"/>
    <col min="14110" max="14110" width="12.28515625" style="106" customWidth="1"/>
    <col min="14111" max="14111" width="1.5703125" style="106" customWidth="1"/>
    <col min="14112" max="14112" width="12.28515625" style="106" customWidth="1"/>
    <col min="14113" max="14113" width="1.5703125" style="106" customWidth="1"/>
    <col min="14114" max="14114" width="12.28515625" style="106" customWidth="1"/>
    <col min="14115" max="14115" width="4.5703125" style="106" customWidth="1"/>
    <col min="14116" max="14116" width="1.42578125" style="106" customWidth="1"/>
    <col min="14117" max="14339" width="13.85546875" style="106"/>
    <col min="14340" max="14340" width="7.85546875" style="106" customWidth="1"/>
    <col min="14341" max="14342" width="2.28515625" style="106" customWidth="1"/>
    <col min="14343" max="14343" width="31.42578125" style="106" customWidth="1"/>
    <col min="14344" max="14344" width="2.28515625" style="106" customWidth="1"/>
    <col min="14345" max="14345" width="2.140625" style="106" customWidth="1"/>
    <col min="14346" max="14346" width="12.28515625" style="106" customWidth="1"/>
    <col min="14347" max="14347" width="1.5703125" style="106" customWidth="1"/>
    <col min="14348" max="14348" width="12.28515625" style="106" customWidth="1"/>
    <col min="14349" max="14349" width="1.5703125" style="106" customWidth="1"/>
    <col min="14350" max="14350" width="12.28515625" style="106" customWidth="1"/>
    <col min="14351" max="14351" width="1.5703125" style="106" customWidth="1"/>
    <col min="14352" max="14352" width="13.5703125" style="106" customWidth="1"/>
    <col min="14353" max="14353" width="0.85546875" style="106" customWidth="1"/>
    <col min="14354" max="14354" width="12.28515625" style="106" customWidth="1"/>
    <col min="14355" max="14355" width="1.5703125" style="106" customWidth="1"/>
    <col min="14356" max="14356" width="12.28515625" style="106" customWidth="1"/>
    <col min="14357" max="14357" width="1.5703125" style="106" customWidth="1"/>
    <col min="14358" max="14358" width="12.28515625" style="106" customWidth="1"/>
    <col min="14359" max="14359" width="0.85546875" style="106" customWidth="1"/>
    <col min="14360" max="14360" width="12.28515625" style="106" customWidth="1"/>
    <col min="14361" max="14361" width="1.5703125" style="106" customWidth="1"/>
    <col min="14362" max="14362" width="12.28515625" style="106" customWidth="1"/>
    <col min="14363" max="14363" width="1.5703125" style="106" customWidth="1"/>
    <col min="14364" max="14364" width="12.28515625" style="106" customWidth="1"/>
    <col min="14365" max="14365" width="0.85546875" style="106" customWidth="1"/>
    <col min="14366" max="14366" width="12.28515625" style="106" customWidth="1"/>
    <col min="14367" max="14367" width="1.5703125" style="106" customWidth="1"/>
    <col min="14368" max="14368" width="12.28515625" style="106" customWidth="1"/>
    <col min="14369" max="14369" width="1.5703125" style="106" customWidth="1"/>
    <col min="14370" max="14370" width="12.28515625" style="106" customWidth="1"/>
    <col min="14371" max="14371" width="4.5703125" style="106" customWidth="1"/>
    <col min="14372" max="14372" width="1.42578125" style="106" customWidth="1"/>
    <col min="14373" max="14595" width="13.85546875" style="106"/>
    <col min="14596" max="14596" width="7.85546875" style="106" customWidth="1"/>
    <col min="14597" max="14598" width="2.28515625" style="106" customWidth="1"/>
    <col min="14599" max="14599" width="31.42578125" style="106" customWidth="1"/>
    <col min="14600" max="14600" width="2.28515625" style="106" customWidth="1"/>
    <col min="14601" max="14601" width="2.140625" style="106" customWidth="1"/>
    <col min="14602" max="14602" width="12.28515625" style="106" customWidth="1"/>
    <col min="14603" max="14603" width="1.5703125" style="106" customWidth="1"/>
    <col min="14604" max="14604" width="12.28515625" style="106" customWidth="1"/>
    <col min="14605" max="14605" width="1.5703125" style="106" customWidth="1"/>
    <col min="14606" max="14606" width="12.28515625" style="106" customWidth="1"/>
    <col min="14607" max="14607" width="1.5703125" style="106" customWidth="1"/>
    <col min="14608" max="14608" width="13.5703125" style="106" customWidth="1"/>
    <col min="14609" max="14609" width="0.85546875" style="106" customWidth="1"/>
    <col min="14610" max="14610" width="12.28515625" style="106" customWidth="1"/>
    <col min="14611" max="14611" width="1.5703125" style="106" customWidth="1"/>
    <col min="14612" max="14612" width="12.28515625" style="106" customWidth="1"/>
    <col min="14613" max="14613" width="1.5703125" style="106" customWidth="1"/>
    <col min="14614" max="14614" width="12.28515625" style="106" customWidth="1"/>
    <col min="14615" max="14615" width="0.85546875" style="106" customWidth="1"/>
    <col min="14616" max="14616" width="12.28515625" style="106" customWidth="1"/>
    <col min="14617" max="14617" width="1.5703125" style="106" customWidth="1"/>
    <col min="14618" max="14618" width="12.28515625" style="106" customWidth="1"/>
    <col min="14619" max="14619" width="1.5703125" style="106" customWidth="1"/>
    <col min="14620" max="14620" width="12.28515625" style="106" customWidth="1"/>
    <col min="14621" max="14621" width="0.85546875" style="106" customWidth="1"/>
    <col min="14622" max="14622" width="12.28515625" style="106" customWidth="1"/>
    <col min="14623" max="14623" width="1.5703125" style="106" customWidth="1"/>
    <col min="14624" max="14624" width="12.28515625" style="106" customWidth="1"/>
    <col min="14625" max="14625" width="1.5703125" style="106" customWidth="1"/>
    <col min="14626" max="14626" width="12.28515625" style="106" customWidth="1"/>
    <col min="14627" max="14627" width="4.5703125" style="106" customWidth="1"/>
    <col min="14628" max="14628" width="1.42578125" style="106" customWidth="1"/>
    <col min="14629" max="14851" width="13.85546875" style="106"/>
    <col min="14852" max="14852" width="7.85546875" style="106" customWidth="1"/>
    <col min="14853" max="14854" width="2.28515625" style="106" customWidth="1"/>
    <col min="14855" max="14855" width="31.42578125" style="106" customWidth="1"/>
    <col min="14856" max="14856" width="2.28515625" style="106" customWidth="1"/>
    <col min="14857" max="14857" width="2.140625" style="106" customWidth="1"/>
    <col min="14858" max="14858" width="12.28515625" style="106" customWidth="1"/>
    <col min="14859" max="14859" width="1.5703125" style="106" customWidth="1"/>
    <col min="14860" max="14860" width="12.28515625" style="106" customWidth="1"/>
    <col min="14861" max="14861" width="1.5703125" style="106" customWidth="1"/>
    <col min="14862" max="14862" width="12.28515625" style="106" customWidth="1"/>
    <col min="14863" max="14863" width="1.5703125" style="106" customWidth="1"/>
    <col min="14864" max="14864" width="13.5703125" style="106" customWidth="1"/>
    <col min="14865" max="14865" width="0.85546875" style="106" customWidth="1"/>
    <col min="14866" max="14866" width="12.28515625" style="106" customWidth="1"/>
    <col min="14867" max="14867" width="1.5703125" style="106" customWidth="1"/>
    <col min="14868" max="14868" width="12.28515625" style="106" customWidth="1"/>
    <col min="14869" max="14869" width="1.5703125" style="106" customWidth="1"/>
    <col min="14870" max="14870" width="12.28515625" style="106" customWidth="1"/>
    <col min="14871" max="14871" width="0.85546875" style="106" customWidth="1"/>
    <col min="14872" max="14872" width="12.28515625" style="106" customWidth="1"/>
    <col min="14873" max="14873" width="1.5703125" style="106" customWidth="1"/>
    <col min="14874" max="14874" width="12.28515625" style="106" customWidth="1"/>
    <col min="14875" max="14875" width="1.5703125" style="106" customWidth="1"/>
    <col min="14876" max="14876" width="12.28515625" style="106" customWidth="1"/>
    <col min="14877" max="14877" width="0.85546875" style="106" customWidth="1"/>
    <col min="14878" max="14878" width="12.28515625" style="106" customWidth="1"/>
    <col min="14879" max="14879" width="1.5703125" style="106" customWidth="1"/>
    <col min="14880" max="14880" width="12.28515625" style="106" customWidth="1"/>
    <col min="14881" max="14881" width="1.5703125" style="106" customWidth="1"/>
    <col min="14882" max="14882" width="12.28515625" style="106" customWidth="1"/>
    <col min="14883" max="14883" width="4.5703125" style="106" customWidth="1"/>
    <col min="14884" max="14884" width="1.42578125" style="106" customWidth="1"/>
    <col min="14885" max="15107" width="13.85546875" style="106"/>
    <col min="15108" max="15108" width="7.85546875" style="106" customWidth="1"/>
    <col min="15109" max="15110" width="2.28515625" style="106" customWidth="1"/>
    <col min="15111" max="15111" width="31.42578125" style="106" customWidth="1"/>
    <col min="15112" max="15112" width="2.28515625" style="106" customWidth="1"/>
    <col min="15113" max="15113" width="2.140625" style="106" customWidth="1"/>
    <col min="15114" max="15114" width="12.28515625" style="106" customWidth="1"/>
    <col min="15115" max="15115" width="1.5703125" style="106" customWidth="1"/>
    <col min="15116" max="15116" width="12.28515625" style="106" customWidth="1"/>
    <col min="15117" max="15117" width="1.5703125" style="106" customWidth="1"/>
    <col min="15118" max="15118" width="12.28515625" style="106" customWidth="1"/>
    <col min="15119" max="15119" width="1.5703125" style="106" customWidth="1"/>
    <col min="15120" max="15120" width="13.5703125" style="106" customWidth="1"/>
    <col min="15121" max="15121" width="0.85546875" style="106" customWidth="1"/>
    <col min="15122" max="15122" width="12.28515625" style="106" customWidth="1"/>
    <col min="15123" max="15123" width="1.5703125" style="106" customWidth="1"/>
    <col min="15124" max="15124" width="12.28515625" style="106" customWidth="1"/>
    <col min="15125" max="15125" width="1.5703125" style="106" customWidth="1"/>
    <col min="15126" max="15126" width="12.28515625" style="106" customWidth="1"/>
    <col min="15127" max="15127" width="0.85546875" style="106" customWidth="1"/>
    <col min="15128" max="15128" width="12.28515625" style="106" customWidth="1"/>
    <col min="15129" max="15129" width="1.5703125" style="106" customWidth="1"/>
    <col min="15130" max="15130" width="12.28515625" style="106" customWidth="1"/>
    <col min="15131" max="15131" width="1.5703125" style="106" customWidth="1"/>
    <col min="15132" max="15132" width="12.28515625" style="106" customWidth="1"/>
    <col min="15133" max="15133" width="0.85546875" style="106" customWidth="1"/>
    <col min="15134" max="15134" width="12.28515625" style="106" customWidth="1"/>
    <col min="15135" max="15135" width="1.5703125" style="106" customWidth="1"/>
    <col min="15136" max="15136" width="12.28515625" style="106" customWidth="1"/>
    <col min="15137" max="15137" width="1.5703125" style="106" customWidth="1"/>
    <col min="15138" max="15138" width="12.28515625" style="106" customWidth="1"/>
    <col min="15139" max="15139" width="4.5703125" style="106" customWidth="1"/>
    <col min="15140" max="15140" width="1.42578125" style="106" customWidth="1"/>
    <col min="15141" max="15363" width="13.85546875" style="106"/>
    <col min="15364" max="15364" width="7.85546875" style="106" customWidth="1"/>
    <col min="15365" max="15366" width="2.28515625" style="106" customWidth="1"/>
    <col min="15367" max="15367" width="31.42578125" style="106" customWidth="1"/>
    <col min="15368" max="15368" width="2.28515625" style="106" customWidth="1"/>
    <col min="15369" max="15369" width="2.140625" style="106" customWidth="1"/>
    <col min="15370" max="15370" width="12.28515625" style="106" customWidth="1"/>
    <col min="15371" max="15371" width="1.5703125" style="106" customWidth="1"/>
    <col min="15372" max="15372" width="12.28515625" style="106" customWidth="1"/>
    <col min="15373" max="15373" width="1.5703125" style="106" customWidth="1"/>
    <col min="15374" max="15374" width="12.28515625" style="106" customWidth="1"/>
    <col min="15375" max="15375" width="1.5703125" style="106" customWidth="1"/>
    <col min="15376" max="15376" width="13.5703125" style="106" customWidth="1"/>
    <col min="15377" max="15377" width="0.85546875" style="106" customWidth="1"/>
    <col min="15378" max="15378" width="12.28515625" style="106" customWidth="1"/>
    <col min="15379" max="15379" width="1.5703125" style="106" customWidth="1"/>
    <col min="15380" max="15380" width="12.28515625" style="106" customWidth="1"/>
    <col min="15381" max="15381" width="1.5703125" style="106" customWidth="1"/>
    <col min="15382" max="15382" width="12.28515625" style="106" customWidth="1"/>
    <col min="15383" max="15383" width="0.85546875" style="106" customWidth="1"/>
    <col min="15384" max="15384" width="12.28515625" style="106" customWidth="1"/>
    <col min="15385" max="15385" width="1.5703125" style="106" customWidth="1"/>
    <col min="15386" max="15386" width="12.28515625" style="106" customWidth="1"/>
    <col min="15387" max="15387" width="1.5703125" style="106" customWidth="1"/>
    <col min="15388" max="15388" width="12.28515625" style="106" customWidth="1"/>
    <col min="15389" max="15389" width="0.85546875" style="106" customWidth="1"/>
    <col min="15390" max="15390" width="12.28515625" style="106" customWidth="1"/>
    <col min="15391" max="15391" width="1.5703125" style="106" customWidth="1"/>
    <col min="15392" max="15392" width="12.28515625" style="106" customWidth="1"/>
    <col min="15393" max="15393" width="1.5703125" style="106" customWidth="1"/>
    <col min="15394" max="15394" width="12.28515625" style="106" customWidth="1"/>
    <col min="15395" max="15395" width="4.5703125" style="106" customWidth="1"/>
    <col min="15396" max="15396" width="1.42578125" style="106" customWidth="1"/>
    <col min="15397" max="15619" width="13.85546875" style="106"/>
    <col min="15620" max="15620" width="7.85546875" style="106" customWidth="1"/>
    <col min="15621" max="15622" width="2.28515625" style="106" customWidth="1"/>
    <col min="15623" max="15623" width="31.42578125" style="106" customWidth="1"/>
    <col min="15624" max="15624" width="2.28515625" style="106" customWidth="1"/>
    <col min="15625" max="15625" width="2.140625" style="106" customWidth="1"/>
    <col min="15626" max="15626" width="12.28515625" style="106" customWidth="1"/>
    <col min="15627" max="15627" width="1.5703125" style="106" customWidth="1"/>
    <col min="15628" max="15628" width="12.28515625" style="106" customWidth="1"/>
    <col min="15629" max="15629" width="1.5703125" style="106" customWidth="1"/>
    <col min="15630" max="15630" width="12.28515625" style="106" customWidth="1"/>
    <col min="15631" max="15631" width="1.5703125" style="106" customWidth="1"/>
    <col min="15632" max="15632" width="13.5703125" style="106" customWidth="1"/>
    <col min="15633" max="15633" width="0.85546875" style="106" customWidth="1"/>
    <col min="15634" max="15634" width="12.28515625" style="106" customWidth="1"/>
    <col min="15635" max="15635" width="1.5703125" style="106" customWidth="1"/>
    <col min="15636" max="15636" width="12.28515625" style="106" customWidth="1"/>
    <col min="15637" max="15637" width="1.5703125" style="106" customWidth="1"/>
    <col min="15638" max="15638" width="12.28515625" style="106" customWidth="1"/>
    <col min="15639" max="15639" width="0.85546875" style="106" customWidth="1"/>
    <col min="15640" max="15640" width="12.28515625" style="106" customWidth="1"/>
    <col min="15641" max="15641" width="1.5703125" style="106" customWidth="1"/>
    <col min="15642" max="15642" width="12.28515625" style="106" customWidth="1"/>
    <col min="15643" max="15643" width="1.5703125" style="106" customWidth="1"/>
    <col min="15644" max="15644" width="12.28515625" style="106" customWidth="1"/>
    <col min="15645" max="15645" width="0.85546875" style="106" customWidth="1"/>
    <col min="15646" max="15646" width="12.28515625" style="106" customWidth="1"/>
    <col min="15647" max="15647" width="1.5703125" style="106" customWidth="1"/>
    <col min="15648" max="15648" width="12.28515625" style="106" customWidth="1"/>
    <col min="15649" max="15649" width="1.5703125" style="106" customWidth="1"/>
    <col min="15650" max="15650" width="12.28515625" style="106" customWidth="1"/>
    <col min="15651" max="15651" width="4.5703125" style="106" customWidth="1"/>
    <col min="15652" max="15652" width="1.42578125" style="106" customWidth="1"/>
    <col min="15653" max="15875" width="13.85546875" style="106"/>
    <col min="15876" max="15876" width="7.85546875" style="106" customWidth="1"/>
    <col min="15877" max="15878" width="2.28515625" style="106" customWidth="1"/>
    <col min="15879" max="15879" width="31.42578125" style="106" customWidth="1"/>
    <col min="15880" max="15880" width="2.28515625" style="106" customWidth="1"/>
    <col min="15881" max="15881" width="2.140625" style="106" customWidth="1"/>
    <col min="15882" max="15882" width="12.28515625" style="106" customWidth="1"/>
    <col min="15883" max="15883" width="1.5703125" style="106" customWidth="1"/>
    <col min="15884" max="15884" width="12.28515625" style="106" customWidth="1"/>
    <col min="15885" max="15885" width="1.5703125" style="106" customWidth="1"/>
    <col min="15886" max="15886" width="12.28515625" style="106" customWidth="1"/>
    <col min="15887" max="15887" width="1.5703125" style="106" customWidth="1"/>
    <col min="15888" max="15888" width="13.5703125" style="106" customWidth="1"/>
    <col min="15889" max="15889" width="0.85546875" style="106" customWidth="1"/>
    <col min="15890" max="15890" width="12.28515625" style="106" customWidth="1"/>
    <col min="15891" max="15891" width="1.5703125" style="106" customWidth="1"/>
    <col min="15892" max="15892" width="12.28515625" style="106" customWidth="1"/>
    <col min="15893" max="15893" width="1.5703125" style="106" customWidth="1"/>
    <col min="15894" max="15894" width="12.28515625" style="106" customWidth="1"/>
    <col min="15895" max="15895" width="0.85546875" style="106" customWidth="1"/>
    <col min="15896" max="15896" width="12.28515625" style="106" customWidth="1"/>
    <col min="15897" max="15897" width="1.5703125" style="106" customWidth="1"/>
    <col min="15898" max="15898" width="12.28515625" style="106" customWidth="1"/>
    <col min="15899" max="15899" width="1.5703125" style="106" customWidth="1"/>
    <col min="15900" max="15900" width="12.28515625" style="106" customWidth="1"/>
    <col min="15901" max="15901" width="0.85546875" style="106" customWidth="1"/>
    <col min="15902" max="15902" width="12.28515625" style="106" customWidth="1"/>
    <col min="15903" max="15903" width="1.5703125" style="106" customWidth="1"/>
    <col min="15904" max="15904" width="12.28515625" style="106" customWidth="1"/>
    <col min="15905" max="15905" width="1.5703125" style="106" customWidth="1"/>
    <col min="15906" max="15906" width="12.28515625" style="106" customWidth="1"/>
    <col min="15907" max="15907" width="4.5703125" style="106" customWidth="1"/>
    <col min="15908" max="15908" width="1.42578125" style="106" customWidth="1"/>
    <col min="15909" max="16131" width="13.85546875" style="106"/>
    <col min="16132" max="16132" width="7.85546875" style="106" customWidth="1"/>
    <col min="16133" max="16134" width="2.28515625" style="106" customWidth="1"/>
    <col min="16135" max="16135" width="31.42578125" style="106" customWidth="1"/>
    <col min="16136" max="16136" width="2.28515625" style="106" customWidth="1"/>
    <col min="16137" max="16137" width="2.140625" style="106" customWidth="1"/>
    <col min="16138" max="16138" width="12.28515625" style="106" customWidth="1"/>
    <col min="16139" max="16139" width="1.5703125" style="106" customWidth="1"/>
    <col min="16140" max="16140" width="12.28515625" style="106" customWidth="1"/>
    <col min="16141" max="16141" width="1.5703125" style="106" customWidth="1"/>
    <col min="16142" max="16142" width="12.28515625" style="106" customWidth="1"/>
    <col min="16143" max="16143" width="1.5703125" style="106" customWidth="1"/>
    <col min="16144" max="16144" width="13.5703125" style="106" customWidth="1"/>
    <col min="16145" max="16145" width="0.85546875" style="106" customWidth="1"/>
    <col min="16146" max="16146" width="12.28515625" style="106" customWidth="1"/>
    <col min="16147" max="16147" width="1.5703125" style="106" customWidth="1"/>
    <col min="16148" max="16148" width="12.28515625" style="106" customWidth="1"/>
    <col min="16149" max="16149" width="1.5703125" style="106" customWidth="1"/>
    <col min="16150" max="16150" width="12.28515625" style="106" customWidth="1"/>
    <col min="16151" max="16151" width="0.85546875" style="106" customWidth="1"/>
    <col min="16152" max="16152" width="12.28515625" style="106" customWidth="1"/>
    <col min="16153" max="16153" width="1.5703125" style="106" customWidth="1"/>
    <col min="16154" max="16154" width="12.28515625" style="106" customWidth="1"/>
    <col min="16155" max="16155" width="1.5703125" style="106" customWidth="1"/>
    <col min="16156" max="16156" width="12.28515625" style="106" customWidth="1"/>
    <col min="16157" max="16157" width="0.85546875" style="106" customWidth="1"/>
    <col min="16158" max="16158" width="12.28515625" style="106" customWidth="1"/>
    <col min="16159" max="16159" width="1.5703125" style="106" customWidth="1"/>
    <col min="16160" max="16160" width="12.28515625" style="106" customWidth="1"/>
    <col min="16161" max="16161" width="1.5703125" style="106" customWidth="1"/>
    <col min="16162" max="16162" width="12.28515625" style="106" customWidth="1"/>
    <col min="16163" max="16163" width="4.5703125" style="106" customWidth="1"/>
    <col min="16164" max="16164" width="1.42578125" style="106" customWidth="1"/>
    <col min="16165" max="16384" width="13.85546875" style="106"/>
  </cols>
  <sheetData>
    <row r="1" spans="1:36">
      <c r="D1" s="106" t="s">
        <v>179</v>
      </c>
      <c r="E1" s="106" t="s">
        <v>180</v>
      </c>
      <c r="F1" s="107"/>
      <c r="G1" s="108"/>
      <c r="J1" s="106" t="s">
        <v>181</v>
      </c>
      <c r="L1" s="106" t="s">
        <v>182</v>
      </c>
      <c r="N1" s="106" t="s">
        <v>183</v>
      </c>
      <c r="P1" s="106" t="s">
        <v>184</v>
      </c>
      <c r="R1" s="106" t="s">
        <v>185</v>
      </c>
      <c r="T1" s="106" t="s">
        <v>186</v>
      </c>
      <c r="V1" s="106" t="s">
        <v>187</v>
      </c>
      <c r="X1" s="106" t="s">
        <v>188</v>
      </c>
      <c r="Z1" s="106" t="s">
        <v>189</v>
      </c>
      <c r="AB1" s="106" t="s">
        <v>190</v>
      </c>
      <c r="AD1" s="106" t="s">
        <v>191</v>
      </c>
      <c r="AF1" s="106" t="s">
        <v>192</v>
      </c>
      <c r="AH1" s="109"/>
    </row>
    <row r="2" spans="1:36" hidden="1" outlineLevel="1">
      <c r="B2" s="110"/>
      <c r="D2" s="111"/>
      <c r="E2" s="111"/>
      <c r="F2" s="112"/>
      <c r="G2" s="108"/>
      <c r="H2" s="113"/>
      <c r="I2" s="114"/>
      <c r="J2" s="115">
        <v>0</v>
      </c>
      <c r="K2" s="114"/>
      <c r="L2" s="115">
        <v>0</v>
      </c>
      <c r="M2" s="114"/>
      <c r="N2" s="115">
        <v>0</v>
      </c>
      <c r="O2" s="114"/>
      <c r="P2" s="115">
        <v>0</v>
      </c>
      <c r="Q2" s="114"/>
      <c r="R2" s="115">
        <v>0</v>
      </c>
      <c r="S2" s="114"/>
      <c r="T2" s="115">
        <v>0</v>
      </c>
      <c r="U2" s="114"/>
      <c r="V2" s="115">
        <v>0</v>
      </c>
      <c r="W2" s="114"/>
      <c r="X2" s="115">
        <v>0</v>
      </c>
      <c r="Y2" s="114"/>
      <c r="Z2" s="115">
        <v>0</v>
      </c>
      <c r="AA2" s="114"/>
      <c r="AB2" s="115">
        <v>0</v>
      </c>
      <c r="AC2" s="114"/>
      <c r="AD2" s="115">
        <v>0</v>
      </c>
      <c r="AE2" s="114"/>
      <c r="AF2" s="115">
        <v>0</v>
      </c>
      <c r="AG2" s="114"/>
      <c r="AH2" s="115">
        <f>AF2+AD2+AB2+Z2+X2+V2+T2+R2+P2+N2+L2+J2</f>
        <v>0</v>
      </c>
      <c r="AI2" s="116">
        <f>IF(AH$50=0,0,AH2/AH$50)</f>
        <v>0</v>
      </c>
      <c r="AJ2" s="117"/>
    </row>
    <row r="3" spans="1:36" collapsed="1">
      <c r="D3" s="118"/>
      <c r="E3" s="118"/>
      <c r="F3" s="118"/>
      <c r="G3" s="118"/>
      <c r="H3" s="118"/>
      <c r="I3" s="118"/>
      <c r="J3" s="106" t="str">
        <f>TEXT(EDATE(DATEVALUE(RIGHT($D$8,2)&amp;"/1/"&amp;LEFT($D$8,4)),-11),"yyyy-mm")</f>
        <v>2017-01</v>
      </c>
      <c r="L3" s="106" t="str">
        <f>TEXT(EDATE(DATEVALUE(RIGHT($D$8,2)&amp;"/1/"&amp;LEFT($D$8,4)),-10),"yyyy-mm")</f>
        <v>2017-02</v>
      </c>
      <c r="N3" s="106" t="str">
        <f>TEXT(EDATE(DATEVALUE(RIGHT($D$8,2)&amp;"/1/"&amp;LEFT($D$8,4)),-9),"yyyy-mm")</f>
        <v>2017-03</v>
      </c>
      <c r="P3" s="106" t="str">
        <f>TEXT(EDATE(DATEVALUE(RIGHT($D$8,2)&amp;"/1/"&amp;LEFT($D$8,4)),-8),"yyyy-mm")</f>
        <v>2017-04</v>
      </c>
      <c r="R3" s="106" t="str">
        <f>TEXT(EDATE(DATEVALUE(RIGHT($D$8,2)&amp;"/1/"&amp;LEFT($D$8,4)),-7),"yyyy-mm")</f>
        <v>2017-05</v>
      </c>
      <c r="T3" s="106" t="str">
        <f>TEXT(EDATE(DATEVALUE(RIGHT($D$8,2)&amp;"/1/"&amp;LEFT($D$8,4)),-6),"yyyy-mm")</f>
        <v>2017-06</v>
      </c>
      <c r="V3" s="106" t="str">
        <f>TEXT(EDATE(DATEVALUE(RIGHT($D$8,2)&amp;"/1/"&amp;LEFT($D$8,4)),-5),"yyyy-mm")</f>
        <v>2017-07</v>
      </c>
      <c r="X3" s="106" t="str">
        <f>TEXT(EDATE(DATEVALUE(RIGHT($D$8,2)&amp;"/1/"&amp;LEFT($D$8,4)),-4),"yyyy-mm")</f>
        <v>2017-08</v>
      </c>
      <c r="Z3" s="106" t="str">
        <f>TEXT(EDATE(DATEVALUE(RIGHT($D$8,2)&amp;"/1/"&amp;LEFT($D$8,4)),-3),"yyyy-mm")</f>
        <v>2017-09</v>
      </c>
      <c r="AB3" s="106" t="str">
        <f>TEXT(EDATE(DATEVALUE(RIGHT($D$8,2)&amp;"/1/"&amp;LEFT($D$8,4)),-2),"yyyy-mm")</f>
        <v>2017-10</v>
      </c>
      <c r="AD3" s="106" t="str">
        <f>TEXT(EDATE(DATEVALUE(RIGHT($D$8,2)&amp;"/1/"&amp;LEFT($D$8,4)),-1),"yyyy-mm")</f>
        <v>2017-11</v>
      </c>
      <c r="AF3" s="106" t="str">
        <f>YearMonth</f>
        <v>2017-12</v>
      </c>
      <c r="AH3" s="106"/>
    </row>
    <row r="4" spans="1:36" ht="8.25" customHeight="1">
      <c r="B4" s="119" t="str">
        <f ca="1">_xll.ReportVariable("WCN1",B13:B375,1:1,2:2,_xll.Param(D8,N6,"PL,98501",R7,"PL",R6,"AcctGrp1","ConsolSum","",""))</f>
        <v>OK!: ReportVariable Formula OK [jAction{}]</v>
      </c>
      <c r="G4" s="120"/>
      <c r="J4" s="106"/>
      <c r="L4" s="106"/>
      <c r="N4" s="106"/>
      <c r="P4" s="106"/>
      <c r="R4" s="106"/>
      <c r="T4" s="106"/>
      <c r="V4" s="106"/>
      <c r="X4" s="106"/>
      <c r="Z4" s="106"/>
      <c r="AB4" s="106"/>
      <c r="AD4" s="106"/>
      <c r="AF4" s="106"/>
      <c r="AH4" s="106"/>
    </row>
    <row r="5" spans="1:36">
      <c r="B5" s="119" t="e">
        <f ca="1">_xll.ReportDrill(,"JEQuery",D12:D273,J3:AJ3,"K7","G6",,,_xll.Param("","",N6))</f>
        <v>#VALUE!</v>
      </c>
      <c r="D5" s="106">
        <v>1</v>
      </c>
      <c r="E5" s="106">
        <v>2</v>
      </c>
      <c r="F5" s="106">
        <v>3</v>
      </c>
      <c r="G5" s="106">
        <v>4</v>
      </c>
      <c r="H5" s="106">
        <v>5</v>
      </c>
      <c r="I5" s="106">
        <v>6</v>
      </c>
      <c r="J5" s="106">
        <v>7</v>
      </c>
      <c r="K5" s="106">
        <v>8</v>
      </c>
      <c r="L5" s="106">
        <v>9</v>
      </c>
      <c r="M5" s="106">
        <v>10</v>
      </c>
      <c r="N5" s="106">
        <v>11</v>
      </c>
      <c r="O5" s="106">
        <v>12</v>
      </c>
      <c r="P5" s="106">
        <v>13</v>
      </c>
      <c r="Q5" s="106">
        <v>14</v>
      </c>
      <c r="R5" s="106">
        <v>15</v>
      </c>
      <c r="S5" s="106">
        <v>16</v>
      </c>
      <c r="T5" s="106">
        <v>17</v>
      </c>
      <c r="U5" s="106">
        <v>18</v>
      </c>
      <c r="V5" s="106">
        <v>19</v>
      </c>
      <c r="W5" s="106">
        <v>20</v>
      </c>
      <c r="X5" s="106">
        <v>21</v>
      </c>
      <c r="Y5" s="106">
        <v>22</v>
      </c>
      <c r="Z5" s="106">
        <v>23</v>
      </c>
      <c r="AA5" s="106">
        <v>24</v>
      </c>
      <c r="AB5" s="106">
        <v>25</v>
      </c>
      <c r="AC5" s="106">
        <v>26</v>
      </c>
      <c r="AD5" s="106">
        <v>27</v>
      </c>
      <c r="AE5" s="106">
        <v>28</v>
      </c>
      <c r="AF5" s="106">
        <v>29</v>
      </c>
      <c r="AG5" s="106">
        <v>30</v>
      </c>
      <c r="AH5" s="106">
        <v>31</v>
      </c>
    </row>
    <row r="6" spans="1:36" s="122" customFormat="1" ht="15.75">
      <c r="A6" s="106"/>
      <c r="B6" s="106"/>
      <c r="C6" s="106"/>
      <c r="D6" s="121" t="s">
        <v>193</v>
      </c>
      <c r="M6" s="123" t="s">
        <v>194</v>
      </c>
      <c r="N6" s="124" t="s">
        <v>195</v>
      </c>
      <c r="Q6" s="123" t="s">
        <v>196</v>
      </c>
      <c r="R6" s="125"/>
      <c r="S6" s="123"/>
      <c r="T6" s="124"/>
      <c r="Y6" s="123"/>
      <c r="Z6" s="124"/>
      <c r="AE6" s="123"/>
      <c r="AF6" s="124"/>
      <c r="AH6" s="126"/>
    </row>
    <row r="7" spans="1:36" s="122" customFormat="1" ht="15.75">
      <c r="A7" s="106"/>
      <c r="D7" s="121" t="s">
        <v>197</v>
      </c>
      <c r="N7" s="127" t="s">
        <v>198</v>
      </c>
      <c r="Q7" s="123" t="s">
        <v>199</v>
      </c>
      <c r="R7" s="127" t="s">
        <v>198</v>
      </c>
      <c r="T7" s="127" t="s">
        <v>198</v>
      </c>
      <c r="Z7" s="127" t="s">
        <v>198</v>
      </c>
      <c r="AF7" s="127" t="s">
        <v>198</v>
      </c>
    </row>
    <row r="8" spans="1:36" s="122" customFormat="1" ht="15.75">
      <c r="A8" s="106"/>
      <c r="D8" s="128" t="s">
        <v>200</v>
      </c>
    </row>
    <row r="9" spans="1:36" s="122" customFormat="1" ht="6" customHeight="1">
      <c r="A9" s="106"/>
      <c r="D9" s="129"/>
    </row>
    <row r="10" spans="1:36" s="122" customFormat="1" ht="6" customHeight="1">
      <c r="A10" s="106"/>
      <c r="D10" s="130"/>
    </row>
    <row r="11" spans="1:36" s="122" customFormat="1" ht="6" customHeight="1">
      <c r="A11" s="106"/>
      <c r="D11" s="131"/>
      <c r="E11" s="131"/>
      <c r="F11" s="131"/>
      <c r="G11" s="131"/>
      <c r="H11" s="131"/>
      <c r="I11" s="131"/>
      <c r="J11" s="132"/>
      <c r="K11" s="133"/>
      <c r="L11" s="132"/>
      <c r="M11" s="133"/>
      <c r="N11" s="134"/>
      <c r="O11" s="133"/>
      <c r="P11" s="132"/>
      <c r="Q11" s="133"/>
      <c r="R11" s="132"/>
      <c r="S11" s="133"/>
      <c r="T11" s="134"/>
      <c r="U11" s="133"/>
      <c r="V11" s="132"/>
      <c r="W11" s="133"/>
      <c r="X11" s="132"/>
      <c r="Y11" s="133"/>
      <c r="Z11" s="134"/>
      <c r="AA11" s="133"/>
      <c r="AB11" s="132"/>
      <c r="AC11" s="133"/>
      <c r="AD11" s="132"/>
      <c r="AE11" s="133"/>
      <c r="AF11" s="134"/>
      <c r="AG11" s="133"/>
      <c r="AH11" s="132"/>
      <c r="AI11" s="132"/>
    </row>
    <row r="12" spans="1:36" s="122" customFormat="1" ht="14.25" customHeight="1" thickBot="1">
      <c r="A12" s="106"/>
      <c r="B12" s="135" t="s">
        <v>201</v>
      </c>
      <c r="D12" s="131"/>
      <c r="E12" s="131"/>
      <c r="F12" s="131"/>
      <c r="G12" s="131"/>
      <c r="H12" s="131"/>
      <c r="I12" s="131"/>
      <c r="J12" s="136">
        <f>DATE(MID(J3,1,4), MID(J3,6,2), MID(J3,6,2))</f>
        <v>42736</v>
      </c>
      <c r="K12" s="137"/>
      <c r="L12" s="136">
        <f>DATE(MID(L3,1,4), MID(L3,6,2), MID(L3,6,2))</f>
        <v>42768</v>
      </c>
      <c r="M12" s="137"/>
      <c r="N12" s="136">
        <f>DATE(MID(N3,1,4), MID(N3,6,2), MID(N3,6,2))</f>
        <v>42797</v>
      </c>
      <c r="O12" s="138"/>
      <c r="P12" s="136">
        <f>DATE(MID(P3,1,4), MID(P3,6,2), MID(P3,6,2))</f>
        <v>42829</v>
      </c>
      <c r="Q12" s="137"/>
      <c r="R12" s="136">
        <f>DATE(MID(R3,1,4), MID(R3,6,2), MID(R3,6,2))</f>
        <v>42860</v>
      </c>
      <c r="S12" s="137"/>
      <c r="T12" s="136">
        <f>DATE(MID(T3,1,4), MID(T3,6,2), MID(T3,6,2))</f>
        <v>42892</v>
      </c>
      <c r="U12" s="138"/>
      <c r="V12" s="136">
        <f>DATE(MID(V3,1,4), MID(V3,6,2), MID(V3,6,2))</f>
        <v>42923</v>
      </c>
      <c r="W12" s="137"/>
      <c r="X12" s="136">
        <f>DATE(MID(X3,1,4), MID(X3,6,2), MID(X3,6,2))</f>
        <v>42955</v>
      </c>
      <c r="Y12" s="137"/>
      <c r="Z12" s="136">
        <f>DATE(MID(Z3,1,4), MID(Z3,6,2), MID(Z3,6,2))</f>
        <v>42987</v>
      </c>
      <c r="AA12" s="138"/>
      <c r="AB12" s="136">
        <f>DATE(MID(AB3,1,4), MID(AB3,6,2), MID(AB3,6,2))</f>
        <v>43018</v>
      </c>
      <c r="AC12" s="137"/>
      <c r="AD12" s="136">
        <f>DATE(MID(AD3,1,4), MID(AD3,6,2), MID(AD3,6,2))</f>
        <v>43050</v>
      </c>
      <c r="AE12" s="137"/>
      <c r="AF12" s="136">
        <f>DATE(MID(AF3,1,4), MID(AF3,6,2), MID(AF3,6,2))</f>
        <v>43081</v>
      </c>
      <c r="AG12" s="138"/>
      <c r="AH12" s="139" t="s">
        <v>20</v>
      </c>
      <c r="AI12" s="140"/>
    </row>
    <row r="13" spans="1:36" outlineLevel="1">
      <c r="B13" s="110" t="s">
        <v>202</v>
      </c>
      <c r="D13" s="111">
        <v>98501</v>
      </c>
      <c r="E13" s="111" t="s">
        <v>203</v>
      </c>
      <c r="F13" s="112"/>
      <c r="G13" s="108"/>
      <c r="H13" s="113"/>
      <c r="I13" s="114"/>
      <c r="J13" s="115">
        <v>22</v>
      </c>
      <c r="K13" s="114"/>
      <c r="L13" s="115">
        <v>0</v>
      </c>
      <c r="M13" s="114"/>
      <c r="N13" s="115">
        <v>0</v>
      </c>
      <c r="O13" s="114"/>
      <c r="P13" s="115">
        <v>0</v>
      </c>
      <c r="Q13" s="114"/>
      <c r="R13" s="115">
        <v>0</v>
      </c>
      <c r="S13" s="114"/>
      <c r="T13" s="115">
        <v>0</v>
      </c>
      <c r="U13" s="114"/>
      <c r="V13" s="115">
        <v>0</v>
      </c>
      <c r="W13" s="114"/>
      <c r="X13" s="115">
        <v>0</v>
      </c>
      <c r="Y13" s="114"/>
      <c r="Z13" s="115">
        <v>0</v>
      </c>
      <c r="AA13" s="114"/>
      <c r="AB13" s="115">
        <v>0</v>
      </c>
      <c r="AC13" s="114"/>
      <c r="AD13" s="115">
        <v>0</v>
      </c>
      <c r="AE13" s="114"/>
      <c r="AF13" s="115">
        <v>0</v>
      </c>
      <c r="AG13" s="114"/>
      <c r="AH13" s="115">
        <f>AF13+AD13+AB13+Z13+X13+V13+T13+R13+P13+N13+L13+J13</f>
        <v>22</v>
      </c>
      <c r="AI13" s="116">
        <f>IF(AH$50=0,0,AH13/AH$50)</f>
        <v>1.6795374969037341E-5</v>
      </c>
      <c r="AJ13" s="117"/>
    </row>
    <row r="14" spans="1:36" s="113" customFormat="1" ht="4.5" customHeight="1">
      <c r="J14" s="114"/>
      <c r="K14" s="122"/>
      <c r="L14" s="114"/>
      <c r="M14" s="122"/>
      <c r="N14" s="114"/>
      <c r="O14" s="122"/>
      <c r="P14" s="114"/>
      <c r="Q14" s="122"/>
      <c r="R14" s="114"/>
      <c r="S14" s="122"/>
      <c r="T14" s="114"/>
      <c r="U14" s="122"/>
      <c r="V14" s="114"/>
      <c r="W14" s="122"/>
      <c r="X14" s="114"/>
      <c r="Y14" s="122"/>
      <c r="Z14" s="114"/>
      <c r="AA14" s="122"/>
      <c r="AB14" s="114"/>
      <c r="AC14" s="122"/>
      <c r="AD14" s="114"/>
      <c r="AE14" s="122"/>
      <c r="AF14" s="114"/>
      <c r="AG14" s="122"/>
      <c r="AH14" s="114"/>
      <c r="AI14" s="141"/>
      <c r="AJ14" s="122"/>
    </row>
    <row r="15" spans="1:36" s="113" customFormat="1" ht="15" outlineLevel="1">
      <c r="J15" s="114"/>
      <c r="K15" s="122"/>
      <c r="L15" s="114"/>
      <c r="M15" s="122"/>
      <c r="N15" s="114"/>
      <c r="O15" s="122"/>
      <c r="P15" s="114"/>
      <c r="Q15" s="122"/>
      <c r="R15" s="114"/>
      <c r="S15" s="122"/>
      <c r="T15" s="114"/>
      <c r="U15" s="122"/>
      <c r="V15" s="114"/>
      <c r="W15" s="122"/>
      <c r="X15" s="114"/>
      <c r="Y15" s="122"/>
      <c r="Z15" s="114"/>
      <c r="AA15" s="122"/>
      <c r="AB15" s="114"/>
      <c r="AC15" s="122"/>
      <c r="AD15" s="114"/>
      <c r="AE15" s="122"/>
      <c r="AF15" s="114"/>
      <c r="AG15" s="122"/>
      <c r="AH15" s="114"/>
      <c r="AI15" s="142"/>
      <c r="AJ15" s="122"/>
    </row>
    <row r="16" spans="1:36" outlineLevel="1">
      <c r="B16" s="110" t="s">
        <v>204</v>
      </c>
      <c r="D16" s="111">
        <v>31000</v>
      </c>
      <c r="E16" s="111" t="s">
        <v>205</v>
      </c>
      <c r="F16" s="112"/>
      <c r="G16" s="108"/>
      <c r="H16" s="113"/>
      <c r="I16" s="114"/>
      <c r="J16" s="115">
        <v>5075.6400000000003</v>
      </c>
      <c r="K16" s="114"/>
      <c r="L16" s="115">
        <v>12875.95</v>
      </c>
      <c r="M16" s="114"/>
      <c r="N16" s="115">
        <v>15242.54</v>
      </c>
      <c r="O16" s="114"/>
      <c r="P16" s="115">
        <v>10131.94</v>
      </c>
      <c r="Q16" s="114"/>
      <c r="R16" s="115">
        <v>14118.74</v>
      </c>
      <c r="S16" s="114"/>
      <c r="T16" s="115">
        <v>19530.21</v>
      </c>
      <c r="U16" s="114"/>
      <c r="V16" s="115">
        <v>16176.09</v>
      </c>
      <c r="W16" s="114"/>
      <c r="X16" s="115">
        <v>12851.37</v>
      </c>
      <c r="Y16" s="114"/>
      <c r="Z16" s="115">
        <v>12618.85</v>
      </c>
      <c r="AA16" s="114"/>
      <c r="AB16" s="115">
        <v>17695.099999999999</v>
      </c>
      <c r="AC16" s="114"/>
      <c r="AD16" s="115">
        <v>11548.5</v>
      </c>
      <c r="AE16" s="114"/>
      <c r="AF16" s="115">
        <v>17227.77</v>
      </c>
      <c r="AG16" s="114"/>
      <c r="AH16" s="115">
        <f t="shared" ref="AH16:AH22" si="0">AF16+AD16+AB16+Z16+X16+V16+T16+R16+P16+N16+L16+J16</f>
        <v>165092.70000000001</v>
      </c>
      <c r="AI16" s="116">
        <f t="shared" ref="AI16:AI22" si="1">IF(AH$50=0,0,AH16/AH$50)</f>
        <v>0.12603608187049054</v>
      </c>
      <c r="AJ16" s="117"/>
    </row>
    <row r="17" spans="2:36" outlineLevel="1">
      <c r="B17" s="110" t="s">
        <v>206</v>
      </c>
      <c r="D17" s="111">
        <v>31005</v>
      </c>
      <c r="E17" s="111" t="s">
        <v>207</v>
      </c>
      <c r="F17" s="112"/>
      <c r="G17" s="108"/>
      <c r="H17" s="113"/>
      <c r="I17" s="114"/>
      <c r="J17" s="115">
        <v>6518.4</v>
      </c>
      <c r="K17" s="114"/>
      <c r="L17" s="115">
        <v>15757.7</v>
      </c>
      <c r="M17" s="114"/>
      <c r="N17" s="115">
        <v>18825.7</v>
      </c>
      <c r="O17" s="114"/>
      <c r="P17" s="115">
        <v>14681.7</v>
      </c>
      <c r="Q17" s="114"/>
      <c r="R17" s="115">
        <v>19603.68</v>
      </c>
      <c r="S17" s="114"/>
      <c r="T17" s="115">
        <v>24337.27</v>
      </c>
      <c r="U17" s="114"/>
      <c r="V17" s="115">
        <v>12062.1</v>
      </c>
      <c r="W17" s="114"/>
      <c r="X17" s="115">
        <v>9302.59</v>
      </c>
      <c r="Y17" s="114"/>
      <c r="Z17" s="115">
        <v>8666.64</v>
      </c>
      <c r="AA17" s="114"/>
      <c r="AB17" s="115">
        <v>14771.2</v>
      </c>
      <c r="AC17" s="114"/>
      <c r="AD17" s="115">
        <v>10114.870000000001</v>
      </c>
      <c r="AE17" s="114"/>
      <c r="AF17" s="115">
        <v>5958.56</v>
      </c>
      <c r="AG17" s="114"/>
      <c r="AH17" s="115">
        <f t="shared" si="0"/>
        <v>160600.41</v>
      </c>
      <c r="AI17" s="116">
        <f t="shared" si="1"/>
        <v>0.12260655027868793</v>
      </c>
      <c r="AJ17" s="117"/>
    </row>
    <row r="18" spans="2:36" outlineLevel="1">
      <c r="B18" s="110" t="s">
        <v>206</v>
      </c>
      <c r="D18" s="111">
        <v>31010</v>
      </c>
      <c r="E18" s="111" t="s">
        <v>208</v>
      </c>
      <c r="F18" s="112"/>
      <c r="G18" s="108"/>
      <c r="H18" s="113"/>
      <c r="I18" s="114"/>
      <c r="J18" s="115">
        <v>0</v>
      </c>
      <c r="K18" s="114"/>
      <c r="L18" s="115">
        <v>0</v>
      </c>
      <c r="M18" s="114"/>
      <c r="N18" s="115">
        <v>0</v>
      </c>
      <c r="O18" s="114"/>
      <c r="P18" s="115">
        <v>8.1199999999999992</v>
      </c>
      <c r="Q18" s="114"/>
      <c r="R18" s="115">
        <v>2555.37</v>
      </c>
      <c r="S18" s="114"/>
      <c r="T18" s="115">
        <v>541.26</v>
      </c>
      <c r="U18" s="114"/>
      <c r="V18" s="115">
        <v>0</v>
      </c>
      <c r="W18" s="114"/>
      <c r="X18" s="115">
        <v>0</v>
      </c>
      <c r="Y18" s="114"/>
      <c r="Z18" s="115">
        <v>0</v>
      </c>
      <c r="AA18" s="114"/>
      <c r="AB18" s="115">
        <v>0</v>
      </c>
      <c r="AC18" s="114"/>
      <c r="AD18" s="115">
        <v>0</v>
      </c>
      <c r="AE18" s="114"/>
      <c r="AF18" s="115">
        <v>0</v>
      </c>
      <c r="AG18" s="114"/>
      <c r="AH18" s="115">
        <f t="shared" si="0"/>
        <v>3104.75</v>
      </c>
      <c r="AI18" s="116">
        <f t="shared" si="1"/>
        <v>2.3702472925053951E-3</v>
      </c>
      <c r="AJ18" s="117"/>
    </row>
    <row r="19" spans="2:36" outlineLevel="1">
      <c r="B19" s="110" t="s">
        <v>206</v>
      </c>
      <c r="D19" s="111">
        <v>32000</v>
      </c>
      <c r="E19" s="111" t="s">
        <v>209</v>
      </c>
      <c r="F19" s="112"/>
      <c r="G19" s="108"/>
      <c r="H19" s="113"/>
      <c r="I19" s="114"/>
      <c r="J19" s="115">
        <v>36589.96</v>
      </c>
      <c r="K19" s="114"/>
      <c r="L19" s="115">
        <v>36602.21</v>
      </c>
      <c r="M19" s="114"/>
      <c r="N19" s="115">
        <v>37450.370000000003</v>
      </c>
      <c r="O19" s="114"/>
      <c r="P19" s="115">
        <v>37486.639999999999</v>
      </c>
      <c r="Q19" s="114"/>
      <c r="R19" s="115">
        <v>38165.71</v>
      </c>
      <c r="S19" s="114"/>
      <c r="T19" s="115">
        <v>38303.96</v>
      </c>
      <c r="U19" s="114"/>
      <c r="V19" s="115">
        <v>38119.61</v>
      </c>
      <c r="W19" s="114"/>
      <c r="X19" s="115">
        <v>39033.43</v>
      </c>
      <c r="Y19" s="114"/>
      <c r="Z19" s="115">
        <v>38908.93</v>
      </c>
      <c r="AA19" s="114"/>
      <c r="AB19" s="115">
        <v>38444.22</v>
      </c>
      <c r="AC19" s="114"/>
      <c r="AD19" s="115">
        <v>37972.54</v>
      </c>
      <c r="AE19" s="114"/>
      <c r="AF19" s="115">
        <v>38007.21</v>
      </c>
      <c r="AG19" s="114"/>
      <c r="AH19" s="115">
        <f t="shared" si="0"/>
        <v>455084.7900000001</v>
      </c>
      <c r="AI19" s="116">
        <f t="shared" si="1"/>
        <v>0.34742362230707352</v>
      </c>
      <c r="AJ19" s="117"/>
    </row>
    <row r="20" spans="2:36" outlineLevel="1">
      <c r="B20" s="110" t="s">
        <v>206</v>
      </c>
      <c r="D20" s="111">
        <v>32001</v>
      </c>
      <c r="E20" s="111" t="s">
        <v>210</v>
      </c>
      <c r="F20" s="112"/>
      <c r="G20" s="108"/>
      <c r="H20" s="113"/>
      <c r="I20" s="114"/>
      <c r="J20" s="115">
        <v>416.93</v>
      </c>
      <c r="K20" s="114"/>
      <c r="L20" s="115">
        <v>1533.23</v>
      </c>
      <c r="M20" s="114"/>
      <c r="N20" s="115">
        <v>2437</v>
      </c>
      <c r="O20" s="114"/>
      <c r="P20" s="115">
        <v>1874.24</v>
      </c>
      <c r="Q20" s="114"/>
      <c r="R20" s="115">
        <v>2261.98</v>
      </c>
      <c r="S20" s="114"/>
      <c r="T20" s="115">
        <v>2848.54</v>
      </c>
      <c r="U20" s="114"/>
      <c r="V20" s="115">
        <v>2608.94</v>
      </c>
      <c r="W20" s="114"/>
      <c r="X20" s="115">
        <v>3124.28</v>
      </c>
      <c r="Y20" s="114"/>
      <c r="Z20" s="115">
        <v>4455.0600000000004</v>
      </c>
      <c r="AA20" s="114"/>
      <c r="AB20" s="115">
        <v>2860.97</v>
      </c>
      <c r="AC20" s="114"/>
      <c r="AD20" s="115">
        <v>3107.28</v>
      </c>
      <c r="AE20" s="114"/>
      <c r="AF20" s="115">
        <v>3147.99</v>
      </c>
      <c r="AG20" s="114"/>
      <c r="AH20" s="115">
        <f t="shared" si="0"/>
        <v>30676.44</v>
      </c>
      <c r="AI20" s="116">
        <f t="shared" si="1"/>
        <v>2.3419196023417084E-2</v>
      </c>
      <c r="AJ20" s="117"/>
    </row>
    <row r="21" spans="2:36" outlineLevel="1">
      <c r="B21" s="110" t="s">
        <v>206</v>
      </c>
      <c r="D21" s="111">
        <v>33000</v>
      </c>
      <c r="E21" s="111" t="s">
        <v>211</v>
      </c>
      <c r="F21" s="112"/>
      <c r="G21" s="108"/>
      <c r="H21" s="113"/>
      <c r="I21" s="114"/>
      <c r="J21" s="115">
        <v>35962.129999999997</v>
      </c>
      <c r="K21" s="114"/>
      <c r="L21" s="115">
        <v>35638.730000000003</v>
      </c>
      <c r="M21" s="114"/>
      <c r="N21" s="115">
        <v>37119.269999999997</v>
      </c>
      <c r="O21" s="114"/>
      <c r="P21" s="115">
        <v>37932.74</v>
      </c>
      <c r="Q21" s="114"/>
      <c r="R21" s="115">
        <v>39037.24</v>
      </c>
      <c r="S21" s="114"/>
      <c r="T21" s="115">
        <v>41147.9</v>
      </c>
      <c r="U21" s="114"/>
      <c r="V21" s="115">
        <v>42048.19</v>
      </c>
      <c r="W21" s="114"/>
      <c r="X21" s="115">
        <v>42117.61</v>
      </c>
      <c r="Y21" s="114"/>
      <c r="Z21" s="115">
        <v>43087.75</v>
      </c>
      <c r="AA21" s="114"/>
      <c r="AB21" s="115">
        <v>40877.22</v>
      </c>
      <c r="AC21" s="114"/>
      <c r="AD21" s="115">
        <v>39876.14</v>
      </c>
      <c r="AE21" s="114"/>
      <c r="AF21" s="115">
        <v>39110.410000000003</v>
      </c>
      <c r="AG21" s="114"/>
      <c r="AH21" s="115">
        <f t="shared" si="0"/>
        <v>473955.33</v>
      </c>
      <c r="AI21" s="116">
        <f t="shared" si="1"/>
        <v>0.36182988572381064</v>
      </c>
      <c r="AJ21" s="117"/>
    </row>
    <row r="22" spans="2:36" outlineLevel="1">
      <c r="B22" s="110" t="s">
        <v>206</v>
      </c>
      <c r="D22" s="111">
        <v>33001</v>
      </c>
      <c r="E22" s="111" t="s">
        <v>212</v>
      </c>
      <c r="F22" s="112"/>
      <c r="G22" s="108"/>
      <c r="H22" s="113"/>
      <c r="I22" s="114"/>
      <c r="J22" s="115">
        <v>939.52</v>
      </c>
      <c r="K22" s="114"/>
      <c r="L22" s="115">
        <v>967.76</v>
      </c>
      <c r="M22" s="114"/>
      <c r="N22" s="115">
        <v>1601.01</v>
      </c>
      <c r="O22" s="114"/>
      <c r="P22" s="115">
        <v>1063.9000000000001</v>
      </c>
      <c r="Q22" s="114"/>
      <c r="R22" s="115">
        <v>1171.72</v>
      </c>
      <c r="S22" s="114"/>
      <c r="T22" s="115">
        <v>1253.77</v>
      </c>
      <c r="U22" s="114"/>
      <c r="V22" s="115">
        <v>1114.9100000000001</v>
      </c>
      <c r="W22" s="114"/>
      <c r="X22" s="115">
        <v>1398.81</v>
      </c>
      <c r="Y22" s="114"/>
      <c r="Z22" s="115">
        <v>1129.44</v>
      </c>
      <c r="AA22" s="114"/>
      <c r="AB22" s="115">
        <v>1154.02</v>
      </c>
      <c r="AC22" s="114"/>
      <c r="AD22" s="115">
        <v>1019.48</v>
      </c>
      <c r="AE22" s="114"/>
      <c r="AF22" s="115">
        <v>1381.21</v>
      </c>
      <c r="AG22" s="114"/>
      <c r="AH22" s="115">
        <f t="shared" si="0"/>
        <v>14195.55</v>
      </c>
      <c r="AI22" s="116">
        <f t="shared" si="1"/>
        <v>1.0837253870078093E-2</v>
      </c>
      <c r="AJ22" s="117"/>
    </row>
    <row r="23" spans="2:36" s="113" customFormat="1" ht="4.5" customHeight="1" outlineLevel="1">
      <c r="B23" s="143" t="s">
        <v>198</v>
      </c>
      <c r="J23" s="144"/>
      <c r="K23" s="122"/>
      <c r="L23" s="144"/>
      <c r="M23" s="122"/>
      <c r="N23" s="144"/>
      <c r="O23" s="122"/>
      <c r="P23" s="144"/>
      <c r="Q23" s="122"/>
      <c r="R23" s="144"/>
      <c r="S23" s="122"/>
      <c r="T23" s="144"/>
      <c r="U23" s="122"/>
      <c r="V23" s="144"/>
      <c r="W23" s="122"/>
      <c r="X23" s="144"/>
      <c r="Y23" s="122"/>
      <c r="Z23" s="144"/>
      <c r="AA23" s="122"/>
      <c r="AB23" s="144"/>
      <c r="AC23" s="122"/>
      <c r="AD23" s="144"/>
      <c r="AE23" s="122"/>
      <c r="AF23" s="144"/>
      <c r="AG23" s="122"/>
      <c r="AH23" s="144"/>
      <c r="AI23" s="142"/>
      <c r="AJ23" s="122"/>
    </row>
    <row r="24" spans="2:36" s="113" customFormat="1" ht="15">
      <c r="B24" s="106" t="s">
        <v>198</v>
      </c>
      <c r="F24" s="113" t="s">
        <v>213</v>
      </c>
      <c r="J24" s="145">
        <f>SUM(J15:J23)</f>
        <v>85502.58</v>
      </c>
      <c r="K24" s="146"/>
      <c r="L24" s="145">
        <f>SUM(L15:L23)</f>
        <v>103375.58</v>
      </c>
      <c r="M24" s="146"/>
      <c r="N24" s="145">
        <f>SUM(N15:N23)</f>
        <v>112675.89</v>
      </c>
      <c r="O24" s="146"/>
      <c r="P24" s="145">
        <f>SUM(P15:P23)</f>
        <v>103179.27999999998</v>
      </c>
      <c r="Q24" s="146"/>
      <c r="R24" s="145">
        <f>SUM(R15:R23)</f>
        <v>116914.44</v>
      </c>
      <c r="S24" s="146"/>
      <c r="T24" s="145">
        <f>SUM(T15:T23)</f>
        <v>127962.90999999999</v>
      </c>
      <c r="U24" s="146"/>
      <c r="V24" s="145">
        <f>SUM(V15:V23)</f>
        <v>112129.84000000001</v>
      </c>
      <c r="W24" s="146"/>
      <c r="X24" s="145">
        <f>SUM(X15:X23)</f>
        <v>107828.09</v>
      </c>
      <c r="Y24" s="146"/>
      <c r="Z24" s="145">
        <f>SUM(Z15:Z23)</f>
        <v>108866.67</v>
      </c>
      <c r="AA24" s="146"/>
      <c r="AB24" s="145">
        <f>SUM(AB15:AB23)</f>
        <v>115802.73000000001</v>
      </c>
      <c r="AC24" s="146"/>
      <c r="AD24" s="145">
        <f>SUM(AD15:AD23)</f>
        <v>103638.81</v>
      </c>
      <c r="AE24" s="146"/>
      <c r="AF24" s="145">
        <f>SUM(AF15:AF23)</f>
        <v>104833.15000000001</v>
      </c>
      <c r="AG24" s="146"/>
      <c r="AH24" s="145">
        <f>SUM(AH15:AH23)</f>
        <v>1302709.9700000002</v>
      </c>
      <c r="AI24" s="116">
        <f>IF(AH$50=0,0,AH24/AH$50)</f>
        <v>0.99452283736606317</v>
      </c>
      <c r="AJ24" s="122"/>
    </row>
    <row r="25" spans="2:36" s="113" customFormat="1" ht="15" hidden="1" outlineLevel="1">
      <c r="B25" s="143" t="s">
        <v>198</v>
      </c>
      <c r="J25" s="147"/>
      <c r="K25" s="146"/>
      <c r="L25" s="147"/>
      <c r="M25" s="146"/>
      <c r="N25" s="147"/>
      <c r="O25" s="146"/>
      <c r="P25" s="147"/>
      <c r="Q25" s="146"/>
      <c r="R25" s="147"/>
      <c r="S25" s="146"/>
      <c r="T25" s="147"/>
      <c r="U25" s="146"/>
      <c r="V25" s="147"/>
      <c r="W25" s="146"/>
      <c r="X25" s="147"/>
      <c r="Y25" s="146"/>
      <c r="Z25" s="147"/>
      <c r="AA25" s="146"/>
      <c r="AB25" s="147"/>
      <c r="AC25" s="146"/>
      <c r="AD25" s="147"/>
      <c r="AE25" s="146"/>
      <c r="AF25" s="147"/>
      <c r="AG25" s="146"/>
      <c r="AH25" s="147"/>
      <c r="AI25" s="142"/>
      <c r="AJ25" s="122"/>
    </row>
    <row r="26" spans="2:36" hidden="1" outlineLevel="1">
      <c r="B26" s="110" t="s">
        <v>214</v>
      </c>
      <c r="D26" s="111"/>
      <c r="E26" s="111"/>
      <c r="F26" s="112"/>
      <c r="G26" s="108"/>
      <c r="H26" s="113"/>
      <c r="I26" s="114"/>
      <c r="J26" s="115"/>
      <c r="K26" s="114"/>
      <c r="L26" s="115"/>
      <c r="M26" s="114"/>
      <c r="N26" s="115"/>
      <c r="O26" s="114"/>
      <c r="P26" s="115"/>
      <c r="Q26" s="114"/>
      <c r="R26" s="115"/>
      <c r="S26" s="114"/>
      <c r="T26" s="115"/>
      <c r="U26" s="114"/>
      <c r="V26" s="115"/>
      <c r="W26" s="114"/>
      <c r="X26" s="115"/>
      <c r="Y26" s="114"/>
      <c r="Z26" s="115"/>
      <c r="AA26" s="114"/>
      <c r="AB26" s="115"/>
      <c r="AC26" s="114"/>
      <c r="AD26" s="115"/>
      <c r="AE26" s="114"/>
      <c r="AF26" s="115"/>
      <c r="AG26" s="114"/>
      <c r="AH26" s="115">
        <f>AF26+AD26+AB26+Z26+X26+V26+T26+R26+P26+N26+L26+J26</f>
        <v>0</v>
      </c>
      <c r="AI26" s="116">
        <f>IF(AH$50=0,0,AH26/AH$50)</f>
        <v>0</v>
      </c>
      <c r="AJ26" s="117"/>
    </row>
    <row r="27" spans="2:36" s="113" customFormat="1" ht="5.0999999999999996" hidden="1" customHeight="1" outlineLevel="1">
      <c r="B27" s="143" t="s">
        <v>198</v>
      </c>
      <c r="D27" s="112"/>
      <c r="E27" s="112"/>
      <c r="F27" s="112"/>
      <c r="G27" s="112"/>
      <c r="J27" s="148"/>
      <c r="K27" s="146"/>
      <c r="L27" s="148"/>
      <c r="M27" s="146"/>
      <c r="N27" s="148"/>
      <c r="O27" s="146"/>
      <c r="P27" s="148"/>
      <c r="Q27" s="146"/>
      <c r="R27" s="148"/>
      <c r="S27" s="146"/>
      <c r="T27" s="148"/>
      <c r="U27" s="146"/>
      <c r="V27" s="148"/>
      <c r="W27" s="146"/>
      <c r="X27" s="148"/>
      <c r="Y27" s="146"/>
      <c r="Z27" s="148"/>
      <c r="AA27" s="146"/>
      <c r="AB27" s="148"/>
      <c r="AC27" s="146"/>
      <c r="AD27" s="148"/>
      <c r="AE27" s="146"/>
      <c r="AF27" s="148"/>
      <c r="AG27" s="146"/>
      <c r="AH27" s="148"/>
      <c r="AI27" s="142"/>
      <c r="AJ27" s="122"/>
    </row>
    <row r="28" spans="2:36" s="113" customFormat="1" ht="15" hidden="1" collapsed="1">
      <c r="B28" s="106" t="s">
        <v>198</v>
      </c>
      <c r="F28" s="112" t="s">
        <v>215</v>
      </c>
      <c r="J28" s="145">
        <f>SUM(J26:J27)</f>
        <v>0</v>
      </c>
      <c r="K28" s="146"/>
      <c r="L28" s="145">
        <f>SUM(L26:L27)</f>
        <v>0</v>
      </c>
      <c r="M28" s="146"/>
      <c r="N28" s="145">
        <f>SUM(N26:N27)</f>
        <v>0</v>
      </c>
      <c r="O28" s="146"/>
      <c r="P28" s="145">
        <f>SUM(P26:P27)</f>
        <v>0</v>
      </c>
      <c r="Q28" s="146"/>
      <c r="R28" s="145">
        <f>SUM(R26:R27)</f>
        <v>0</v>
      </c>
      <c r="S28" s="146"/>
      <c r="T28" s="145">
        <f>SUM(T26:T27)</f>
        <v>0</v>
      </c>
      <c r="U28" s="146"/>
      <c r="V28" s="145">
        <f>SUM(V26:V27)</f>
        <v>0</v>
      </c>
      <c r="W28" s="146"/>
      <c r="X28" s="145">
        <f>SUM(X26:X27)</f>
        <v>0</v>
      </c>
      <c r="Y28" s="146"/>
      <c r="Z28" s="145">
        <f>SUM(Z26:Z27)</f>
        <v>0</v>
      </c>
      <c r="AA28" s="146"/>
      <c r="AB28" s="145">
        <f>SUM(AB26:AB27)</f>
        <v>0</v>
      </c>
      <c r="AC28" s="146"/>
      <c r="AD28" s="145">
        <f>SUM(AD26:AD27)</f>
        <v>0</v>
      </c>
      <c r="AE28" s="146"/>
      <c r="AF28" s="145">
        <f>SUM(AF26:AF27)</f>
        <v>0</v>
      </c>
      <c r="AG28" s="146"/>
      <c r="AH28" s="145">
        <f>SUM(AH26:AH27)</f>
        <v>0</v>
      </c>
      <c r="AI28" s="116">
        <f>IF(AH$50=0,0,AH28/AH$50)</f>
        <v>0</v>
      </c>
      <c r="AJ28" s="122"/>
    </row>
    <row r="29" spans="2:36" s="113" customFormat="1" ht="15" hidden="1" outlineLevel="1">
      <c r="B29" s="106"/>
      <c r="J29" s="147"/>
      <c r="K29" s="146"/>
      <c r="L29" s="147"/>
      <c r="M29" s="146"/>
      <c r="N29" s="147"/>
      <c r="O29" s="146"/>
      <c r="P29" s="147"/>
      <c r="Q29" s="146"/>
      <c r="R29" s="147"/>
      <c r="S29" s="146"/>
      <c r="T29" s="147"/>
      <c r="U29" s="146"/>
      <c r="V29" s="147"/>
      <c r="W29" s="146"/>
      <c r="X29" s="147"/>
      <c r="Y29" s="146"/>
      <c r="Z29" s="147"/>
      <c r="AA29" s="146"/>
      <c r="AB29" s="147"/>
      <c r="AC29" s="146"/>
      <c r="AD29" s="147"/>
      <c r="AE29" s="146"/>
      <c r="AF29" s="147"/>
      <c r="AG29" s="146"/>
      <c r="AH29" s="147"/>
      <c r="AI29" s="142"/>
      <c r="AJ29" s="122"/>
    </row>
    <row r="30" spans="2:36" s="113" customFormat="1" ht="15" hidden="1" outlineLevel="1">
      <c r="B30" s="106" t="s">
        <v>198</v>
      </c>
      <c r="J30" s="147"/>
      <c r="K30" s="146"/>
      <c r="L30" s="147"/>
      <c r="M30" s="146"/>
      <c r="N30" s="147"/>
      <c r="O30" s="146"/>
      <c r="P30" s="147"/>
      <c r="Q30" s="146"/>
      <c r="R30" s="147"/>
      <c r="S30" s="146"/>
      <c r="T30" s="147"/>
      <c r="U30" s="146"/>
      <c r="V30" s="147"/>
      <c r="W30" s="146"/>
      <c r="X30" s="147"/>
      <c r="Y30" s="146"/>
      <c r="Z30" s="147"/>
      <c r="AA30" s="146"/>
      <c r="AB30" s="147"/>
      <c r="AC30" s="146"/>
      <c r="AD30" s="147"/>
      <c r="AE30" s="146"/>
      <c r="AF30" s="147"/>
      <c r="AG30" s="146"/>
      <c r="AH30" s="147"/>
      <c r="AI30" s="142"/>
      <c r="AJ30" s="122"/>
    </row>
    <row r="31" spans="2:36" hidden="1" outlineLevel="1">
      <c r="B31" s="110" t="s">
        <v>216</v>
      </c>
      <c r="D31" s="111"/>
      <c r="E31" s="111"/>
      <c r="F31" s="112"/>
      <c r="G31" s="108"/>
      <c r="H31" s="113"/>
      <c r="I31" s="114"/>
      <c r="J31" s="115"/>
      <c r="K31" s="114"/>
      <c r="L31" s="115"/>
      <c r="M31" s="114"/>
      <c r="N31" s="115"/>
      <c r="O31" s="114"/>
      <c r="P31" s="115"/>
      <c r="Q31" s="114"/>
      <c r="R31" s="115"/>
      <c r="S31" s="114"/>
      <c r="T31" s="115"/>
      <c r="U31" s="114"/>
      <c r="V31" s="115"/>
      <c r="W31" s="114"/>
      <c r="X31" s="115"/>
      <c r="Y31" s="114"/>
      <c r="Z31" s="115"/>
      <c r="AA31" s="114"/>
      <c r="AB31" s="115"/>
      <c r="AC31" s="114"/>
      <c r="AD31" s="115"/>
      <c r="AE31" s="114"/>
      <c r="AF31" s="115"/>
      <c r="AG31" s="114"/>
      <c r="AH31" s="115">
        <f>AF31+AD31+AB31+Z31+X31+V31+T31+R31+P31+N31+L31+J31</f>
        <v>0</v>
      </c>
      <c r="AI31" s="116">
        <f>IF(AH$50=0,0,AH31/AH$50)</f>
        <v>0</v>
      </c>
      <c r="AJ31" s="117"/>
    </row>
    <row r="32" spans="2:36" s="113" customFormat="1" ht="5.0999999999999996" hidden="1" customHeight="1" outlineLevel="1">
      <c r="B32" s="143" t="s">
        <v>198</v>
      </c>
      <c r="D32" s="112"/>
      <c r="E32" s="112"/>
      <c r="F32" s="112"/>
      <c r="G32" s="112"/>
      <c r="J32" s="148"/>
      <c r="K32" s="146"/>
      <c r="L32" s="148"/>
      <c r="M32" s="146"/>
      <c r="N32" s="148"/>
      <c r="O32" s="146"/>
      <c r="P32" s="148"/>
      <c r="Q32" s="146"/>
      <c r="R32" s="148"/>
      <c r="S32" s="146"/>
      <c r="T32" s="148"/>
      <c r="U32" s="146"/>
      <c r="V32" s="148"/>
      <c r="W32" s="146"/>
      <c r="X32" s="148"/>
      <c r="Y32" s="146"/>
      <c r="Z32" s="148"/>
      <c r="AA32" s="146"/>
      <c r="AB32" s="148"/>
      <c r="AC32" s="146"/>
      <c r="AD32" s="148"/>
      <c r="AE32" s="146"/>
      <c r="AF32" s="148"/>
      <c r="AG32" s="146"/>
      <c r="AH32" s="148"/>
      <c r="AI32" s="142"/>
      <c r="AJ32" s="122"/>
    </row>
    <row r="33" spans="2:36" s="113" customFormat="1" ht="15" hidden="1" collapsed="1">
      <c r="B33" s="106" t="s">
        <v>198</v>
      </c>
      <c r="F33" s="112" t="s">
        <v>217</v>
      </c>
      <c r="J33" s="145">
        <f>SUM(J30:J32)</f>
        <v>0</v>
      </c>
      <c r="K33" s="146"/>
      <c r="L33" s="145">
        <f>SUM(L30:L32)</f>
        <v>0</v>
      </c>
      <c r="M33" s="146"/>
      <c r="N33" s="145">
        <f>SUM(N30:N32)</f>
        <v>0</v>
      </c>
      <c r="O33" s="146"/>
      <c r="P33" s="145">
        <f>SUM(P30:P32)</f>
        <v>0</v>
      </c>
      <c r="Q33" s="146"/>
      <c r="R33" s="145">
        <f>SUM(R30:R32)</f>
        <v>0</v>
      </c>
      <c r="S33" s="146"/>
      <c r="T33" s="145">
        <f>SUM(T30:T32)</f>
        <v>0</v>
      </c>
      <c r="U33" s="146"/>
      <c r="V33" s="145">
        <f>SUM(V30:V32)</f>
        <v>0</v>
      </c>
      <c r="W33" s="146"/>
      <c r="X33" s="145">
        <f>SUM(X30:X32)</f>
        <v>0</v>
      </c>
      <c r="Y33" s="146"/>
      <c r="Z33" s="145">
        <f>SUM(Z30:Z32)</f>
        <v>0</v>
      </c>
      <c r="AA33" s="146"/>
      <c r="AB33" s="145">
        <f>SUM(AB30:AB32)</f>
        <v>0</v>
      </c>
      <c r="AC33" s="146"/>
      <c r="AD33" s="145">
        <f>SUM(AD30:AD32)</f>
        <v>0</v>
      </c>
      <c r="AE33" s="146"/>
      <c r="AF33" s="145">
        <f>SUM(AF30:AF32)</f>
        <v>0</v>
      </c>
      <c r="AG33" s="146"/>
      <c r="AH33" s="145">
        <f>SUM(AH30:AH32)</f>
        <v>0</v>
      </c>
      <c r="AI33" s="116">
        <f>IF(AH$50=0,0,AH33/AH$50)</f>
        <v>0</v>
      </c>
      <c r="AJ33" s="122"/>
    </row>
    <row r="34" spans="2:36" s="113" customFormat="1" ht="10.5" hidden="1" customHeight="1" outlineLevel="1">
      <c r="B34" s="106"/>
      <c r="D34" s="112"/>
      <c r="E34" s="112"/>
      <c r="F34" s="112"/>
      <c r="G34" s="112"/>
      <c r="J34" s="147"/>
      <c r="K34" s="146"/>
      <c r="L34" s="147"/>
      <c r="M34" s="146"/>
      <c r="N34" s="147"/>
      <c r="O34" s="146"/>
      <c r="P34" s="147"/>
      <c r="Q34" s="146"/>
      <c r="R34" s="147"/>
      <c r="S34" s="146"/>
      <c r="T34" s="147"/>
      <c r="U34" s="146"/>
      <c r="V34" s="147"/>
      <c r="W34" s="146"/>
      <c r="X34" s="147"/>
      <c r="Y34" s="146"/>
      <c r="Z34" s="147"/>
      <c r="AA34" s="146"/>
      <c r="AB34" s="147"/>
      <c r="AC34" s="146"/>
      <c r="AD34" s="147"/>
      <c r="AE34" s="146"/>
      <c r="AF34" s="147"/>
      <c r="AG34" s="146"/>
      <c r="AH34" s="147"/>
      <c r="AI34" s="142"/>
      <c r="AJ34" s="122"/>
    </row>
    <row r="35" spans="2:36" s="113" customFormat="1" ht="10.5" hidden="1" customHeight="1" outlineLevel="1">
      <c r="B35" s="106" t="s">
        <v>198</v>
      </c>
      <c r="J35" s="147"/>
      <c r="K35" s="146"/>
      <c r="L35" s="147"/>
      <c r="M35" s="146"/>
      <c r="N35" s="147"/>
      <c r="O35" s="146"/>
      <c r="P35" s="147"/>
      <c r="Q35" s="146"/>
      <c r="R35" s="147"/>
      <c r="S35" s="146"/>
      <c r="T35" s="147"/>
      <c r="U35" s="146"/>
      <c r="V35" s="147"/>
      <c r="W35" s="146"/>
      <c r="X35" s="147"/>
      <c r="Y35" s="146"/>
      <c r="Z35" s="147"/>
      <c r="AA35" s="146"/>
      <c r="AB35" s="147"/>
      <c r="AC35" s="146"/>
      <c r="AD35" s="147"/>
      <c r="AE35" s="146"/>
      <c r="AF35" s="147"/>
      <c r="AG35" s="146"/>
      <c r="AH35" s="147"/>
      <c r="AI35" s="142"/>
      <c r="AJ35" s="122"/>
    </row>
    <row r="36" spans="2:36" hidden="1" outlineLevel="1">
      <c r="B36" s="110" t="s">
        <v>218</v>
      </c>
      <c r="D36" s="111"/>
      <c r="E36" s="111"/>
      <c r="F36" s="112"/>
      <c r="G36" s="108"/>
      <c r="H36" s="113"/>
      <c r="I36" s="114"/>
      <c r="J36" s="115"/>
      <c r="K36" s="114"/>
      <c r="L36" s="115"/>
      <c r="M36" s="114"/>
      <c r="N36" s="115"/>
      <c r="O36" s="114"/>
      <c r="P36" s="115"/>
      <c r="Q36" s="114"/>
      <c r="R36" s="115"/>
      <c r="S36" s="114"/>
      <c r="T36" s="115"/>
      <c r="U36" s="114"/>
      <c r="V36" s="115"/>
      <c r="W36" s="114"/>
      <c r="X36" s="115"/>
      <c r="Y36" s="114"/>
      <c r="Z36" s="115"/>
      <c r="AA36" s="114"/>
      <c r="AB36" s="115"/>
      <c r="AC36" s="114"/>
      <c r="AD36" s="115"/>
      <c r="AE36" s="114"/>
      <c r="AF36" s="115"/>
      <c r="AG36" s="114"/>
      <c r="AH36" s="115">
        <f>AF36+AD36+AB36+Z36+X36+V36+T36+R36+P36+N36+L36+J36</f>
        <v>0</v>
      </c>
      <c r="AI36" s="116">
        <f>IF(AH$50=0,0,AH36/AH$50)</f>
        <v>0</v>
      </c>
      <c r="AJ36" s="117"/>
    </row>
    <row r="37" spans="2:36" s="113" customFormat="1" ht="3.75" hidden="1" customHeight="1" outlineLevel="1">
      <c r="B37" s="143" t="s">
        <v>198</v>
      </c>
      <c r="D37" s="112"/>
      <c r="E37" s="112"/>
      <c r="F37" s="112"/>
      <c r="G37" s="112"/>
      <c r="J37" s="148"/>
      <c r="K37" s="146"/>
      <c r="L37" s="148"/>
      <c r="M37" s="146"/>
      <c r="N37" s="148"/>
      <c r="O37" s="146"/>
      <c r="P37" s="148"/>
      <c r="Q37" s="146"/>
      <c r="R37" s="148"/>
      <c r="S37" s="146"/>
      <c r="T37" s="148"/>
      <c r="U37" s="146"/>
      <c r="V37" s="148"/>
      <c r="W37" s="146"/>
      <c r="X37" s="148"/>
      <c r="Y37" s="146"/>
      <c r="Z37" s="148"/>
      <c r="AA37" s="146"/>
      <c r="AB37" s="148"/>
      <c r="AC37" s="146"/>
      <c r="AD37" s="148"/>
      <c r="AE37" s="146"/>
      <c r="AF37" s="148"/>
      <c r="AG37" s="146"/>
      <c r="AH37" s="148"/>
      <c r="AI37" s="142"/>
      <c r="AJ37" s="122"/>
    </row>
    <row r="38" spans="2:36" s="113" customFormat="1" ht="15" hidden="1" collapsed="1">
      <c r="B38" s="106" t="s">
        <v>198</v>
      </c>
      <c r="F38" s="112" t="s">
        <v>219</v>
      </c>
      <c r="J38" s="145">
        <f>SUM(J35:J37)</f>
        <v>0</v>
      </c>
      <c r="K38" s="146"/>
      <c r="L38" s="145">
        <f>SUM(L35:L37)</f>
        <v>0</v>
      </c>
      <c r="M38" s="146"/>
      <c r="N38" s="145">
        <f>SUM(N35:N37)</f>
        <v>0</v>
      </c>
      <c r="O38" s="146"/>
      <c r="P38" s="145">
        <f>SUM(P35:P37)</f>
        <v>0</v>
      </c>
      <c r="Q38" s="146"/>
      <c r="R38" s="145">
        <f>SUM(R35:R37)</f>
        <v>0</v>
      </c>
      <c r="S38" s="146"/>
      <c r="T38" s="145">
        <f>SUM(T35:T37)</f>
        <v>0</v>
      </c>
      <c r="U38" s="146"/>
      <c r="V38" s="145">
        <f>SUM(V35:V37)</f>
        <v>0</v>
      </c>
      <c r="W38" s="146"/>
      <c r="X38" s="145">
        <f>SUM(X35:X37)</f>
        <v>0</v>
      </c>
      <c r="Y38" s="146"/>
      <c r="Z38" s="145">
        <f>SUM(Z35:Z37)</f>
        <v>0</v>
      </c>
      <c r="AA38" s="146"/>
      <c r="AB38" s="145">
        <f>SUM(AB35:AB37)</f>
        <v>0</v>
      </c>
      <c r="AC38" s="146"/>
      <c r="AD38" s="145">
        <f>SUM(AD35:AD37)</f>
        <v>0</v>
      </c>
      <c r="AE38" s="146"/>
      <c r="AF38" s="145">
        <f>SUM(AF35:AF37)</f>
        <v>0</v>
      </c>
      <c r="AG38" s="146"/>
      <c r="AH38" s="145">
        <f>SUM(AH35:AH37)</f>
        <v>0</v>
      </c>
      <c r="AI38" s="116">
        <f>IF(AH$50=0,0,AH38/AH$50)</f>
        <v>0</v>
      </c>
      <c r="AJ38" s="122"/>
    </row>
    <row r="39" spans="2:36" s="113" customFormat="1" ht="15" hidden="1" outlineLevel="1">
      <c r="B39" s="143" t="s">
        <v>198</v>
      </c>
      <c r="J39" s="147"/>
      <c r="K39" s="146"/>
      <c r="L39" s="147"/>
      <c r="M39" s="146"/>
      <c r="N39" s="147"/>
      <c r="O39" s="146"/>
      <c r="P39" s="147"/>
      <c r="Q39" s="146"/>
      <c r="R39" s="147"/>
      <c r="S39" s="146"/>
      <c r="T39" s="147"/>
      <c r="U39" s="146"/>
      <c r="V39" s="147"/>
      <c r="W39" s="146"/>
      <c r="X39" s="147"/>
      <c r="Y39" s="146"/>
      <c r="Z39" s="147"/>
      <c r="AA39" s="146"/>
      <c r="AB39" s="147"/>
      <c r="AC39" s="146"/>
      <c r="AD39" s="147"/>
      <c r="AE39" s="146"/>
      <c r="AF39" s="147"/>
      <c r="AG39" s="146"/>
      <c r="AH39" s="147"/>
      <c r="AI39" s="142"/>
      <c r="AJ39" s="122"/>
    </row>
    <row r="40" spans="2:36" hidden="1" outlineLevel="1">
      <c r="B40" s="110" t="s">
        <v>220</v>
      </c>
      <c r="D40" s="111"/>
      <c r="E40" s="111"/>
      <c r="F40" s="112"/>
      <c r="G40" s="108"/>
      <c r="H40" s="113"/>
      <c r="I40" s="114"/>
      <c r="J40" s="115"/>
      <c r="K40" s="114"/>
      <c r="L40" s="115"/>
      <c r="M40" s="114"/>
      <c r="N40" s="115"/>
      <c r="O40" s="114"/>
      <c r="P40" s="115"/>
      <c r="Q40" s="114"/>
      <c r="R40" s="115"/>
      <c r="S40" s="114"/>
      <c r="T40" s="115"/>
      <c r="U40" s="114"/>
      <c r="V40" s="115"/>
      <c r="W40" s="114"/>
      <c r="X40" s="115"/>
      <c r="Y40" s="114"/>
      <c r="Z40" s="115"/>
      <c r="AA40" s="114"/>
      <c r="AB40" s="115"/>
      <c r="AC40" s="114"/>
      <c r="AD40" s="115"/>
      <c r="AE40" s="114"/>
      <c r="AF40" s="115"/>
      <c r="AG40" s="114"/>
      <c r="AH40" s="115">
        <f>AF40+AD40+AB40+Z40+X40+V40+T40+R40+P40+N40+L40+J40</f>
        <v>0</v>
      </c>
      <c r="AI40" s="116">
        <f>IF(AH$50=0,0,AH40/AH$50)</f>
        <v>0</v>
      </c>
      <c r="AJ40" s="117"/>
    </row>
    <row r="41" spans="2:36" s="113" customFormat="1" ht="3.75" hidden="1" customHeight="1" outlineLevel="1">
      <c r="B41" s="143" t="s">
        <v>198</v>
      </c>
      <c r="D41" s="112"/>
      <c r="E41" s="112"/>
      <c r="F41" s="112"/>
      <c r="G41" s="112"/>
      <c r="J41" s="148"/>
      <c r="K41" s="146"/>
      <c r="L41" s="148"/>
      <c r="M41" s="146"/>
      <c r="N41" s="148"/>
      <c r="O41" s="146"/>
      <c r="P41" s="148"/>
      <c r="Q41" s="146"/>
      <c r="R41" s="148"/>
      <c r="S41" s="146"/>
      <c r="T41" s="148"/>
      <c r="U41" s="146"/>
      <c r="V41" s="148"/>
      <c r="W41" s="146"/>
      <c r="X41" s="148"/>
      <c r="Y41" s="146"/>
      <c r="Z41" s="148"/>
      <c r="AA41" s="146"/>
      <c r="AB41" s="148"/>
      <c r="AC41" s="146"/>
      <c r="AD41" s="148"/>
      <c r="AE41" s="146"/>
      <c r="AF41" s="148"/>
      <c r="AG41" s="146"/>
      <c r="AH41" s="148"/>
      <c r="AI41" s="142"/>
      <c r="AJ41" s="122"/>
    </row>
    <row r="42" spans="2:36" s="113" customFormat="1" ht="15" hidden="1" collapsed="1">
      <c r="B42" s="143"/>
      <c r="F42" s="112" t="s">
        <v>221</v>
      </c>
      <c r="J42" s="145">
        <f>SUM(J40:J41)</f>
        <v>0</v>
      </c>
      <c r="K42" s="146"/>
      <c r="L42" s="145">
        <f>SUM(L40:L41)</f>
        <v>0</v>
      </c>
      <c r="M42" s="146"/>
      <c r="N42" s="145">
        <f>SUM(N40:N41)</f>
        <v>0</v>
      </c>
      <c r="O42" s="146"/>
      <c r="P42" s="145">
        <f>SUM(P40:P41)</f>
        <v>0</v>
      </c>
      <c r="Q42" s="146"/>
      <c r="R42" s="145">
        <f>SUM(R40:R41)</f>
        <v>0</v>
      </c>
      <c r="S42" s="146"/>
      <c r="T42" s="145">
        <f>SUM(T40:T41)</f>
        <v>0</v>
      </c>
      <c r="U42" s="146"/>
      <c r="V42" s="145">
        <f>SUM(V40:V41)</f>
        <v>0</v>
      </c>
      <c r="W42" s="146"/>
      <c r="X42" s="145">
        <f>SUM(X40:X41)</f>
        <v>0</v>
      </c>
      <c r="Y42" s="146"/>
      <c r="Z42" s="145">
        <f>SUM(Z40:Z41)</f>
        <v>0</v>
      </c>
      <c r="AA42" s="146"/>
      <c r="AB42" s="145">
        <f>SUM(AB40:AB41)</f>
        <v>0</v>
      </c>
      <c r="AC42" s="146"/>
      <c r="AD42" s="145">
        <f>SUM(AD40:AD41)</f>
        <v>0</v>
      </c>
      <c r="AE42" s="146"/>
      <c r="AF42" s="145">
        <f>SUM(AF40:AF41)</f>
        <v>0</v>
      </c>
      <c r="AG42" s="146"/>
      <c r="AH42" s="145">
        <f>SUM(AH40:AH41)</f>
        <v>0</v>
      </c>
      <c r="AI42" s="116">
        <f>IF(AH$50=0,0,AH42/AH$50)</f>
        <v>0</v>
      </c>
      <c r="AJ42" s="122"/>
    </row>
    <row r="43" spans="2:36" s="113" customFormat="1" ht="8.25" customHeight="1" outlineLevel="1">
      <c r="B43" s="143"/>
      <c r="J43" s="147"/>
      <c r="K43" s="146"/>
      <c r="L43" s="147"/>
      <c r="M43" s="146"/>
      <c r="N43" s="147"/>
      <c r="O43" s="146"/>
      <c r="P43" s="147"/>
      <c r="Q43" s="146"/>
      <c r="R43" s="147"/>
      <c r="S43" s="146"/>
      <c r="T43" s="147"/>
      <c r="U43" s="146"/>
      <c r="V43" s="147"/>
      <c r="W43" s="146"/>
      <c r="X43" s="147"/>
      <c r="Y43" s="146"/>
      <c r="Z43" s="147"/>
      <c r="AA43" s="146"/>
      <c r="AB43" s="147"/>
      <c r="AC43" s="146"/>
      <c r="AD43" s="147"/>
      <c r="AE43" s="146"/>
      <c r="AF43" s="147"/>
      <c r="AG43" s="146"/>
      <c r="AH43" s="147"/>
      <c r="AI43" s="142"/>
      <c r="AJ43" s="122"/>
    </row>
    <row r="44" spans="2:36" s="113" customFormat="1" ht="8.25" customHeight="1" outlineLevel="1">
      <c r="B44" s="143" t="s">
        <v>198</v>
      </c>
      <c r="J44" s="147"/>
      <c r="K44" s="146"/>
      <c r="L44" s="147"/>
      <c r="M44" s="146"/>
      <c r="N44" s="147"/>
      <c r="O44" s="146"/>
      <c r="P44" s="147"/>
      <c r="Q44" s="146"/>
      <c r="R44" s="147"/>
      <c r="S44" s="146"/>
      <c r="T44" s="147"/>
      <c r="U44" s="146"/>
      <c r="V44" s="147"/>
      <c r="W44" s="146"/>
      <c r="X44" s="147"/>
      <c r="Y44" s="146"/>
      <c r="Z44" s="147"/>
      <c r="AA44" s="146"/>
      <c r="AB44" s="147"/>
      <c r="AC44" s="146"/>
      <c r="AD44" s="147"/>
      <c r="AE44" s="146"/>
      <c r="AF44" s="147"/>
      <c r="AG44" s="146"/>
      <c r="AH44" s="147"/>
      <c r="AI44" s="142"/>
      <c r="AJ44" s="122"/>
    </row>
    <row r="45" spans="2:36" outlineLevel="1">
      <c r="B45" s="110" t="s">
        <v>222</v>
      </c>
      <c r="D45" s="111">
        <v>38000</v>
      </c>
      <c r="E45" s="111" t="s">
        <v>223</v>
      </c>
      <c r="F45" s="112"/>
      <c r="G45" s="108"/>
      <c r="H45" s="113"/>
      <c r="I45" s="114"/>
      <c r="J45" s="115">
        <v>346.25</v>
      </c>
      <c r="K45" s="114"/>
      <c r="L45" s="115">
        <v>485.62</v>
      </c>
      <c r="M45" s="114"/>
      <c r="N45" s="115">
        <v>539.84</v>
      </c>
      <c r="O45" s="114"/>
      <c r="P45" s="115">
        <v>408.63</v>
      </c>
      <c r="Q45" s="114"/>
      <c r="R45" s="115">
        <v>522.9</v>
      </c>
      <c r="S45" s="114"/>
      <c r="T45" s="115">
        <v>705.38</v>
      </c>
      <c r="U45" s="114"/>
      <c r="V45" s="115">
        <v>593.83000000000004</v>
      </c>
      <c r="W45" s="114"/>
      <c r="X45" s="115">
        <v>574.95000000000005</v>
      </c>
      <c r="Y45" s="114"/>
      <c r="Z45" s="115">
        <v>283.52999999999997</v>
      </c>
      <c r="AA45" s="114"/>
      <c r="AB45" s="115">
        <v>536.26</v>
      </c>
      <c r="AC45" s="114"/>
      <c r="AD45" s="115">
        <v>371.66</v>
      </c>
      <c r="AE45" s="114"/>
      <c r="AF45" s="115">
        <v>374.87</v>
      </c>
      <c r="AG45" s="114"/>
      <c r="AH45" s="115">
        <f t="shared" ref="AH45:AH46" si="2">AF45+AD45+AB45+Z45+X45+V45+T45+R45+P45+N45+L45+J45</f>
        <v>5743.72</v>
      </c>
      <c r="AI45" s="116">
        <f t="shared" ref="AI45:AI46" si="3">IF(AH$50=0,0,AH45/AH$50)</f>
        <v>4.3849059598708717E-3</v>
      </c>
      <c r="AJ45" s="117"/>
    </row>
    <row r="46" spans="2:36" outlineLevel="1">
      <c r="B46" s="110" t="s">
        <v>206</v>
      </c>
      <c r="D46" s="111">
        <v>38001</v>
      </c>
      <c r="E46" s="111" t="s">
        <v>224</v>
      </c>
      <c r="F46" s="112"/>
      <c r="G46" s="108"/>
      <c r="H46" s="113"/>
      <c r="I46" s="114"/>
      <c r="J46" s="115">
        <v>216.09</v>
      </c>
      <c r="K46" s="114"/>
      <c r="L46" s="115">
        <v>84.07</v>
      </c>
      <c r="M46" s="114"/>
      <c r="N46" s="115">
        <v>104.54</v>
      </c>
      <c r="O46" s="114"/>
      <c r="P46" s="115">
        <v>39.79</v>
      </c>
      <c r="Q46" s="114"/>
      <c r="R46" s="115">
        <v>37.42</v>
      </c>
      <c r="S46" s="114"/>
      <c r="T46" s="115">
        <v>132.91999999999999</v>
      </c>
      <c r="U46" s="114"/>
      <c r="V46" s="115">
        <v>85.45</v>
      </c>
      <c r="W46" s="114"/>
      <c r="X46" s="115">
        <v>93.58</v>
      </c>
      <c r="Y46" s="114"/>
      <c r="Z46" s="115">
        <v>91.67</v>
      </c>
      <c r="AA46" s="114"/>
      <c r="AB46" s="115">
        <v>303.52999999999997</v>
      </c>
      <c r="AC46" s="114"/>
      <c r="AD46" s="115">
        <v>93.56</v>
      </c>
      <c r="AE46" s="114"/>
      <c r="AF46" s="115">
        <v>148.11000000000001</v>
      </c>
      <c r="AG46" s="114"/>
      <c r="AH46" s="115">
        <f t="shared" si="2"/>
        <v>1430.7299999999998</v>
      </c>
      <c r="AI46" s="116">
        <f t="shared" si="3"/>
        <v>1.0922566740659452E-3</v>
      </c>
      <c r="AJ46" s="117"/>
    </row>
    <row r="47" spans="2:36" s="113" customFormat="1" ht="4.5" customHeight="1" outlineLevel="1">
      <c r="B47" s="143" t="s">
        <v>198</v>
      </c>
      <c r="D47" s="149"/>
      <c r="J47" s="148"/>
      <c r="K47" s="146"/>
      <c r="L47" s="148"/>
      <c r="M47" s="146"/>
      <c r="N47" s="148"/>
      <c r="O47" s="146"/>
      <c r="P47" s="148"/>
      <c r="Q47" s="146"/>
      <c r="R47" s="148"/>
      <c r="S47" s="146"/>
      <c r="T47" s="148"/>
      <c r="U47" s="146"/>
      <c r="V47" s="148"/>
      <c r="W47" s="146"/>
      <c r="X47" s="148"/>
      <c r="Y47" s="146"/>
      <c r="Z47" s="148"/>
      <c r="AA47" s="146"/>
      <c r="AB47" s="148"/>
      <c r="AC47" s="146"/>
      <c r="AD47" s="148"/>
      <c r="AE47" s="146"/>
      <c r="AF47" s="148"/>
      <c r="AG47" s="146"/>
      <c r="AH47" s="148"/>
      <c r="AI47" s="142"/>
      <c r="AJ47" s="122"/>
    </row>
    <row r="48" spans="2:36" s="113" customFormat="1" ht="15">
      <c r="B48" s="143" t="s">
        <v>198</v>
      </c>
      <c r="F48" s="113" t="s">
        <v>223</v>
      </c>
      <c r="J48" s="145">
        <f>SUM(J44:J47)</f>
        <v>562.34</v>
      </c>
      <c r="K48" s="146"/>
      <c r="L48" s="145">
        <f>SUM(L44:L47)</f>
        <v>569.69000000000005</v>
      </c>
      <c r="M48" s="146"/>
      <c r="N48" s="145">
        <f>SUM(N44:N47)</f>
        <v>644.38</v>
      </c>
      <c r="O48" s="146"/>
      <c r="P48" s="145">
        <f>SUM(P44:P47)</f>
        <v>448.42</v>
      </c>
      <c r="Q48" s="146"/>
      <c r="R48" s="145">
        <f>SUM(R44:R47)</f>
        <v>560.31999999999994</v>
      </c>
      <c r="S48" s="146"/>
      <c r="T48" s="145">
        <f>SUM(T44:T47)</f>
        <v>838.3</v>
      </c>
      <c r="U48" s="146"/>
      <c r="V48" s="145">
        <f>SUM(V44:V47)</f>
        <v>679.28000000000009</v>
      </c>
      <c r="W48" s="146"/>
      <c r="X48" s="145">
        <f>SUM(X44:X47)</f>
        <v>668.53000000000009</v>
      </c>
      <c r="Y48" s="146"/>
      <c r="Z48" s="145">
        <f>SUM(Z44:Z47)</f>
        <v>375.2</v>
      </c>
      <c r="AA48" s="146"/>
      <c r="AB48" s="145">
        <f>SUM(AB44:AB47)</f>
        <v>839.79</v>
      </c>
      <c r="AC48" s="146"/>
      <c r="AD48" s="145">
        <f>SUM(AD44:AD47)</f>
        <v>465.22</v>
      </c>
      <c r="AE48" s="146"/>
      <c r="AF48" s="145">
        <f>SUM(AF44:AF47)</f>
        <v>522.98</v>
      </c>
      <c r="AG48" s="146"/>
      <c r="AH48" s="145">
        <f>SUM(AH44:AH47)</f>
        <v>7174.45</v>
      </c>
      <c r="AI48" s="116">
        <f>IF(AH$50=0,0,AH48/AH$50)</f>
        <v>5.4771626339368161E-3</v>
      </c>
      <c r="AJ48" s="122"/>
    </row>
    <row r="49" spans="2:36" s="113" customFormat="1" ht="7.5" customHeight="1">
      <c r="B49" s="143" t="s">
        <v>198</v>
      </c>
      <c r="J49" s="147"/>
      <c r="K49" s="146"/>
      <c r="L49" s="147"/>
      <c r="M49" s="146"/>
      <c r="N49" s="147"/>
      <c r="O49" s="146"/>
      <c r="P49" s="147"/>
      <c r="Q49" s="146"/>
      <c r="R49" s="147"/>
      <c r="S49" s="146"/>
      <c r="T49" s="147"/>
      <c r="U49" s="146"/>
      <c r="V49" s="147"/>
      <c r="W49" s="146"/>
      <c r="X49" s="147"/>
      <c r="Y49" s="146"/>
      <c r="Z49" s="147"/>
      <c r="AA49" s="146"/>
      <c r="AB49" s="147"/>
      <c r="AC49" s="146"/>
      <c r="AD49" s="147"/>
      <c r="AE49" s="146"/>
      <c r="AF49" s="147"/>
      <c r="AG49" s="146"/>
      <c r="AH49" s="147"/>
      <c r="AI49" s="142"/>
      <c r="AJ49" s="122"/>
    </row>
    <row r="50" spans="2:36" s="113" customFormat="1" ht="15">
      <c r="B50" s="143" t="s">
        <v>198</v>
      </c>
      <c r="E50" s="150" t="s">
        <v>84</v>
      </c>
      <c r="J50" s="151">
        <f>+J28+J33+J38+J48+J24+J42</f>
        <v>86064.92</v>
      </c>
      <c r="K50" s="146"/>
      <c r="L50" s="151">
        <f>+L28+L33+L38+L48+L24+L42</f>
        <v>103945.27</v>
      </c>
      <c r="M50" s="146"/>
      <c r="N50" s="151">
        <f>+N28+N33+N38+N48+N24+N42</f>
        <v>113320.27</v>
      </c>
      <c r="O50" s="146"/>
      <c r="P50" s="151">
        <f>+P28+P33+P38+P48+P24+P42</f>
        <v>103627.69999999998</v>
      </c>
      <c r="Q50" s="146"/>
      <c r="R50" s="151">
        <f>+R28+R33+R38+R48+R24+R42</f>
        <v>117474.76000000001</v>
      </c>
      <c r="S50" s="146"/>
      <c r="T50" s="151">
        <f>+T28+T33+T38+T48+T24+T42</f>
        <v>128801.20999999999</v>
      </c>
      <c r="U50" s="146"/>
      <c r="V50" s="151">
        <f>+V28+V33+V38+V48+V24+V42</f>
        <v>112809.12000000001</v>
      </c>
      <c r="W50" s="146"/>
      <c r="X50" s="151">
        <f>+X28+X33+X38+X48+X24+X42</f>
        <v>108496.62</v>
      </c>
      <c r="Y50" s="146"/>
      <c r="Z50" s="151">
        <f>+Z28+Z33+Z38+Z48+Z24+Z42</f>
        <v>109241.87</v>
      </c>
      <c r="AA50" s="146"/>
      <c r="AB50" s="151">
        <f>+AB28+AB33+AB38+AB48+AB24+AB42</f>
        <v>116642.52</v>
      </c>
      <c r="AC50" s="146"/>
      <c r="AD50" s="151">
        <f>+AD28+AD33+AD38+AD48+AD24+AD42</f>
        <v>104104.03</v>
      </c>
      <c r="AE50" s="146"/>
      <c r="AF50" s="151">
        <f>+AF28+AF33+AF38+AF48+AF24+AF42</f>
        <v>105356.13</v>
      </c>
      <c r="AG50" s="146"/>
      <c r="AH50" s="151">
        <f>+AH28+AH33+AH38+AH48+AH24+AH42</f>
        <v>1309884.4200000002</v>
      </c>
      <c r="AI50" s="116">
        <f>IF(AH$50=0,0,AH50/AH$50)</f>
        <v>1</v>
      </c>
      <c r="AJ50" s="122"/>
    </row>
    <row r="51" spans="2:36" s="113" customFormat="1" ht="7.5" customHeight="1">
      <c r="B51" s="143" t="s">
        <v>198</v>
      </c>
      <c r="J51" s="147"/>
      <c r="K51" s="146"/>
      <c r="L51" s="147"/>
      <c r="M51" s="146"/>
      <c r="N51" s="147"/>
      <c r="O51" s="146"/>
      <c r="P51" s="147"/>
      <c r="Q51" s="146"/>
      <c r="R51" s="147"/>
      <c r="S51" s="146"/>
      <c r="T51" s="147"/>
      <c r="U51" s="146"/>
      <c r="V51" s="147"/>
      <c r="W51" s="146"/>
      <c r="X51" s="147"/>
      <c r="Y51" s="146"/>
      <c r="Z51" s="147"/>
      <c r="AA51" s="146"/>
      <c r="AB51" s="147"/>
      <c r="AC51" s="146"/>
      <c r="AD51" s="147"/>
      <c r="AE51" s="146"/>
      <c r="AF51" s="147"/>
      <c r="AG51" s="146"/>
      <c r="AH51" s="147"/>
      <c r="AI51" s="142"/>
      <c r="AJ51" s="122"/>
    </row>
    <row r="52" spans="2:36" s="113" customFormat="1" ht="9.75" customHeight="1" outlineLevel="1">
      <c r="B52" s="143"/>
      <c r="J52" s="147"/>
      <c r="K52" s="146"/>
      <c r="L52" s="147"/>
      <c r="M52" s="146"/>
      <c r="N52" s="147"/>
      <c r="O52" s="146"/>
      <c r="P52" s="147"/>
      <c r="Q52" s="146"/>
      <c r="R52" s="147"/>
      <c r="S52" s="146"/>
      <c r="T52" s="147"/>
      <c r="U52" s="146"/>
      <c r="V52" s="147"/>
      <c r="W52" s="146"/>
      <c r="X52" s="147"/>
      <c r="Y52" s="146"/>
      <c r="Z52" s="147"/>
      <c r="AA52" s="146"/>
      <c r="AB52" s="147"/>
      <c r="AC52" s="146"/>
      <c r="AD52" s="147"/>
      <c r="AE52" s="146"/>
      <c r="AF52" s="147"/>
      <c r="AG52" s="146"/>
      <c r="AH52" s="147"/>
      <c r="AI52" s="142"/>
      <c r="AJ52" s="122"/>
    </row>
    <row r="53" spans="2:36" outlineLevel="1">
      <c r="B53" s="110" t="s">
        <v>225</v>
      </c>
      <c r="D53" s="111">
        <v>40101</v>
      </c>
      <c r="E53" s="111" t="s">
        <v>75</v>
      </c>
      <c r="F53" s="112"/>
      <c r="G53" s="108"/>
      <c r="H53" s="113"/>
      <c r="I53" s="114"/>
      <c r="J53" s="115">
        <v>17799.7</v>
      </c>
      <c r="K53" s="114"/>
      <c r="L53" s="115">
        <v>22497.18</v>
      </c>
      <c r="M53" s="114"/>
      <c r="N53" s="115">
        <v>29887.15</v>
      </c>
      <c r="O53" s="114"/>
      <c r="P53" s="115">
        <v>40787.65</v>
      </c>
      <c r="Q53" s="114"/>
      <c r="R53" s="115">
        <v>28919.94</v>
      </c>
      <c r="S53" s="114"/>
      <c r="T53" s="115">
        <v>40325.410000000003</v>
      </c>
      <c r="U53" s="114"/>
      <c r="V53" s="115">
        <v>35314.79</v>
      </c>
      <c r="W53" s="114"/>
      <c r="X53" s="115">
        <v>28328.3</v>
      </c>
      <c r="Y53" s="114"/>
      <c r="Z53" s="115">
        <v>30406.87</v>
      </c>
      <c r="AA53" s="114"/>
      <c r="AB53" s="115">
        <v>31034.82</v>
      </c>
      <c r="AC53" s="114"/>
      <c r="AD53" s="115">
        <v>27022.46</v>
      </c>
      <c r="AE53" s="114"/>
      <c r="AF53" s="115">
        <v>20996.46</v>
      </c>
      <c r="AG53" s="114"/>
      <c r="AH53" s="115">
        <f t="shared" ref="AH53:AH54" si="4">AF53+AD53+AB53+Z53+X53+V53+T53+R53+P53+N53+L53+J53</f>
        <v>353320.73000000004</v>
      </c>
      <c r="AI53" s="116">
        <f t="shared" ref="AI53:AI54" si="5">IF(AH$50=0,0,AH53/AH$50)</f>
        <v>0.26973427930381827</v>
      </c>
      <c r="AJ53" s="117"/>
    </row>
    <row r="54" spans="2:36" outlineLevel="1">
      <c r="B54" s="110" t="s">
        <v>206</v>
      </c>
      <c r="D54" s="111">
        <v>40139</v>
      </c>
      <c r="E54" s="111" t="s">
        <v>226</v>
      </c>
      <c r="F54" s="112"/>
      <c r="G54" s="108"/>
      <c r="H54" s="113"/>
      <c r="I54" s="114"/>
      <c r="J54" s="115">
        <v>0</v>
      </c>
      <c r="K54" s="114"/>
      <c r="L54" s="115">
        <v>0</v>
      </c>
      <c r="M54" s="114"/>
      <c r="N54" s="115">
        <v>0</v>
      </c>
      <c r="O54" s="114"/>
      <c r="P54" s="115">
        <v>0</v>
      </c>
      <c r="Q54" s="114"/>
      <c r="R54" s="115">
        <v>0</v>
      </c>
      <c r="S54" s="114"/>
      <c r="T54" s="115">
        <v>0</v>
      </c>
      <c r="U54" s="114"/>
      <c r="V54" s="115">
        <v>0</v>
      </c>
      <c r="W54" s="114"/>
      <c r="X54" s="115">
        <v>0</v>
      </c>
      <c r="Y54" s="114"/>
      <c r="Z54" s="115">
        <v>687.35</v>
      </c>
      <c r="AA54" s="114"/>
      <c r="AB54" s="115">
        <v>0</v>
      </c>
      <c r="AC54" s="114"/>
      <c r="AD54" s="115">
        <v>0</v>
      </c>
      <c r="AE54" s="114"/>
      <c r="AF54" s="115">
        <v>0</v>
      </c>
      <c r="AG54" s="114"/>
      <c r="AH54" s="115">
        <f t="shared" si="4"/>
        <v>687.35</v>
      </c>
      <c r="AI54" s="116">
        <f t="shared" si="5"/>
        <v>5.2474095386217349E-4</v>
      </c>
      <c r="AJ54" s="117"/>
    </row>
    <row r="55" spans="2:36" s="113" customFormat="1" ht="5.0999999999999996" customHeight="1" outlineLevel="1">
      <c r="B55" s="143" t="s">
        <v>198</v>
      </c>
      <c r="D55" s="112"/>
      <c r="E55" s="112"/>
      <c r="F55" s="112"/>
      <c r="G55" s="112"/>
      <c r="J55" s="148"/>
      <c r="K55" s="146"/>
      <c r="L55" s="148"/>
      <c r="M55" s="146"/>
      <c r="N55" s="148"/>
      <c r="O55" s="146"/>
      <c r="P55" s="148"/>
      <c r="Q55" s="146"/>
      <c r="R55" s="148"/>
      <c r="S55" s="146"/>
      <c r="T55" s="148"/>
      <c r="U55" s="146"/>
      <c r="V55" s="148"/>
      <c r="W55" s="146"/>
      <c r="X55" s="148"/>
      <c r="Y55" s="146"/>
      <c r="Z55" s="148"/>
      <c r="AA55" s="146"/>
      <c r="AB55" s="148"/>
      <c r="AC55" s="146"/>
      <c r="AD55" s="148"/>
      <c r="AE55" s="146"/>
      <c r="AF55" s="148"/>
      <c r="AG55" s="146"/>
      <c r="AH55" s="148"/>
      <c r="AI55" s="142"/>
      <c r="AJ55" s="122"/>
    </row>
    <row r="56" spans="2:36" s="113" customFormat="1" ht="15">
      <c r="B56" s="143" t="s">
        <v>198</v>
      </c>
      <c r="F56" s="112" t="s">
        <v>227</v>
      </c>
      <c r="J56" s="145">
        <f>SUM(J52:J55)</f>
        <v>17799.7</v>
      </c>
      <c r="K56" s="146"/>
      <c r="L56" s="145">
        <f>SUM(L52:L55)</f>
        <v>22497.18</v>
      </c>
      <c r="M56" s="146"/>
      <c r="N56" s="145">
        <f>SUM(N52:N55)</f>
        <v>29887.15</v>
      </c>
      <c r="O56" s="146"/>
      <c r="P56" s="145">
        <f>SUM(P52:P55)</f>
        <v>40787.65</v>
      </c>
      <c r="Q56" s="146"/>
      <c r="R56" s="145">
        <f>SUM(R52:R55)</f>
        <v>28919.94</v>
      </c>
      <c r="S56" s="146"/>
      <c r="T56" s="145">
        <f>SUM(T52:T55)</f>
        <v>40325.410000000003</v>
      </c>
      <c r="U56" s="146"/>
      <c r="V56" s="145">
        <f>SUM(V52:V55)</f>
        <v>35314.79</v>
      </c>
      <c r="W56" s="146"/>
      <c r="X56" s="145">
        <f>SUM(X52:X55)</f>
        <v>28328.3</v>
      </c>
      <c r="Y56" s="146"/>
      <c r="Z56" s="145">
        <f>SUM(Z52:Z55)</f>
        <v>31094.219999999998</v>
      </c>
      <c r="AA56" s="146"/>
      <c r="AB56" s="145">
        <f>SUM(AB52:AB55)</f>
        <v>31034.82</v>
      </c>
      <c r="AC56" s="146"/>
      <c r="AD56" s="145">
        <f>SUM(AD52:AD55)</f>
        <v>27022.46</v>
      </c>
      <c r="AE56" s="146"/>
      <c r="AF56" s="145">
        <f>SUM(AF52:AF55)</f>
        <v>20996.46</v>
      </c>
      <c r="AG56" s="146"/>
      <c r="AH56" s="145">
        <f>SUM(AH52:AH55)</f>
        <v>354008.08</v>
      </c>
      <c r="AI56" s="116">
        <f>IF(AH$50=0,0,AH56/AH$50)</f>
        <v>0.27025902025768045</v>
      </c>
      <c r="AJ56" s="122"/>
    </row>
    <row r="57" spans="2:36" s="113" customFormat="1" ht="12" hidden="1" customHeight="1" outlineLevel="1">
      <c r="B57" s="143"/>
      <c r="J57" s="147"/>
      <c r="K57" s="146"/>
      <c r="L57" s="147"/>
      <c r="M57" s="146"/>
      <c r="N57" s="147"/>
      <c r="O57" s="146"/>
      <c r="P57" s="147"/>
      <c r="Q57" s="146"/>
      <c r="R57" s="147"/>
      <c r="S57" s="146"/>
      <c r="T57" s="147"/>
      <c r="U57" s="146"/>
      <c r="V57" s="147"/>
      <c r="W57" s="146"/>
      <c r="X57" s="147"/>
      <c r="Y57" s="146"/>
      <c r="Z57" s="147"/>
      <c r="AA57" s="146"/>
      <c r="AB57" s="147"/>
      <c r="AC57" s="146"/>
      <c r="AD57" s="147"/>
      <c r="AE57" s="146"/>
      <c r="AF57" s="147"/>
      <c r="AG57" s="146"/>
      <c r="AH57" s="147"/>
      <c r="AI57" s="142"/>
      <c r="AJ57" s="122"/>
    </row>
    <row r="58" spans="2:36" ht="4.5" hidden="1" customHeight="1" outlineLevel="1">
      <c r="B58" s="110" t="s">
        <v>228</v>
      </c>
      <c r="D58" s="111"/>
      <c r="E58" s="111"/>
      <c r="F58" s="112"/>
      <c r="G58" s="108"/>
      <c r="H58" s="113"/>
      <c r="I58" s="114"/>
      <c r="J58" s="115"/>
      <c r="K58" s="114"/>
      <c r="L58" s="115"/>
      <c r="M58" s="114"/>
      <c r="N58" s="115"/>
      <c r="O58" s="114"/>
      <c r="P58" s="115"/>
      <c r="Q58" s="114"/>
      <c r="R58" s="115"/>
      <c r="S58" s="114"/>
      <c r="T58" s="115"/>
      <c r="U58" s="114"/>
      <c r="V58" s="115"/>
      <c r="W58" s="114"/>
      <c r="X58" s="115"/>
      <c r="Y58" s="114"/>
      <c r="Z58" s="115"/>
      <c r="AA58" s="114"/>
      <c r="AB58" s="115"/>
      <c r="AC58" s="114"/>
      <c r="AD58" s="115"/>
      <c r="AE58" s="114"/>
      <c r="AF58" s="115"/>
      <c r="AG58" s="114"/>
      <c r="AH58" s="115">
        <f>AF58+AD58+AB58+Z58+X58+V58+T58+R58+P58+N58+L58+J58</f>
        <v>0</v>
      </c>
      <c r="AI58" s="116">
        <f>IF(AH$50=0,0,AH58/AH$50)</f>
        <v>0</v>
      </c>
      <c r="AJ58" s="117"/>
    </row>
    <row r="59" spans="2:36" s="113" customFormat="1" ht="4.5" hidden="1" customHeight="1" outlineLevel="1">
      <c r="B59" s="113" t="s">
        <v>198</v>
      </c>
      <c r="D59" s="149"/>
      <c r="J59" s="148"/>
      <c r="K59" s="146"/>
      <c r="L59" s="148"/>
      <c r="M59" s="146"/>
      <c r="N59" s="148"/>
      <c r="O59" s="146"/>
      <c r="P59" s="148"/>
      <c r="Q59" s="146"/>
      <c r="R59" s="148"/>
      <c r="S59" s="146"/>
      <c r="T59" s="148"/>
      <c r="U59" s="146"/>
      <c r="V59" s="148"/>
      <c r="W59" s="146"/>
      <c r="X59" s="148"/>
      <c r="Y59" s="146"/>
      <c r="Z59" s="148"/>
      <c r="AA59" s="146"/>
      <c r="AB59" s="148"/>
      <c r="AC59" s="146"/>
      <c r="AD59" s="148"/>
      <c r="AE59" s="146"/>
      <c r="AF59" s="148"/>
      <c r="AG59" s="146"/>
      <c r="AH59" s="148"/>
      <c r="AI59" s="142"/>
      <c r="AJ59" s="122"/>
    </row>
    <row r="60" spans="2:36" s="113" customFormat="1" ht="0.75" customHeight="1" collapsed="1">
      <c r="B60" s="143" t="s">
        <v>198</v>
      </c>
      <c r="F60" s="113" t="s">
        <v>229</v>
      </c>
      <c r="J60" s="145">
        <f>SUM(J58:J59)</f>
        <v>0</v>
      </c>
      <c r="K60" s="146"/>
      <c r="L60" s="145">
        <f>SUM(L58:L59)</f>
        <v>0</v>
      </c>
      <c r="M60" s="146"/>
      <c r="N60" s="145">
        <f>SUM(N58:N59)</f>
        <v>0</v>
      </c>
      <c r="O60" s="146"/>
      <c r="P60" s="145">
        <f>SUM(P58:P59)</f>
        <v>0</v>
      </c>
      <c r="Q60" s="146"/>
      <c r="R60" s="145">
        <f>SUM(R58:R59)</f>
        <v>0</v>
      </c>
      <c r="S60" s="146"/>
      <c r="T60" s="145">
        <f>SUM(T58:T59)</f>
        <v>0</v>
      </c>
      <c r="U60" s="146"/>
      <c r="V60" s="145">
        <f>SUM(V58:V59)</f>
        <v>0</v>
      </c>
      <c r="W60" s="146"/>
      <c r="X60" s="145">
        <f>SUM(X58:X59)</f>
        <v>0</v>
      </c>
      <c r="Y60" s="146"/>
      <c r="Z60" s="145">
        <f>SUM(Z58:Z59)</f>
        <v>0</v>
      </c>
      <c r="AA60" s="146"/>
      <c r="AB60" s="145">
        <f>SUM(AB58:AB59)</f>
        <v>0</v>
      </c>
      <c r="AC60" s="146"/>
      <c r="AD60" s="145">
        <f>SUM(AD58:AD59)</f>
        <v>0</v>
      </c>
      <c r="AE60" s="146"/>
      <c r="AF60" s="145">
        <f>SUM(AF58:AF59)</f>
        <v>0</v>
      </c>
      <c r="AG60" s="146"/>
      <c r="AH60" s="145">
        <f>SUM(AH58:AH59)</f>
        <v>0</v>
      </c>
      <c r="AI60" s="116">
        <f>IF(AH$50=0,0,AH60/AH$50)</f>
        <v>0</v>
      </c>
      <c r="AJ60" s="122"/>
    </row>
    <row r="61" spans="2:36" s="113" customFormat="1" ht="6" customHeight="1" outlineLevel="1">
      <c r="B61" s="143"/>
      <c r="J61" s="147"/>
      <c r="K61" s="146"/>
      <c r="L61" s="147"/>
      <c r="M61" s="146"/>
      <c r="N61" s="147"/>
      <c r="O61" s="146"/>
      <c r="P61" s="147"/>
      <c r="Q61" s="146"/>
      <c r="R61" s="147"/>
      <c r="S61" s="146"/>
      <c r="T61" s="147"/>
      <c r="U61" s="146"/>
      <c r="V61" s="147"/>
      <c r="W61" s="146"/>
      <c r="X61" s="147"/>
      <c r="Y61" s="146"/>
      <c r="Z61" s="147"/>
      <c r="AA61" s="146"/>
      <c r="AB61" s="147"/>
      <c r="AC61" s="146"/>
      <c r="AD61" s="147"/>
      <c r="AE61" s="146"/>
      <c r="AF61" s="147"/>
      <c r="AG61" s="146"/>
      <c r="AH61" s="147"/>
      <c r="AI61" s="142"/>
      <c r="AJ61" s="122"/>
    </row>
    <row r="62" spans="2:36" s="113" customFormat="1" ht="6" customHeight="1" outlineLevel="1">
      <c r="B62" s="143" t="s">
        <v>198</v>
      </c>
      <c r="J62" s="147"/>
      <c r="K62" s="146"/>
      <c r="L62" s="147"/>
      <c r="M62" s="146"/>
      <c r="N62" s="147"/>
      <c r="O62" s="146"/>
      <c r="P62" s="147"/>
      <c r="Q62" s="146"/>
      <c r="R62" s="147"/>
      <c r="S62" s="146"/>
      <c r="T62" s="147"/>
      <c r="U62" s="146"/>
      <c r="V62" s="147"/>
      <c r="W62" s="146"/>
      <c r="X62" s="147"/>
      <c r="Y62" s="146"/>
      <c r="Z62" s="147"/>
      <c r="AA62" s="146"/>
      <c r="AB62" s="147"/>
      <c r="AC62" s="146"/>
      <c r="AD62" s="147"/>
      <c r="AE62" s="146"/>
      <c r="AF62" s="147"/>
      <c r="AG62" s="146"/>
      <c r="AH62" s="147"/>
      <c r="AI62" s="142"/>
      <c r="AJ62" s="122"/>
    </row>
    <row r="63" spans="2:36" outlineLevel="1">
      <c r="B63" s="110" t="s">
        <v>230</v>
      </c>
      <c r="D63" s="111">
        <v>41121</v>
      </c>
      <c r="E63" s="111" t="s">
        <v>231</v>
      </c>
      <c r="F63" s="112"/>
      <c r="G63" s="108"/>
      <c r="H63" s="113"/>
      <c r="I63" s="114"/>
      <c r="J63" s="115">
        <v>0</v>
      </c>
      <c r="K63" s="114"/>
      <c r="L63" s="115">
        <v>0</v>
      </c>
      <c r="M63" s="114"/>
      <c r="N63" s="115">
        <v>0</v>
      </c>
      <c r="O63" s="114"/>
      <c r="P63" s="115">
        <v>0</v>
      </c>
      <c r="Q63" s="114"/>
      <c r="R63" s="115">
        <v>0</v>
      </c>
      <c r="S63" s="114"/>
      <c r="T63" s="115">
        <v>0</v>
      </c>
      <c r="U63" s="114"/>
      <c r="V63" s="115">
        <v>0</v>
      </c>
      <c r="W63" s="114"/>
      <c r="X63" s="115">
        <v>0</v>
      </c>
      <c r="Y63" s="114"/>
      <c r="Z63" s="115">
        <v>0</v>
      </c>
      <c r="AA63" s="114"/>
      <c r="AB63" s="115">
        <v>0</v>
      </c>
      <c r="AC63" s="114"/>
      <c r="AD63" s="115">
        <v>0</v>
      </c>
      <c r="AE63" s="114"/>
      <c r="AF63" s="115">
        <v>323.52</v>
      </c>
      <c r="AG63" s="114"/>
      <c r="AH63" s="115">
        <f t="shared" ref="AH63:AH65" si="6">AF63+AD63+AB63+Z63+X63+V63+T63+R63+P63+N63+L63+J63</f>
        <v>323.52</v>
      </c>
      <c r="AI63" s="116">
        <f t="shared" ref="AI63:AI65" si="7">IF(AH$50=0,0,AH63/AH$50)</f>
        <v>2.4698362318104365E-4</v>
      </c>
      <c r="AJ63" s="117"/>
    </row>
    <row r="64" spans="2:36" outlineLevel="1">
      <c r="B64" s="110" t="s">
        <v>206</v>
      </c>
      <c r="D64" s="111">
        <v>43001</v>
      </c>
      <c r="E64" s="111" t="s">
        <v>232</v>
      </c>
      <c r="F64" s="112"/>
      <c r="G64" s="108"/>
      <c r="H64" s="113"/>
      <c r="I64" s="114"/>
      <c r="J64" s="115">
        <v>1282.54</v>
      </c>
      <c r="K64" s="114"/>
      <c r="L64" s="115">
        <v>1550.63</v>
      </c>
      <c r="M64" s="114"/>
      <c r="N64" s="115">
        <v>0</v>
      </c>
      <c r="O64" s="114"/>
      <c r="P64" s="115">
        <v>3100</v>
      </c>
      <c r="Q64" s="114"/>
      <c r="R64" s="115">
        <v>3100</v>
      </c>
      <c r="S64" s="114"/>
      <c r="T64" s="115">
        <v>3100</v>
      </c>
      <c r="U64" s="114"/>
      <c r="V64" s="115">
        <v>2700</v>
      </c>
      <c r="W64" s="114"/>
      <c r="X64" s="115">
        <v>114.4</v>
      </c>
      <c r="Y64" s="114"/>
      <c r="Z64" s="115">
        <v>1582.76</v>
      </c>
      <c r="AA64" s="114"/>
      <c r="AB64" s="115">
        <v>1697.96</v>
      </c>
      <c r="AC64" s="114"/>
      <c r="AD64" s="115">
        <v>1636.72</v>
      </c>
      <c r="AE64" s="114"/>
      <c r="AF64" s="115">
        <v>1644.07</v>
      </c>
      <c r="AG64" s="114"/>
      <c r="AH64" s="115">
        <f t="shared" si="6"/>
        <v>21509.08</v>
      </c>
      <c r="AI64" s="116">
        <f t="shared" si="7"/>
        <v>1.6420593810864626E-2</v>
      </c>
      <c r="AJ64" s="117"/>
    </row>
    <row r="65" spans="2:36" outlineLevel="1">
      <c r="B65" s="110" t="s">
        <v>206</v>
      </c>
      <c r="D65" s="111">
        <v>43002</v>
      </c>
      <c r="E65" s="111" t="s">
        <v>233</v>
      </c>
      <c r="F65" s="112"/>
      <c r="G65" s="108"/>
      <c r="H65" s="113"/>
      <c r="I65" s="114"/>
      <c r="J65" s="115">
        <v>367.93</v>
      </c>
      <c r="K65" s="114"/>
      <c r="L65" s="115">
        <v>444.37</v>
      </c>
      <c r="M65" s="114"/>
      <c r="N65" s="115">
        <v>0</v>
      </c>
      <c r="O65" s="114"/>
      <c r="P65" s="115">
        <v>900</v>
      </c>
      <c r="Q65" s="114"/>
      <c r="R65" s="115">
        <v>900</v>
      </c>
      <c r="S65" s="114"/>
      <c r="T65" s="115">
        <v>900</v>
      </c>
      <c r="U65" s="114"/>
      <c r="V65" s="115">
        <v>530</v>
      </c>
      <c r="W65" s="114"/>
      <c r="X65" s="115">
        <v>530</v>
      </c>
      <c r="Y65" s="114"/>
      <c r="Z65" s="115">
        <v>530</v>
      </c>
      <c r="AA65" s="114"/>
      <c r="AB65" s="115">
        <v>530</v>
      </c>
      <c r="AC65" s="114"/>
      <c r="AD65" s="115">
        <v>530</v>
      </c>
      <c r="AE65" s="114"/>
      <c r="AF65" s="115">
        <v>530</v>
      </c>
      <c r="AG65" s="114"/>
      <c r="AH65" s="115">
        <f t="shared" si="6"/>
        <v>6692.3</v>
      </c>
      <c r="AI65" s="116">
        <f t="shared" si="7"/>
        <v>5.1090767229676638E-3</v>
      </c>
      <c r="AJ65" s="117"/>
    </row>
    <row r="66" spans="2:36" s="113" customFormat="1" ht="5.0999999999999996" customHeight="1" outlineLevel="1">
      <c r="B66" s="106" t="s">
        <v>198</v>
      </c>
      <c r="D66" s="112"/>
      <c r="E66" s="112"/>
      <c r="F66" s="112"/>
      <c r="G66" s="112"/>
      <c r="J66" s="148"/>
      <c r="K66" s="146"/>
      <c r="L66" s="148"/>
      <c r="M66" s="146"/>
      <c r="N66" s="148"/>
      <c r="O66" s="146"/>
      <c r="P66" s="148"/>
      <c r="Q66" s="146"/>
      <c r="R66" s="148"/>
      <c r="S66" s="146"/>
      <c r="T66" s="148"/>
      <c r="U66" s="146"/>
      <c r="V66" s="148"/>
      <c r="W66" s="146"/>
      <c r="X66" s="148"/>
      <c r="Y66" s="146"/>
      <c r="Z66" s="148"/>
      <c r="AA66" s="146"/>
      <c r="AB66" s="148"/>
      <c r="AC66" s="146"/>
      <c r="AD66" s="148"/>
      <c r="AE66" s="146"/>
      <c r="AF66" s="148"/>
      <c r="AG66" s="146"/>
      <c r="AH66" s="148"/>
      <c r="AI66" s="142"/>
      <c r="AJ66" s="122"/>
    </row>
    <row r="67" spans="2:36" s="113" customFormat="1" ht="15">
      <c r="B67" s="143" t="s">
        <v>198</v>
      </c>
      <c r="F67" s="112" t="s">
        <v>234</v>
      </c>
      <c r="G67" s="152"/>
      <c r="H67" s="152"/>
      <c r="I67" s="152"/>
      <c r="J67" s="145">
        <f>SUM(J62:J66)</f>
        <v>1650.47</v>
      </c>
      <c r="K67" s="146"/>
      <c r="L67" s="145">
        <f>SUM(L62:L66)</f>
        <v>1995</v>
      </c>
      <c r="M67" s="146"/>
      <c r="N67" s="145">
        <f>SUM(N62:N66)</f>
        <v>0</v>
      </c>
      <c r="O67" s="146"/>
      <c r="P67" s="145">
        <f>SUM(P62:P66)</f>
        <v>4000</v>
      </c>
      <c r="Q67" s="146"/>
      <c r="R67" s="145">
        <f>SUM(R62:R66)</f>
        <v>4000</v>
      </c>
      <c r="S67" s="146"/>
      <c r="T67" s="145">
        <f>SUM(T62:T66)</f>
        <v>4000</v>
      </c>
      <c r="U67" s="146"/>
      <c r="V67" s="145">
        <f>SUM(V62:V66)</f>
        <v>3230</v>
      </c>
      <c r="W67" s="146"/>
      <c r="X67" s="145">
        <f>SUM(X62:X66)</f>
        <v>644.4</v>
      </c>
      <c r="Y67" s="146"/>
      <c r="Z67" s="145">
        <f>SUM(Z62:Z66)</f>
        <v>2112.7600000000002</v>
      </c>
      <c r="AA67" s="146"/>
      <c r="AB67" s="145">
        <f>SUM(AB62:AB66)</f>
        <v>2227.96</v>
      </c>
      <c r="AC67" s="146"/>
      <c r="AD67" s="145">
        <f>SUM(AD62:AD66)</f>
        <v>2166.7200000000003</v>
      </c>
      <c r="AE67" s="146"/>
      <c r="AF67" s="145">
        <f>SUM(AF62:AF66)</f>
        <v>2497.59</v>
      </c>
      <c r="AG67" s="146"/>
      <c r="AH67" s="145">
        <f>SUM(AH62:AH66)</f>
        <v>28524.9</v>
      </c>
      <c r="AI67" s="116">
        <f>IF(AH$50=0,0,AH67/AH$50)</f>
        <v>2.1776654157013332E-2</v>
      </c>
      <c r="AJ67" s="122"/>
    </row>
    <row r="68" spans="2:36" s="113" customFormat="1" ht="9" hidden="1" customHeight="1" outlineLevel="1">
      <c r="B68" s="143"/>
      <c r="J68" s="147"/>
      <c r="K68" s="146"/>
      <c r="L68" s="147"/>
      <c r="M68" s="146"/>
      <c r="N68" s="147"/>
      <c r="O68" s="146"/>
      <c r="P68" s="147"/>
      <c r="Q68" s="146"/>
      <c r="R68" s="147"/>
      <c r="S68" s="146"/>
      <c r="T68" s="147"/>
      <c r="U68" s="146"/>
      <c r="V68" s="147"/>
      <c r="W68" s="146"/>
      <c r="X68" s="147"/>
      <c r="Y68" s="146"/>
      <c r="Z68" s="147"/>
      <c r="AA68" s="146"/>
      <c r="AB68" s="147"/>
      <c r="AC68" s="146"/>
      <c r="AD68" s="147"/>
      <c r="AE68" s="146"/>
      <c r="AF68" s="147"/>
      <c r="AG68" s="146"/>
      <c r="AH68" s="147"/>
      <c r="AI68" s="142"/>
      <c r="AJ68" s="122"/>
    </row>
    <row r="69" spans="2:36" s="113" customFormat="1" ht="6" hidden="1" customHeight="1" outlineLevel="1">
      <c r="B69" s="143" t="s">
        <v>198</v>
      </c>
      <c r="J69" s="147"/>
      <c r="K69" s="146"/>
      <c r="L69" s="147"/>
      <c r="M69" s="146"/>
      <c r="N69" s="147"/>
      <c r="O69" s="146"/>
      <c r="P69" s="147"/>
      <c r="Q69" s="146"/>
      <c r="R69" s="147"/>
      <c r="S69" s="146"/>
      <c r="T69" s="147"/>
      <c r="U69" s="146"/>
      <c r="V69" s="147"/>
      <c r="W69" s="146"/>
      <c r="X69" s="147"/>
      <c r="Y69" s="146"/>
      <c r="Z69" s="147"/>
      <c r="AA69" s="146"/>
      <c r="AB69" s="147"/>
      <c r="AC69" s="146"/>
      <c r="AD69" s="147"/>
      <c r="AE69" s="146"/>
      <c r="AF69" s="147"/>
      <c r="AG69" s="146"/>
      <c r="AH69" s="147"/>
      <c r="AI69" s="142"/>
      <c r="AJ69" s="122"/>
    </row>
    <row r="70" spans="2:36" ht="6" hidden="1" customHeight="1" outlineLevel="1">
      <c r="B70" s="110" t="s">
        <v>235</v>
      </c>
      <c r="D70" s="111"/>
      <c r="E70" s="111"/>
      <c r="F70" s="112"/>
      <c r="G70" s="108"/>
      <c r="H70" s="113"/>
      <c r="I70" s="114"/>
      <c r="J70" s="115"/>
      <c r="K70" s="114"/>
      <c r="L70" s="115"/>
      <c r="M70" s="114"/>
      <c r="N70" s="115"/>
      <c r="O70" s="114"/>
      <c r="P70" s="115"/>
      <c r="Q70" s="114"/>
      <c r="R70" s="115"/>
      <c r="S70" s="114"/>
      <c r="T70" s="115"/>
      <c r="U70" s="114"/>
      <c r="V70" s="115"/>
      <c r="W70" s="114"/>
      <c r="X70" s="115"/>
      <c r="Y70" s="114"/>
      <c r="Z70" s="115"/>
      <c r="AA70" s="114"/>
      <c r="AB70" s="115"/>
      <c r="AC70" s="114"/>
      <c r="AD70" s="115"/>
      <c r="AE70" s="114"/>
      <c r="AF70" s="115"/>
      <c r="AG70" s="114"/>
      <c r="AH70" s="115">
        <f>AF70+AD70+AB70+Z70+X70+V70+T70+R70+P70+N70+L70+J70</f>
        <v>0</v>
      </c>
      <c r="AI70" s="116">
        <f>IF(AH$50=0,0,AH70/AH$50)</f>
        <v>0</v>
      </c>
      <c r="AJ70" s="117"/>
    </row>
    <row r="71" spans="2:36" s="113" customFormat="1" ht="5.0999999999999996" hidden="1" customHeight="1" outlineLevel="1">
      <c r="B71" s="106" t="s">
        <v>198</v>
      </c>
      <c r="D71" s="112"/>
      <c r="E71" s="112"/>
      <c r="F71" s="112"/>
      <c r="G71" s="112"/>
      <c r="J71" s="148"/>
      <c r="K71" s="146"/>
      <c r="L71" s="148"/>
      <c r="M71" s="146"/>
      <c r="N71" s="148"/>
      <c r="O71" s="146"/>
      <c r="P71" s="148"/>
      <c r="Q71" s="146"/>
      <c r="R71" s="148"/>
      <c r="S71" s="146"/>
      <c r="T71" s="148"/>
      <c r="U71" s="146"/>
      <c r="V71" s="148"/>
      <c r="W71" s="146"/>
      <c r="X71" s="148"/>
      <c r="Y71" s="146"/>
      <c r="Z71" s="148"/>
      <c r="AA71" s="146"/>
      <c r="AB71" s="148"/>
      <c r="AC71" s="146"/>
      <c r="AD71" s="148"/>
      <c r="AE71" s="146"/>
      <c r="AF71" s="148"/>
      <c r="AG71" s="146"/>
      <c r="AH71" s="148"/>
      <c r="AI71" s="142"/>
      <c r="AJ71" s="122"/>
    </row>
    <row r="72" spans="2:36" s="113" customFormat="1" ht="15" hidden="1" collapsed="1">
      <c r="B72" s="106" t="s">
        <v>198</v>
      </c>
      <c r="F72" s="112" t="s">
        <v>236</v>
      </c>
      <c r="G72" s="152"/>
      <c r="H72" s="152"/>
      <c r="I72" s="152"/>
      <c r="J72" s="145">
        <f>SUM(J69:J71)</f>
        <v>0</v>
      </c>
      <c r="K72" s="146"/>
      <c r="L72" s="145">
        <f>SUM(L69:L71)</f>
        <v>0</v>
      </c>
      <c r="M72" s="146"/>
      <c r="N72" s="145">
        <f>SUM(N69:N71)</f>
        <v>0</v>
      </c>
      <c r="O72" s="146"/>
      <c r="P72" s="145">
        <f>SUM(P69:P71)</f>
        <v>0</v>
      </c>
      <c r="Q72" s="146"/>
      <c r="R72" s="145">
        <f>SUM(R69:R71)</f>
        <v>0</v>
      </c>
      <c r="S72" s="146"/>
      <c r="T72" s="145">
        <f>SUM(T69:T71)</f>
        <v>0</v>
      </c>
      <c r="U72" s="146"/>
      <c r="V72" s="145">
        <f>SUM(V69:V71)</f>
        <v>0</v>
      </c>
      <c r="W72" s="146"/>
      <c r="X72" s="145">
        <f>SUM(X69:X71)</f>
        <v>0</v>
      </c>
      <c r="Y72" s="146"/>
      <c r="Z72" s="145">
        <f>SUM(Z69:Z71)</f>
        <v>0</v>
      </c>
      <c r="AA72" s="146"/>
      <c r="AB72" s="145">
        <f>SUM(AB69:AB71)</f>
        <v>0</v>
      </c>
      <c r="AC72" s="146"/>
      <c r="AD72" s="145">
        <f>SUM(AD69:AD71)</f>
        <v>0</v>
      </c>
      <c r="AE72" s="146"/>
      <c r="AF72" s="145">
        <f>SUM(AF69:AF71)</f>
        <v>0</v>
      </c>
      <c r="AG72" s="146"/>
      <c r="AH72" s="145">
        <f>SUM(AH69:AH71)</f>
        <v>0</v>
      </c>
      <c r="AI72" s="116">
        <f>IF(AH$50=0,0,AH72/AH$50)</f>
        <v>0</v>
      </c>
      <c r="AJ72" s="122"/>
    </row>
    <row r="73" spans="2:36" s="113" customFormat="1" ht="6" hidden="1" customHeight="1" outlineLevel="1">
      <c r="B73" s="143" t="s">
        <v>198</v>
      </c>
      <c r="J73" s="147"/>
      <c r="K73" s="146"/>
      <c r="L73" s="147"/>
      <c r="M73" s="146"/>
      <c r="N73" s="147"/>
      <c r="O73" s="146"/>
      <c r="P73" s="147"/>
      <c r="Q73" s="146"/>
      <c r="R73" s="147"/>
      <c r="S73" s="146"/>
      <c r="T73" s="147"/>
      <c r="U73" s="146"/>
      <c r="V73" s="147"/>
      <c r="W73" s="146"/>
      <c r="X73" s="147"/>
      <c r="Y73" s="146"/>
      <c r="Z73" s="147"/>
      <c r="AA73" s="146"/>
      <c r="AB73" s="147"/>
      <c r="AC73" s="146"/>
      <c r="AD73" s="147"/>
      <c r="AE73" s="146"/>
      <c r="AF73" s="147"/>
      <c r="AG73" s="146"/>
      <c r="AH73" s="147"/>
      <c r="AI73" s="142"/>
      <c r="AJ73" s="122"/>
    </row>
    <row r="74" spans="2:36" ht="6" hidden="1" customHeight="1" outlineLevel="1">
      <c r="B74" s="110" t="s">
        <v>237</v>
      </c>
      <c r="D74" s="111"/>
      <c r="E74" s="111"/>
      <c r="F74" s="112"/>
      <c r="G74" s="108"/>
      <c r="H74" s="113"/>
      <c r="I74" s="114"/>
      <c r="J74" s="115"/>
      <c r="K74" s="114"/>
      <c r="L74" s="115"/>
      <c r="M74" s="114"/>
      <c r="N74" s="115"/>
      <c r="O74" s="114"/>
      <c r="P74" s="115"/>
      <c r="Q74" s="114"/>
      <c r="R74" s="115"/>
      <c r="S74" s="114"/>
      <c r="T74" s="115"/>
      <c r="U74" s="114"/>
      <c r="V74" s="115"/>
      <c r="W74" s="114"/>
      <c r="X74" s="115"/>
      <c r="Y74" s="114"/>
      <c r="Z74" s="115"/>
      <c r="AA74" s="114"/>
      <c r="AB74" s="115"/>
      <c r="AC74" s="114"/>
      <c r="AD74" s="115"/>
      <c r="AE74" s="114"/>
      <c r="AF74" s="115"/>
      <c r="AG74" s="114"/>
      <c r="AH74" s="115">
        <f>AF74+AD74+AB74+Z74+X74+V74+T74+R74+P74+N74+L74+J74</f>
        <v>0</v>
      </c>
      <c r="AI74" s="116">
        <f>IF(AH$50=0,0,AH74/AH$50)</f>
        <v>0</v>
      </c>
      <c r="AJ74" s="117"/>
    </row>
    <row r="75" spans="2:36" s="113" customFormat="1" ht="4.5" hidden="1" customHeight="1" outlineLevel="1">
      <c r="B75" s="113" t="s">
        <v>198</v>
      </c>
      <c r="D75" s="149"/>
      <c r="J75" s="148"/>
      <c r="K75" s="146"/>
      <c r="L75" s="148"/>
      <c r="M75" s="146"/>
      <c r="N75" s="148"/>
      <c r="O75" s="146"/>
      <c r="P75" s="148"/>
      <c r="Q75" s="146"/>
      <c r="R75" s="148"/>
      <c r="S75" s="146"/>
      <c r="T75" s="148"/>
      <c r="U75" s="146"/>
      <c r="V75" s="148"/>
      <c r="W75" s="146"/>
      <c r="X75" s="148"/>
      <c r="Y75" s="146"/>
      <c r="Z75" s="148"/>
      <c r="AA75" s="146"/>
      <c r="AB75" s="148"/>
      <c r="AC75" s="146"/>
      <c r="AD75" s="148"/>
      <c r="AE75" s="146"/>
      <c r="AF75" s="148"/>
      <c r="AG75" s="146"/>
      <c r="AH75" s="148"/>
      <c r="AI75" s="142"/>
      <c r="AJ75" s="122"/>
    </row>
    <row r="76" spans="2:36" s="113" customFormat="1" ht="15" hidden="1" collapsed="1">
      <c r="B76" s="143" t="s">
        <v>198</v>
      </c>
      <c r="F76" s="113" t="s">
        <v>238</v>
      </c>
      <c r="J76" s="145">
        <f>SUM(J74:J75)</f>
        <v>0</v>
      </c>
      <c r="K76" s="146"/>
      <c r="L76" s="145">
        <f>SUM(L74:L75)</f>
        <v>0</v>
      </c>
      <c r="M76" s="146"/>
      <c r="N76" s="145">
        <f>SUM(N74:N75)</f>
        <v>0</v>
      </c>
      <c r="O76" s="146"/>
      <c r="P76" s="145">
        <f>SUM(P74:P75)</f>
        <v>0</v>
      </c>
      <c r="Q76" s="146"/>
      <c r="R76" s="145">
        <f>SUM(R74:R75)</f>
        <v>0</v>
      </c>
      <c r="S76" s="146"/>
      <c r="T76" s="145">
        <f>SUM(T74:T75)</f>
        <v>0</v>
      </c>
      <c r="U76" s="146"/>
      <c r="V76" s="145">
        <f>SUM(V74:V75)</f>
        <v>0</v>
      </c>
      <c r="W76" s="146"/>
      <c r="X76" s="145">
        <f>SUM(X74:X75)</f>
        <v>0</v>
      </c>
      <c r="Y76" s="146"/>
      <c r="Z76" s="145">
        <f>SUM(Z74:Z75)</f>
        <v>0</v>
      </c>
      <c r="AA76" s="146"/>
      <c r="AB76" s="145">
        <f>SUM(AB74:AB75)</f>
        <v>0</v>
      </c>
      <c r="AC76" s="146"/>
      <c r="AD76" s="145">
        <f>SUM(AD74:AD75)</f>
        <v>0</v>
      </c>
      <c r="AE76" s="146"/>
      <c r="AF76" s="145">
        <f>SUM(AF74:AF75)</f>
        <v>0</v>
      </c>
      <c r="AG76" s="146"/>
      <c r="AH76" s="145">
        <f>SUM(AH74:AH75)</f>
        <v>0</v>
      </c>
      <c r="AI76" s="116">
        <f>IF(AH$50=0,0,AH76/AH$50)</f>
        <v>0</v>
      </c>
      <c r="AJ76" s="122"/>
    </row>
    <row r="77" spans="2:36" s="113" customFormat="1" ht="7.5" customHeight="1">
      <c r="B77" s="106" t="s">
        <v>198</v>
      </c>
      <c r="J77" s="147"/>
      <c r="K77" s="146"/>
      <c r="L77" s="147"/>
      <c r="M77" s="146"/>
      <c r="N77" s="147"/>
      <c r="O77" s="146"/>
      <c r="P77" s="147"/>
      <c r="Q77" s="146"/>
      <c r="R77" s="147"/>
      <c r="S77" s="146"/>
      <c r="T77" s="147"/>
      <c r="U77" s="146"/>
      <c r="V77" s="147"/>
      <c r="W77" s="146"/>
      <c r="X77" s="147"/>
      <c r="Y77" s="146"/>
      <c r="Z77" s="147"/>
      <c r="AA77" s="146"/>
      <c r="AB77" s="147"/>
      <c r="AC77" s="146"/>
      <c r="AD77" s="147"/>
      <c r="AE77" s="146"/>
      <c r="AF77" s="147"/>
      <c r="AG77" s="146"/>
      <c r="AH77" s="147"/>
      <c r="AI77" s="142"/>
      <c r="AJ77" s="122"/>
    </row>
    <row r="78" spans="2:36" s="113" customFormat="1" ht="15">
      <c r="B78" s="106" t="s">
        <v>198</v>
      </c>
      <c r="E78" s="150" t="s">
        <v>239</v>
      </c>
      <c r="J78" s="151">
        <f>+J56+J67+J72+J60+J76</f>
        <v>19450.170000000002</v>
      </c>
      <c r="K78" s="146"/>
      <c r="L78" s="151">
        <f>+L56+L67+L72+L60+L76</f>
        <v>24492.18</v>
      </c>
      <c r="M78" s="146"/>
      <c r="N78" s="151">
        <f>+N56+N67+N72+N60+N76</f>
        <v>29887.15</v>
      </c>
      <c r="O78" s="146"/>
      <c r="P78" s="151">
        <f>+P56+P67+P72+P60+P76</f>
        <v>44787.65</v>
      </c>
      <c r="Q78" s="146"/>
      <c r="R78" s="151">
        <f>+R56+R67+R72+R60+R76</f>
        <v>32919.94</v>
      </c>
      <c r="S78" s="146"/>
      <c r="T78" s="151">
        <f>+T56+T67+T72+T60+T76</f>
        <v>44325.41</v>
      </c>
      <c r="U78" s="146"/>
      <c r="V78" s="151">
        <f>+V56+V67+V72+V60+V76</f>
        <v>38544.79</v>
      </c>
      <c r="W78" s="146"/>
      <c r="X78" s="151">
        <f>+X56+X67+X72+X60+X76</f>
        <v>28972.7</v>
      </c>
      <c r="Y78" s="146"/>
      <c r="Z78" s="151">
        <f>+Z56+Z67+Z72+Z60+Z76</f>
        <v>33206.979999999996</v>
      </c>
      <c r="AA78" s="146"/>
      <c r="AB78" s="151">
        <f>+AB56+AB67+AB72+AB60+AB76</f>
        <v>33262.78</v>
      </c>
      <c r="AC78" s="146"/>
      <c r="AD78" s="151">
        <f>+AD56+AD67+AD72+AD60+AD76</f>
        <v>29189.18</v>
      </c>
      <c r="AE78" s="146"/>
      <c r="AF78" s="151">
        <f>+AF56+AF67+AF72+AF60+AF76</f>
        <v>23494.05</v>
      </c>
      <c r="AG78" s="146"/>
      <c r="AH78" s="151">
        <f>+AH56+AH67+AH72+AH60+AH76</f>
        <v>382532.98000000004</v>
      </c>
      <c r="AI78" s="116">
        <f>IF(AH$50=0,0,AH78/AH$50)</f>
        <v>0.29203567441469375</v>
      </c>
      <c r="AJ78" s="122"/>
    </row>
    <row r="79" spans="2:36" s="113" customFormat="1" ht="7.5" customHeight="1">
      <c r="B79" s="106" t="s">
        <v>198</v>
      </c>
      <c r="J79" s="147"/>
      <c r="K79" s="146"/>
      <c r="L79" s="147"/>
      <c r="M79" s="146"/>
      <c r="N79" s="147"/>
      <c r="O79" s="146"/>
      <c r="P79" s="147"/>
      <c r="Q79" s="146"/>
      <c r="R79" s="147"/>
      <c r="S79" s="146"/>
      <c r="T79" s="147"/>
      <c r="U79" s="146"/>
      <c r="V79" s="147"/>
      <c r="W79" s="146"/>
      <c r="X79" s="147"/>
      <c r="Y79" s="146"/>
      <c r="Z79" s="147"/>
      <c r="AA79" s="146"/>
      <c r="AB79" s="147"/>
      <c r="AC79" s="146"/>
      <c r="AD79" s="147"/>
      <c r="AE79" s="146"/>
      <c r="AF79" s="147"/>
      <c r="AG79" s="146"/>
      <c r="AH79" s="147"/>
      <c r="AI79" s="142"/>
      <c r="AJ79" s="122"/>
    </row>
    <row r="80" spans="2:36" s="113" customFormat="1" ht="15">
      <c r="B80" s="106" t="s">
        <v>198</v>
      </c>
      <c r="E80" s="153" t="s">
        <v>240</v>
      </c>
      <c r="J80" s="151">
        <f>J50-J78</f>
        <v>66614.75</v>
      </c>
      <c r="K80" s="146"/>
      <c r="L80" s="151">
        <f>L50-L78</f>
        <v>79453.09</v>
      </c>
      <c r="M80" s="146"/>
      <c r="N80" s="151">
        <f>N50-N78</f>
        <v>83433.119999999995</v>
      </c>
      <c r="O80" s="146"/>
      <c r="P80" s="151">
        <f>P50-P78</f>
        <v>58840.049999999981</v>
      </c>
      <c r="Q80" s="146"/>
      <c r="R80" s="151">
        <f>R50-R78</f>
        <v>84554.82</v>
      </c>
      <c r="S80" s="146"/>
      <c r="T80" s="151">
        <f>T50-T78</f>
        <v>84475.799999999988</v>
      </c>
      <c r="U80" s="146"/>
      <c r="V80" s="151">
        <f>V50-V78</f>
        <v>74264.330000000016</v>
      </c>
      <c r="W80" s="146"/>
      <c r="X80" s="151">
        <f>X50-X78</f>
        <v>79523.92</v>
      </c>
      <c r="Y80" s="146"/>
      <c r="Z80" s="151">
        <f>Z50-Z78</f>
        <v>76034.89</v>
      </c>
      <c r="AA80" s="146"/>
      <c r="AB80" s="151">
        <f>AB50-AB78</f>
        <v>83379.740000000005</v>
      </c>
      <c r="AC80" s="146"/>
      <c r="AD80" s="151">
        <f>AD50-AD78</f>
        <v>74914.850000000006</v>
      </c>
      <c r="AE80" s="146"/>
      <c r="AF80" s="151">
        <f>AF50-AF78</f>
        <v>81862.080000000002</v>
      </c>
      <c r="AG80" s="146"/>
      <c r="AH80" s="151">
        <f>AH50-AH78</f>
        <v>927351.44000000018</v>
      </c>
      <c r="AI80" s="116">
        <f>IF(AH$50=0,0,AH80/AH$50)</f>
        <v>0.70796432558530631</v>
      </c>
      <c r="AJ80" s="122"/>
    </row>
    <row r="81" spans="2:36" s="113" customFormat="1" ht="7.5" customHeight="1">
      <c r="B81" s="106" t="s">
        <v>198</v>
      </c>
      <c r="J81" s="147"/>
      <c r="K81" s="146"/>
      <c r="L81" s="147"/>
      <c r="M81" s="146"/>
      <c r="N81" s="147"/>
      <c r="O81" s="146"/>
      <c r="P81" s="147"/>
      <c r="Q81" s="146"/>
      <c r="R81" s="147"/>
      <c r="S81" s="146"/>
      <c r="T81" s="147"/>
      <c r="U81" s="146"/>
      <c r="V81" s="147"/>
      <c r="W81" s="146"/>
      <c r="X81" s="147"/>
      <c r="Y81" s="146"/>
      <c r="Z81" s="147"/>
      <c r="AA81" s="146"/>
      <c r="AB81" s="147"/>
      <c r="AC81" s="146"/>
      <c r="AD81" s="147"/>
      <c r="AE81" s="146"/>
      <c r="AF81" s="147"/>
      <c r="AG81" s="146"/>
      <c r="AH81" s="147"/>
      <c r="AI81" s="142"/>
      <c r="AJ81" s="122"/>
    </row>
    <row r="82" spans="2:36" s="113" customFormat="1" ht="8.25" customHeight="1" outlineLevel="1">
      <c r="B82" s="106"/>
      <c r="J82" s="147"/>
      <c r="K82" s="146"/>
      <c r="L82" s="147"/>
      <c r="M82" s="146"/>
      <c r="N82" s="147"/>
      <c r="O82" s="146"/>
      <c r="P82" s="147"/>
      <c r="Q82" s="146"/>
      <c r="R82" s="147"/>
      <c r="S82" s="146"/>
      <c r="T82" s="147"/>
      <c r="U82" s="146"/>
      <c r="V82" s="147"/>
      <c r="W82" s="146"/>
      <c r="X82" s="147"/>
      <c r="Y82" s="146"/>
      <c r="Z82" s="147"/>
      <c r="AA82" s="146"/>
      <c r="AB82" s="147"/>
      <c r="AC82" s="146"/>
      <c r="AD82" s="147"/>
      <c r="AE82" s="146"/>
      <c r="AF82" s="147"/>
      <c r="AG82" s="146"/>
      <c r="AH82" s="147"/>
      <c r="AI82" s="142"/>
      <c r="AJ82" s="122"/>
    </row>
    <row r="83" spans="2:36" outlineLevel="1">
      <c r="B83" s="110" t="s">
        <v>241</v>
      </c>
      <c r="D83" s="111">
        <v>50020</v>
      </c>
      <c r="E83" s="111" t="s">
        <v>34</v>
      </c>
      <c r="F83" s="112"/>
      <c r="G83" s="108"/>
      <c r="H83" s="113"/>
      <c r="I83" s="114"/>
      <c r="J83" s="115">
        <v>8966.14</v>
      </c>
      <c r="K83" s="114"/>
      <c r="L83" s="115">
        <v>6548.46</v>
      </c>
      <c r="M83" s="114"/>
      <c r="N83" s="115">
        <v>6593.81</v>
      </c>
      <c r="O83" s="114"/>
      <c r="P83" s="115">
        <v>5376.4</v>
      </c>
      <c r="Q83" s="114"/>
      <c r="R83" s="115">
        <v>7808.09</v>
      </c>
      <c r="S83" s="114"/>
      <c r="T83" s="115">
        <v>10114.08</v>
      </c>
      <c r="U83" s="114"/>
      <c r="V83" s="115">
        <v>9278.9500000000007</v>
      </c>
      <c r="W83" s="114"/>
      <c r="X83" s="115">
        <v>7235.15</v>
      </c>
      <c r="Y83" s="114"/>
      <c r="Z83" s="115">
        <v>8602.16</v>
      </c>
      <c r="AA83" s="114"/>
      <c r="AB83" s="115">
        <v>10475.34</v>
      </c>
      <c r="AC83" s="114"/>
      <c r="AD83" s="115">
        <v>10097.15</v>
      </c>
      <c r="AE83" s="114"/>
      <c r="AF83" s="115">
        <v>10392.530000000001</v>
      </c>
      <c r="AG83" s="114"/>
      <c r="AH83" s="115">
        <f t="shared" ref="AH83:AH92" si="8">AF83+AD83+AB83+Z83+X83+V83+T83+R83+P83+N83+L83+J83</f>
        <v>101488.26</v>
      </c>
      <c r="AI83" s="116">
        <f t="shared" ref="AI83:AI92" si="9">IF(AH$50=0,0,AH83/AH$50)</f>
        <v>7.7478790075234255E-2</v>
      </c>
      <c r="AJ83" s="117"/>
    </row>
    <row r="84" spans="2:36" outlineLevel="1">
      <c r="B84" s="110" t="s">
        <v>206</v>
      </c>
      <c r="D84" s="111">
        <v>50025</v>
      </c>
      <c r="E84" s="111" t="s">
        <v>35</v>
      </c>
      <c r="F84" s="112"/>
      <c r="G84" s="108"/>
      <c r="H84" s="113"/>
      <c r="I84" s="114"/>
      <c r="J84" s="115">
        <v>922.13</v>
      </c>
      <c r="K84" s="114"/>
      <c r="L84" s="115">
        <v>3348.84</v>
      </c>
      <c r="M84" s="114"/>
      <c r="N84" s="115">
        <v>1778.07</v>
      </c>
      <c r="O84" s="114"/>
      <c r="P84" s="115">
        <v>2748.04</v>
      </c>
      <c r="Q84" s="114"/>
      <c r="R84" s="115">
        <v>1947.8</v>
      </c>
      <c r="S84" s="114"/>
      <c r="T84" s="115">
        <v>2328.9499999999998</v>
      </c>
      <c r="U84" s="114"/>
      <c r="V84" s="115">
        <v>3879.22</v>
      </c>
      <c r="W84" s="114"/>
      <c r="X84" s="115">
        <v>2718.71</v>
      </c>
      <c r="Y84" s="114"/>
      <c r="Z84" s="115">
        <v>2691.57</v>
      </c>
      <c r="AA84" s="114"/>
      <c r="AB84" s="115">
        <v>3490.79</v>
      </c>
      <c r="AC84" s="114"/>
      <c r="AD84" s="115">
        <v>2363.0700000000002</v>
      </c>
      <c r="AE84" s="114"/>
      <c r="AF84" s="115">
        <v>1280.05</v>
      </c>
      <c r="AG84" s="114"/>
      <c r="AH84" s="115">
        <f t="shared" si="8"/>
        <v>29497.24</v>
      </c>
      <c r="AI84" s="116">
        <f t="shared" si="9"/>
        <v>2.2518963925076685E-2</v>
      </c>
      <c r="AJ84" s="117"/>
    </row>
    <row r="85" spans="2:36" outlineLevel="1">
      <c r="B85" s="110" t="s">
        <v>206</v>
      </c>
      <c r="D85" s="111">
        <v>50035</v>
      </c>
      <c r="E85" s="111" t="s">
        <v>36</v>
      </c>
      <c r="F85" s="112"/>
      <c r="G85" s="108"/>
      <c r="H85" s="113"/>
      <c r="I85" s="114"/>
      <c r="J85" s="115">
        <v>241.88</v>
      </c>
      <c r="K85" s="114"/>
      <c r="L85" s="115">
        <v>-206.1</v>
      </c>
      <c r="M85" s="114"/>
      <c r="N85" s="115">
        <v>-423.44</v>
      </c>
      <c r="O85" s="114"/>
      <c r="P85" s="115">
        <v>403.91</v>
      </c>
      <c r="Q85" s="114"/>
      <c r="R85" s="115">
        <v>75</v>
      </c>
      <c r="S85" s="114"/>
      <c r="T85" s="115">
        <v>75</v>
      </c>
      <c r="U85" s="114"/>
      <c r="V85" s="115">
        <v>75</v>
      </c>
      <c r="W85" s="114"/>
      <c r="X85" s="115">
        <v>100</v>
      </c>
      <c r="Y85" s="114"/>
      <c r="Z85" s="115">
        <v>100</v>
      </c>
      <c r="AA85" s="114"/>
      <c r="AB85" s="115">
        <v>-925</v>
      </c>
      <c r="AC85" s="114"/>
      <c r="AD85" s="115">
        <v>239.01</v>
      </c>
      <c r="AE85" s="114"/>
      <c r="AF85" s="115">
        <v>8.24</v>
      </c>
      <c r="AG85" s="114"/>
      <c r="AH85" s="115">
        <f t="shared" si="8"/>
        <v>-236.5</v>
      </c>
      <c r="AI85" s="116">
        <f t="shared" si="9"/>
        <v>-1.8055028091715144E-4</v>
      </c>
      <c r="AJ85" s="117"/>
    </row>
    <row r="86" spans="2:36" outlineLevel="1">
      <c r="B86" s="110" t="s">
        <v>206</v>
      </c>
      <c r="D86" s="111">
        <v>50036</v>
      </c>
      <c r="E86" s="111" t="s">
        <v>37</v>
      </c>
      <c r="F86" s="112"/>
      <c r="G86" s="108"/>
      <c r="H86" s="113"/>
      <c r="I86" s="114"/>
      <c r="J86" s="115">
        <v>0</v>
      </c>
      <c r="K86" s="114"/>
      <c r="L86" s="115">
        <v>1000</v>
      </c>
      <c r="M86" s="114"/>
      <c r="N86" s="115">
        <v>0</v>
      </c>
      <c r="O86" s="114"/>
      <c r="P86" s="115">
        <v>1096.96</v>
      </c>
      <c r="Q86" s="114"/>
      <c r="R86" s="115">
        <v>0</v>
      </c>
      <c r="S86" s="114"/>
      <c r="T86" s="115">
        <v>0</v>
      </c>
      <c r="U86" s="114"/>
      <c r="V86" s="115">
        <v>610.11</v>
      </c>
      <c r="W86" s="114"/>
      <c r="X86" s="115">
        <v>121.78</v>
      </c>
      <c r="Y86" s="114"/>
      <c r="Z86" s="115">
        <v>115.58</v>
      </c>
      <c r="AA86" s="114"/>
      <c r="AB86" s="115">
        <v>356.26</v>
      </c>
      <c r="AC86" s="114"/>
      <c r="AD86" s="115">
        <v>129.11000000000001</v>
      </c>
      <c r="AE86" s="114"/>
      <c r="AF86" s="115">
        <v>127.46</v>
      </c>
      <c r="AG86" s="114"/>
      <c r="AH86" s="115">
        <f t="shared" si="8"/>
        <v>3557.26</v>
      </c>
      <c r="AI86" s="116">
        <f t="shared" si="9"/>
        <v>2.7157052528344445E-3</v>
      </c>
      <c r="AJ86" s="117"/>
    </row>
    <row r="87" spans="2:36" outlineLevel="1">
      <c r="B87" s="110" t="s">
        <v>206</v>
      </c>
      <c r="D87" s="111">
        <v>50045</v>
      </c>
      <c r="E87" s="111" t="s">
        <v>48</v>
      </c>
      <c r="F87" s="112"/>
      <c r="G87" s="108"/>
      <c r="H87" s="113"/>
      <c r="I87" s="114"/>
      <c r="J87" s="115">
        <v>0</v>
      </c>
      <c r="K87" s="114"/>
      <c r="L87" s="115">
        <v>944.78</v>
      </c>
      <c r="M87" s="114"/>
      <c r="N87" s="115">
        <v>0</v>
      </c>
      <c r="O87" s="114"/>
      <c r="P87" s="115">
        <v>0</v>
      </c>
      <c r="Q87" s="114"/>
      <c r="R87" s="115">
        <v>0</v>
      </c>
      <c r="S87" s="114"/>
      <c r="T87" s="115">
        <v>0</v>
      </c>
      <c r="U87" s="114"/>
      <c r="V87" s="115">
        <v>0</v>
      </c>
      <c r="W87" s="114"/>
      <c r="X87" s="115">
        <v>0</v>
      </c>
      <c r="Y87" s="114"/>
      <c r="Z87" s="115">
        <v>0</v>
      </c>
      <c r="AA87" s="114"/>
      <c r="AB87" s="115">
        <v>0</v>
      </c>
      <c r="AC87" s="114"/>
      <c r="AD87" s="115">
        <v>0</v>
      </c>
      <c r="AE87" s="114"/>
      <c r="AF87" s="115">
        <v>0</v>
      </c>
      <c r="AG87" s="114"/>
      <c r="AH87" s="115">
        <f t="shared" si="8"/>
        <v>944.78</v>
      </c>
      <c r="AI87" s="116">
        <f t="shared" si="9"/>
        <v>7.2126974378395909E-4</v>
      </c>
      <c r="AJ87" s="117"/>
    </row>
    <row r="88" spans="2:36" outlineLevel="1">
      <c r="B88" s="110" t="s">
        <v>206</v>
      </c>
      <c r="D88" s="111">
        <v>50050</v>
      </c>
      <c r="E88" s="111" t="s">
        <v>171</v>
      </c>
      <c r="F88" s="112"/>
      <c r="G88" s="108"/>
      <c r="H88" s="113"/>
      <c r="I88" s="114"/>
      <c r="J88" s="115">
        <v>965.94</v>
      </c>
      <c r="K88" s="114"/>
      <c r="L88" s="115">
        <v>938.74</v>
      </c>
      <c r="M88" s="114"/>
      <c r="N88" s="115">
        <v>691.85</v>
      </c>
      <c r="O88" s="114"/>
      <c r="P88" s="115">
        <v>843.53</v>
      </c>
      <c r="Q88" s="114"/>
      <c r="R88" s="115">
        <v>806.27</v>
      </c>
      <c r="S88" s="114"/>
      <c r="T88" s="115">
        <v>1040.5899999999999</v>
      </c>
      <c r="U88" s="114"/>
      <c r="V88" s="115">
        <v>1156.8499999999999</v>
      </c>
      <c r="W88" s="114"/>
      <c r="X88" s="115">
        <v>827.16</v>
      </c>
      <c r="Y88" s="114"/>
      <c r="Z88" s="115">
        <v>938.67</v>
      </c>
      <c r="AA88" s="114"/>
      <c r="AB88" s="115">
        <v>1044.18</v>
      </c>
      <c r="AC88" s="114"/>
      <c r="AD88" s="115">
        <v>959.1</v>
      </c>
      <c r="AE88" s="114"/>
      <c r="AF88" s="115">
        <v>995.94</v>
      </c>
      <c r="AG88" s="114"/>
      <c r="AH88" s="115">
        <f t="shared" si="8"/>
        <v>11208.820000000002</v>
      </c>
      <c r="AI88" s="116">
        <f t="shared" si="9"/>
        <v>8.5571061300202342E-3</v>
      </c>
      <c r="AJ88" s="117"/>
    </row>
    <row r="89" spans="2:36" outlineLevel="1">
      <c r="B89" s="110" t="s">
        <v>206</v>
      </c>
      <c r="D89" s="111">
        <v>50060</v>
      </c>
      <c r="E89" s="111" t="s">
        <v>124</v>
      </c>
      <c r="F89" s="112"/>
      <c r="G89" s="108"/>
      <c r="H89" s="113"/>
      <c r="I89" s="114"/>
      <c r="J89" s="115">
        <v>1747.08</v>
      </c>
      <c r="K89" s="114"/>
      <c r="L89" s="115">
        <v>2747.08</v>
      </c>
      <c r="M89" s="114"/>
      <c r="N89" s="115">
        <v>1747.08</v>
      </c>
      <c r="O89" s="114"/>
      <c r="P89" s="115">
        <v>1756.92</v>
      </c>
      <c r="Q89" s="114"/>
      <c r="R89" s="115">
        <v>1461.84</v>
      </c>
      <c r="S89" s="114"/>
      <c r="T89" s="115">
        <v>2609.5</v>
      </c>
      <c r="U89" s="114"/>
      <c r="V89" s="115">
        <v>2626.34</v>
      </c>
      <c r="W89" s="114"/>
      <c r="X89" s="115">
        <v>2595.2600000000002</v>
      </c>
      <c r="Y89" s="114"/>
      <c r="Z89" s="115">
        <v>1591.38</v>
      </c>
      <c r="AA89" s="114"/>
      <c r="AB89" s="115">
        <v>2200.8000000000002</v>
      </c>
      <c r="AC89" s="114"/>
      <c r="AD89" s="115">
        <v>2465.08</v>
      </c>
      <c r="AE89" s="114"/>
      <c r="AF89" s="115">
        <v>2465.96</v>
      </c>
      <c r="AG89" s="114"/>
      <c r="AH89" s="115">
        <f t="shared" si="8"/>
        <v>26014.320000000007</v>
      </c>
      <c r="AI89" s="116">
        <f t="shared" si="9"/>
        <v>1.9860011771114891E-2</v>
      </c>
      <c r="AJ89" s="117"/>
    </row>
    <row r="90" spans="2:36" outlineLevel="1">
      <c r="B90" s="110" t="s">
        <v>206</v>
      </c>
      <c r="D90" s="111">
        <v>50065</v>
      </c>
      <c r="E90" s="111" t="s">
        <v>31</v>
      </c>
      <c r="F90" s="112"/>
      <c r="G90" s="108"/>
      <c r="H90" s="113"/>
      <c r="I90" s="114"/>
      <c r="J90" s="115">
        <v>794.38</v>
      </c>
      <c r="K90" s="114"/>
      <c r="L90" s="115">
        <v>258.82</v>
      </c>
      <c r="M90" s="114"/>
      <c r="N90" s="115">
        <v>-909</v>
      </c>
      <c r="O90" s="114"/>
      <c r="P90" s="115">
        <v>1105.43</v>
      </c>
      <c r="Q90" s="114"/>
      <c r="R90" s="115">
        <v>225.99</v>
      </c>
      <c r="S90" s="114"/>
      <c r="T90" s="115">
        <v>378.9</v>
      </c>
      <c r="U90" s="114"/>
      <c r="V90" s="115">
        <v>651.29999999999995</v>
      </c>
      <c r="W90" s="114"/>
      <c r="X90" s="115">
        <v>-679.52</v>
      </c>
      <c r="Y90" s="114"/>
      <c r="Z90" s="115">
        <v>1220.83</v>
      </c>
      <c r="AA90" s="114"/>
      <c r="AB90" s="115">
        <v>329.97</v>
      </c>
      <c r="AC90" s="114"/>
      <c r="AD90" s="115">
        <v>304.36</v>
      </c>
      <c r="AE90" s="114"/>
      <c r="AF90" s="115">
        <v>-487.61</v>
      </c>
      <c r="AG90" s="114"/>
      <c r="AH90" s="115">
        <f t="shared" si="8"/>
        <v>3193.8500000000004</v>
      </c>
      <c r="AI90" s="116">
        <f t="shared" si="9"/>
        <v>2.4382685611299966E-3</v>
      </c>
      <c r="AJ90" s="117"/>
    </row>
    <row r="91" spans="2:36" outlineLevel="1">
      <c r="B91" s="110" t="s">
        <v>206</v>
      </c>
      <c r="D91" s="111">
        <v>50086</v>
      </c>
      <c r="E91" s="111" t="s">
        <v>242</v>
      </c>
      <c r="F91" s="112"/>
      <c r="G91" s="108"/>
      <c r="H91" s="113"/>
      <c r="I91" s="114"/>
      <c r="J91" s="115">
        <v>14.2</v>
      </c>
      <c r="K91" s="114"/>
      <c r="L91" s="115">
        <v>728.26</v>
      </c>
      <c r="M91" s="114"/>
      <c r="N91" s="115">
        <v>30.38</v>
      </c>
      <c r="O91" s="114"/>
      <c r="P91" s="115">
        <v>17.75</v>
      </c>
      <c r="Q91" s="114"/>
      <c r="R91" s="115">
        <v>195.75</v>
      </c>
      <c r="S91" s="114"/>
      <c r="T91" s="115">
        <v>470.73</v>
      </c>
      <c r="U91" s="114"/>
      <c r="V91" s="115">
        <v>32.75</v>
      </c>
      <c r="W91" s="114"/>
      <c r="X91" s="115">
        <v>0</v>
      </c>
      <c r="Y91" s="114"/>
      <c r="Z91" s="115">
        <v>142.69999999999999</v>
      </c>
      <c r="AA91" s="114"/>
      <c r="AB91" s="115">
        <v>72.75</v>
      </c>
      <c r="AC91" s="114"/>
      <c r="AD91" s="115">
        <v>72.75</v>
      </c>
      <c r="AE91" s="114"/>
      <c r="AF91" s="115">
        <v>29.75</v>
      </c>
      <c r="AG91" s="114"/>
      <c r="AH91" s="115">
        <f t="shared" si="8"/>
        <v>1807.7700000000002</v>
      </c>
      <c r="AI91" s="116">
        <f t="shared" si="9"/>
        <v>1.3800988639898473E-3</v>
      </c>
      <c r="AJ91" s="117"/>
    </row>
    <row r="92" spans="2:36" outlineLevel="1">
      <c r="B92" s="110" t="s">
        <v>206</v>
      </c>
      <c r="D92" s="111">
        <v>50090</v>
      </c>
      <c r="E92" s="111" t="s">
        <v>49</v>
      </c>
      <c r="F92" s="112"/>
      <c r="G92" s="108"/>
      <c r="H92" s="113"/>
      <c r="I92" s="114"/>
      <c r="J92" s="115">
        <v>188</v>
      </c>
      <c r="K92" s="114"/>
      <c r="L92" s="115">
        <v>85.33</v>
      </c>
      <c r="M92" s="114"/>
      <c r="N92" s="115">
        <v>367.37</v>
      </c>
      <c r="O92" s="114"/>
      <c r="P92" s="115">
        <v>60.12</v>
      </c>
      <c r="Q92" s="114"/>
      <c r="R92" s="115">
        <v>220.68</v>
      </c>
      <c r="S92" s="114"/>
      <c r="T92" s="115">
        <v>218.57</v>
      </c>
      <c r="U92" s="114"/>
      <c r="V92" s="115">
        <v>193.22</v>
      </c>
      <c r="W92" s="114"/>
      <c r="X92" s="115">
        <v>148.63999999999999</v>
      </c>
      <c r="Y92" s="114"/>
      <c r="Z92" s="115">
        <v>86</v>
      </c>
      <c r="AA92" s="114"/>
      <c r="AB92" s="115">
        <v>351.43</v>
      </c>
      <c r="AC92" s="114"/>
      <c r="AD92" s="115">
        <v>1013.8</v>
      </c>
      <c r="AE92" s="114"/>
      <c r="AF92" s="115">
        <v>108.08</v>
      </c>
      <c r="AG92" s="114"/>
      <c r="AH92" s="115">
        <f t="shared" si="8"/>
        <v>3041.2399999999993</v>
      </c>
      <c r="AI92" s="116">
        <f t="shared" si="9"/>
        <v>2.3217620986743233E-3</v>
      </c>
      <c r="AJ92" s="117"/>
    </row>
    <row r="93" spans="2:36" s="113" customFormat="1" ht="5.0999999999999996" customHeight="1" outlineLevel="1">
      <c r="B93" s="143" t="s">
        <v>198</v>
      </c>
      <c r="D93" s="112"/>
      <c r="E93" s="112"/>
      <c r="F93" s="112"/>
      <c r="G93" s="112"/>
      <c r="J93" s="148"/>
      <c r="K93" s="146"/>
      <c r="L93" s="148"/>
      <c r="M93" s="146"/>
      <c r="N93" s="148"/>
      <c r="O93" s="146"/>
      <c r="P93" s="148"/>
      <c r="Q93" s="146"/>
      <c r="R93" s="148"/>
      <c r="S93" s="146"/>
      <c r="T93" s="148"/>
      <c r="U93" s="146"/>
      <c r="V93" s="148"/>
      <c r="W93" s="146"/>
      <c r="X93" s="148"/>
      <c r="Y93" s="146"/>
      <c r="Z93" s="148"/>
      <c r="AA93" s="146"/>
      <c r="AB93" s="148"/>
      <c r="AC93" s="146"/>
      <c r="AD93" s="148"/>
      <c r="AE93" s="146"/>
      <c r="AF93" s="148"/>
      <c r="AG93" s="146"/>
      <c r="AH93" s="148"/>
      <c r="AI93" s="142"/>
      <c r="AJ93" s="122"/>
    </row>
    <row r="94" spans="2:36" s="113" customFormat="1" ht="15">
      <c r="B94" s="143" t="s">
        <v>198</v>
      </c>
      <c r="F94" s="112" t="s">
        <v>243</v>
      </c>
      <c r="J94" s="145">
        <f>SUM(J82:J93)</f>
        <v>13839.749999999998</v>
      </c>
      <c r="K94" s="146"/>
      <c r="L94" s="145">
        <f>SUM(L82:L93)</f>
        <v>16394.21</v>
      </c>
      <c r="M94" s="146"/>
      <c r="N94" s="145">
        <f>SUM(N82:N93)</f>
        <v>9876.1200000000008</v>
      </c>
      <c r="O94" s="146"/>
      <c r="P94" s="145">
        <f>SUM(P82:P93)</f>
        <v>13409.060000000003</v>
      </c>
      <c r="Q94" s="146"/>
      <c r="R94" s="145">
        <f>SUM(R82:R93)</f>
        <v>12741.42</v>
      </c>
      <c r="S94" s="146"/>
      <c r="T94" s="145">
        <f>SUM(T82:T93)</f>
        <v>17236.32</v>
      </c>
      <c r="U94" s="146"/>
      <c r="V94" s="145">
        <f>SUM(V82:V93)</f>
        <v>18503.740000000002</v>
      </c>
      <c r="W94" s="146"/>
      <c r="X94" s="145">
        <f>SUM(X82:X93)</f>
        <v>13067.18</v>
      </c>
      <c r="Y94" s="146"/>
      <c r="Z94" s="145">
        <f>SUM(Z82:Z93)</f>
        <v>15488.890000000001</v>
      </c>
      <c r="AA94" s="146"/>
      <c r="AB94" s="145">
        <f>SUM(AB82:AB93)</f>
        <v>17396.520000000004</v>
      </c>
      <c r="AC94" s="146"/>
      <c r="AD94" s="145">
        <f>SUM(AD82:AD93)</f>
        <v>17643.43</v>
      </c>
      <c r="AE94" s="146"/>
      <c r="AF94" s="145">
        <f>SUM(AF82:AF93)</f>
        <v>14920.4</v>
      </c>
      <c r="AG94" s="146"/>
      <c r="AH94" s="145">
        <f>SUM(AH82:AH93)</f>
        <v>180517.04</v>
      </c>
      <c r="AI94" s="116">
        <f>IF(AH$50=0,0,AH94/AH$50)</f>
        <v>0.1378114261409415</v>
      </c>
      <c r="AJ94" s="122"/>
    </row>
    <row r="95" spans="2:36" s="113" customFormat="1" ht="15" outlineLevel="1">
      <c r="J95" s="147"/>
      <c r="K95" s="146"/>
      <c r="L95" s="147"/>
      <c r="M95" s="146"/>
      <c r="N95" s="147"/>
      <c r="O95" s="146"/>
      <c r="P95" s="147"/>
      <c r="Q95" s="146"/>
      <c r="R95" s="147"/>
      <c r="S95" s="146"/>
      <c r="T95" s="147"/>
      <c r="U95" s="146"/>
      <c r="V95" s="147"/>
      <c r="W95" s="146"/>
      <c r="X95" s="147"/>
      <c r="Y95" s="146"/>
      <c r="Z95" s="147"/>
      <c r="AA95" s="146"/>
      <c r="AB95" s="147"/>
      <c r="AC95" s="146"/>
      <c r="AD95" s="147"/>
      <c r="AE95" s="146"/>
      <c r="AF95" s="147"/>
      <c r="AG95" s="146"/>
      <c r="AH95" s="147"/>
      <c r="AI95" s="142"/>
      <c r="AJ95" s="122"/>
    </row>
    <row r="96" spans="2:36" outlineLevel="1">
      <c r="B96" s="110" t="s">
        <v>244</v>
      </c>
      <c r="D96" s="111">
        <v>51295</v>
      </c>
      <c r="E96" s="111" t="s">
        <v>169</v>
      </c>
      <c r="F96" s="112"/>
      <c r="G96" s="108"/>
      <c r="H96" s="113"/>
      <c r="I96" s="114"/>
      <c r="J96" s="115">
        <v>317.43</v>
      </c>
      <c r="K96" s="114"/>
      <c r="L96" s="115">
        <v>317.43</v>
      </c>
      <c r="M96" s="114"/>
      <c r="N96" s="115">
        <v>317.43</v>
      </c>
      <c r="O96" s="114"/>
      <c r="P96" s="115">
        <v>451.49</v>
      </c>
      <c r="Q96" s="114"/>
      <c r="R96" s="115">
        <v>219.47</v>
      </c>
      <c r="S96" s="114"/>
      <c r="T96" s="115">
        <v>701.49</v>
      </c>
      <c r="U96" s="114"/>
      <c r="V96" s="115">
        <v>619.04999999999995</v>
      </c>
      <c r="W96" s="114"/>
      <c r="X96" s="115">
        <v>619.55999999999995</v>
      </c>
      <c r="Y96" s="114"/>
      <c r="Z96" s="115">
        <v>417.98</v>
      </c>
      <c r="AA96" s="114"/>
      <c r="AB96" s="115">
        <v>417.98</v>
      </c>
      <c r="AC96" s="114"/>
      <c r="AD96" s="115">
        <v>417.98</v>
      </c>
      <c r="AE96" s="114"/>
      <c r="AF96" s="115">
        <v>417.98</v>
      </c>
      <c r="AG96" s="114"/>
      <c r="AH96" s="115">
        <f>AF96+AD96+AB96+Z96+X96+V96+T96+R96+P96+N96+L96+J96</f>
        <v>5235.2700000000004</v>
      </c>
      <c r="AI96" s="116">
        <f>IF(AH$50=0,0,AH96/AH$50)</f>
        <v>3.9967419415523698E-3</v>
      </c>
      <c r="AJ96" s="117"/>
    </row>
    <row r="97" spans="2:36" s="113" customFormat="1" ht="5.0999999999999996" customHeight="1" outlineLevel="1">
      <c r="B97" s="106" t="s">
        <v>198</v>
      </c>
      <c r="D97" s="112"/>
      <c r="E97" s="112"/>
      <c r="F97" s="112"/>
      <c r="G97" s="112"/>
      <c r="J97" s="148"/>
      <c r="K97" s="146"/>
      <c r="L97" s="148"/>
      <c r="M97" s="146"/>
      <c r="N97" s="148"/>
      <c r="O97" s="146"/>
      <c r="P97" s="148"/>
      <c r="Q97" s="146"/>
      <c r="R97" s="148"/>
      <c r="S97" s="146"/>
      <c r="T97" s="148"/>
      <c r="U97" s="146"/>
      <c r="V97" s="148"/>
      <c r="W97" s="146"/>
      <c r="X97" s="148"/>
      <c r="Y97" s="146"/>
      <c r="Z97" s="148"/>
      <c r="AA97" s="146"/>
      <c r="AB97" s="148"/>
      <c r="AC97" s="146"/>
      <c r="AD97" s="148"/>
      <c r="AE97" s="146"/>
      <c r="AF97" s="148"/>
      <c r="AG97" s="146"/>
      <c r="AH97" s="148"/>
      <c r="AI97" s="142"/>
      <c r="AJ97" s="122"/>
    </row>
    <row r="98" spans="2:36" s="113" customFormat="1" ht="15">
      <c r="B98" s="106"/>
      <c r="F98" s="112" t="s">
        <v>245</v>
      </c>
      <c r="J98" s="145">
        <f>SUM(J96:J97)</f>
        <v>317.43</v>
      </c>
      <c r="K98" s="146"/>
      <c r="L98" s="145">
        <f>SUM(L96:L97)</f>
        <v>317.43</v>
      </c>
      <c r="M98" s="146"/>
      <c r="N98" s="145">
        <f>SUM(N96:N97)</f>
        <v>317.43</v>
      </c>
      <c r="O98" s="146"/>
      <c r="P98" s="145">
        <f>SUM(P96:P97)</f>
        <v>451.49</v>
      </c>
      <c r="Q98" s="146"/>
      <c r="R98" s="145">
        <f>SUM(R96:R97)</f>
        <v>219.47</v>
      </c>
      <c r="S98" s="146"/>
      <c r="T98" s="145">
        <f>SUM(T96:T97)</f>
        <v>701.49</v>
      </c>
      <c r="U98" s="146"/>
      <c r="V98" s="145">
        <f>SUM(V96:V97)</f>
        <v>619.04999999999995</v>
      </c>
      <c r="W98" s="146"/>
      <c r="X98" s="145">
        <f>SUM(X96:X97)</f>
        <v>619.55999999999995</v>
      </c>
      <c r="Y98" s="146"/>
      <c r="Z98" s="145">
        <f>SUM(Z96:Z97)</f>
        <v>417.98</v>
      </c>
      <c r="AA98" s="146"/>
      <c r="AB98" s="145">
        <f>SUM(AB96:AB97)</f>
        <v>417.98</v>
      </c>
      <c r="AC98" s="146"/>
      <c r="AD98" s="145">
        <f>SUM(AD96:AD97)</f>
        <v>417.98</v>
      </c>
      <c r="AE98" s="146"/>
      <c r="AF98" s="145">
        <f>SUM(AF96:AF97)</f>
        <v>417.98</v>
      </c>
      <c r="AG98" s="146"/>
      <c r="AH98" s="145">
        <f>SUM(AH96:AH97)</f>
        <v>5235.2700000000004</v>
      </c>
      <c r="AI98" s="116">
        <f>IF(AH$50=0,0,AH98/AH$50)</f>
        <v>3.9967419415523698E-3</v>
      </c>
      <c r="AJ98" s="122"/>
    </row>
    <row r="99" spans="2:36" s="113" customFormat="1" ht="5.25" customHeight="1" outlineLevel="1">
      <c r="B99" s="106"/>
      <c r="J99" s="147"/>
      <c r="K99" s="146"/>
      <c r="L99" s="147"/>
      <c r="M99" s="146"/>
      <c r="N99" s="147"/>
      <c r="O99" s="146"/>
      <c r="P99" s="147"/>
      <c r="Q99" s="146"/>
      <c r="R99" s="147"/>
      <c r="S99" s="146"/>
      <c r="T99" s="147"/>
      <c r="U99" s="146"/>
      <c r="V99" s="147"/>
      <c r="W99" s="146"/>
      <c r="X99" s="147"/>
      <c r="Y99" s="146"/>
      <c r="Z99" s="147"/>
      <c r="AA99" s="146"/>
      <c r="AB99" s="147"/>
      <c r="AC99" s="146"/>
      <c r="AD99" s="147"/>
      <c r="AE99" s="146"/>
      <c r="AF99" s="147"/>
      <c r="AG99" s="146"/>
      <c r="AH99" s="147"/>
      <c r="AI99" s="142"/>
      <c r="AJ99" s="122"/>
    </row>
    <row r="100" spans="2:36" s="113" customFormat="1" ht="5.25" customHeight="1" outlineLevel="1">
      <c r="B100" s="106"/>
      <c r="J100" s="147"/>
      <c r="K100" s="146"/>
      <c r="L100" s="147"/>
      <c r="M100" s="146"/>
      <c r="N100" s="147"/>
      <c r="O100" s="146"/>
      <c r="P100" s="147"/>
      <c r="Q100" s="146"/>
      <c r="R100" s="147"/>
      <c r="S100" s="146"/>
      <c r="T100" s="147"/>
      <c r="U100" s="146"/>
      <c r="V100" s="147"/>
      <c r="W100" s="146"/>
      <c r="X100" s="147"/>
      <c r="Y100" s="146"/>
      <c r="Z100" s="147"/>
      <c r="AA100" s="146"/>
      <c r="AB100" s="147"/>
      <c r="AC100" s="146"/>
      <c r="AD100" s="147"/>
      <c r="AE100" s="146"/>
      <c r="AF100" s="147"/>
      <c r="AG100" s="146"/>
      <c r="AH100" s="147"/>
      <c r="AI100" s="142"/>
      <c r="AJ100" s="122"/>
    </row>
    <row r="101" spans="2:36" outlineLevel="1">
      <c r="B101" s="110" t="s">
        <v>246</v>
      </c>
      <c r="D101" s="111">
        <v>52020</v>
      </c>
      <c r="E101" s="111" t="s">
        <v>34</v>
      </c>
      <c r="F101" s="112"/>
      <c r="G101" s="108"/>
      <c r="H101" s="113"/>
      <c r="I101" s="114"/>
      <c r="J101" s="115">
        <v>3260.31</v>
      </c>
      <c r="K101" s="114"/>
      <c r="L101" s="115">
        <v>2924.72</v>
      </c>
      <c r="M101" s="114"/>
      <c r="N101" s="115">
        <v>3284.4</v>
      </c>
      <c r="O101" s="114"/>
      <c r="P101" s="115">
        <v>2720.06</v>
      </c>
      <c r="Q101" s="114"/>
      <c r="R101" s="115">
        <v>3616.37</v>
      </c>
      <c r="S101" s="114"/>
      <c r="T101" s="115">
        <v>3468.4</v>
      </c>
      <c r="U101" s="114"/>
      <c r="V101" s="115">
        <v>3317.6</v>
      </c>
      <c r="W101" s="114"/>
      <c r="X101" s="115">
        <v>3967.2</v>
      </c>
      <c r="Y101" s="114"/>
      <c r="Z101" s="115">
        <v>3696</v>
      </c>
      <c r="AA101" s="114"/>
      <c r="AB101" s="115">
        <v>3696</v>
      </c>
      <c r="AC101" s="114"/>
      <c r="AD101" s="115">
        <v>4127.24</v>
      </c>
      <c r="AE101" s="114"/>
      <c r="AF101" s="115">
        <v>3850.5</v>
      </c>
      <c r="AG101" s="114"/>
      <c r="AH101" s="115">
        <f t="shared" ref="AH101:AH117" si="10">AF101+AD101+AB101+Z101+X101+V101+T101+R101+P101+N101+L101+J101</f>
        <v>41928.799999999996</v>
      </c>
      <c r="AI101" s="116">
        <f t="shared" ref="AI101:AI117" si="11">IF(AH$50=0,0,AH101/AH$50)</f>
        <v>3.2009541727353312E-2</v>
      </c>
      <c r="AJ101" s="117"/>
    </row>
    <row r="102" spans="2:36" outlineLevel="1">
      <c r="B102" s="110" t="s">
        <v>206</v>
      </c>
      <c r="D102" s="111">
        <v>52025</v>
      </c>
      <c r="E102" s="111" t="s">
        <v>35</v>
      </c>
      <c r="F102" s="112"/>
      <c r="G102" s="108"/>
      <c r="H102" s="113"/>
      <c r="I102" s="114"/>
      <c r="J102" s="115">
        <v>635.9</v>
      </c>
      <c r="K102" s="114"/>
      <c r="L102" s="115">
        <v>2013.38</v>
      </c>
      <c r="M102" s="114"/>
      <c r="N102" s="115">
        <v>1568.14</v>
      </c>
      <c r="O102" s="114"/>
      <c r="P102" s="115">
        <v>433.35</v>
      </c>
      <c r="Q102" s="114"/>
      <c r="R102" s="115">
        <v>1392.4</v>
      </c>
      <c r="S102" s="114"/>
      <c r="T102" s="115">
        <v>1174.57</v>
      </c>
      <c r="U102" s="114"/>
      <c r="V102" s="115">
        <v>1338.09</v>
      </c>
      <c r="W102" s="114"/>
      <c r="X102" s="115">
        <v>2393.8200000000002</v>
      </c>
      <c r="Y102" s="114"/>
      <c r="Z102" s="115">
        <v>1213.32</v>
      </c>
      <c r="AA102" s="114"/>
      <c r="AB102" s="115">
        <v>1228.8599999999999</v>
      </c>
      <c r="AC102" s="114"/>
      <c r="AD102" s="115">
        <v>477.59</v>
      </c>
      <c r="AE102" s="114"/>
      <c r="AF102" s="115">
        <v>983.48</v>
      </c>
      <c r="AG102" s="114"/>
      <c r="AH102" s="115">
        <f t="shared" si="10"/>
        <v>14852.9</v>
      </c>
      <c r="AI102" s="116">
        <f t="shared" si="11"/>
        <v>1.1339092039891578E-2</v>
      </c>
      <c r="AJ102" s="117"/>
    </row>
    <row r="103" spans="2:36" outlineLevel="1">
      <c r="B103" s="110" t="s">
        <v>206</v>
      </c>
      <c r="D103" s="111">
        <v>52035</v>
      </c>
      <c r="E103" s="111" t="s">
        <v>36</v>
      </c>
      <c r="F103" s="112"/>
      <c r="G103" s="108"/>
      <c r="H103" s="113"/>
      <c r="I103" s="114"/>
      <c r="J103" s="115">
        <v>120.93</v>
      </c>
      <c r="K103" s="114"/>
      <c r="L103" s="115">
        <v>120.94</v>
      </c>
      <c r="M103" s="114"/>
      <c r="N103" s="115">
        <v>120.94</v>
      </c>
      <c r="O103" s="114"/>
      <c r="P103" s="115">
        <v>395.31</v>
      </c>
      <c r="Q103" s="114"/>
      <c r="R103" s="115">
        <v>25</v>
      </c>
      <c r="S103" s="114"/>
      <c r="T103" s="115">
        <v>25</v>
      </c>
      <c r="U103" s="114"/>
      <c r="V103" s="115">
        <v>25</v>
      </c>
      <c r="W103" s="114"/>
      <c r="X103" s="115">
        <v>100</v>
      </c>
      <c r="Y103" s="114"/>
      <c r="Z103" s="115">
        <v>100</v>
      </c>
      <c r="AA103" s="114"/>
      <c r="AB103" s="115">
        <v>225.01</v>
      </c>
      <c r="AC103" s="114"/>
      <c r="AD103" s="115">
        <v>119.51</v>
      </c>
      <c r="AE103" s="114"/>
      <c r="AF103" s="115">
        <v>127.74</v>
      </c>
      <c r="AG103" s="114"/>
      <c r="AH103" s="115">
        <f t="shared" si="10"/>
        <v>1505.38</v>
      </c>
      <c r="AI103" s="116">
        <f t="shared" si="11"/>
        <v>1.1492464350404288E-3</v>
      </c>
      <c r="AJ103" s="117"/>
    </row>
    <row r="104" spans="2:36" outlineLevel="1">
      <c r="B104" s="110" t="s">
        <v>206</v>
      </c>
      <c r="D104" s="111">
        <v>52036</v>
      </c>
      <c r="E104" s="111" t="s">
        <v>37</v>
      </c>
      <c r="F104" s="112"/>
      <c r="G104" s="108"/>
      <c r="H104" s="113"/>
      <c r="I104" s="114"/>
      <c r="J104" s="115">
        <v>0</v>
      </c>
      <c r="K104" s="114"/>
      <c r="L104" s="115">
        <v>0</v>
      </c>
      <c r="M104" s="114"/>
      <c r="N104" s="115">
        <v>0</v>
      </c>
      <c r="O104" s="114"/>
      <c r="P104" s="115">
        <v>0</v>
      </c>
      <c r="Q104" s="114"/>
      <c r="R104" s="115">
        <v>0</v>
      </c>
      <c r="S104" s="114"/>
      <c r="T104" s="115">
        <v>0</v>
      </c>
      <c r="U104" s="114"/>
      <c r="V104" s="115">
        <v>0</v>
      </c>
      <c r="W104" s="114"/>
      <c r="X104" s="115">
        <v>0</v>
      </c>
      <c r="Y104" s="114"/>
      <c r="Z104" s="115">
        <v>0</v>
      </c>
      <c r="AA104" s="114"/>
      <c r="AB104" s="115">
        <v>0</v>
      </c>
      <c r="AC104" s="114"/>
      <c r="AD104" s="115">
        <v>0</v>
      </c>
      <c r="AE104" s="114"/>
      <c r="AF104" s="115">
        <v>0</v>
      </c>
      <c r="AG104" s="114"/>
      <c r="AH104" s="115">
        <f t="shared" si="10"/>
        <v>0</v>
      </c>
      <c r="AI104" s="116">
        <f t="shared" si="11"/>
        <v>0</v>
      </c>
      <c r="AJ104" s="117"/>
    </row>
    <row r="105" spans="2:36" outlineLevel="1">
      <c r="B105" s="110" t="s">
        <v>206</v>
      </c>
      <c r="D105" s="111">
        <v>52050</v>
      </c>
      <c r="E105" s="111" t="s">
        <v>171</v>
      </c>
      <c r="F105" s="112"/>
      <c r="G105" s="108"/>
      <c r="H105" s="113"/>
      <c r="I105" s="114"/>
      <c r="J105" s="115">
        <v>419.98</v>
      </c>
      <c r="K105" s="114"/>
      <c r="L105" s="115">
        <v>385.42</v>
      </c>
      <c r="M105" s="114"/>
      <c r="N105" s="115">
        <v>398.98</v>
      </c>
      <c r="O105" s="114"/>
      <c r="P105" s="115">
        <v>285.39</v>
      </c>
      <c r="Q105" s="114"/>
      <c r="R105" s="115">
        <v>402.15</v>
      </c>
      <c r="S105" s="114"/>
      <c r="T105" s="115">
        <v>381.44</v>
      </c>
      <c r="U105" s="114"/>
      <c r="V105" s="115">
        <v>383.24</v>
      </c>
      <c r="W105" s="114"/>
      <c r="X105" s="115">
        <v>524.47</v>
      </c>
      <c r="Y105" s="114"/>
      <c r="Z105" s="115">
        <v>419.79</v>
      </c>
      <c r="AA105" s="114"/>
      <c r="AB105" s="115">
        <v>367.29</v>
      </c>
      <c r="AC105" s="114"/>
      <c r="AD105" s="115">
        <v>342.83</v>
      </c>
      <c r="AE105" s="114"/>
      <c r="AF105" s="115">
        <v>525.35</v>
      </c>
      <c r="AG105" s="114"/>
      <c r="AH105" s="115">
        <f t="shared" si="10"/>
        <v>4836.33</v>
      </c>
      <c r="AI105" s="116">
        <f t="shared" si="11"/>
        <v>3.6921807192729257E-3</v>
      </c>
      <c r="AJ105" s="117"/>
    </row>
    <row r="106" spans="2:36" outlineLevel="1">
      <c r="B106" s="110" t="s">
        <v>206</v>
      </c>
      <c r="D106" s="111">
        <v>52060</v>
      </c>
      <c r="E106" s="111" t="s">
        <v>124</v>
      </c>
      <c r="F106" s="112"/>
      <c r="G106" s="108"/>
      <c r="H106" s="113"/>
      <c r="I106" s="114"/>
      <c r="J106" s="115">
        <v>866.16</v>
      </c>
      <c r="K106" s="114"/>
      <c r="L106" s="115">
        <v>866.16</v>
      </c>
      <c r="M106" s="114"/>
      <c r="N106" s="115">
        <v>866.16</v>
      </c>
      <c r="O106" s="114"/>
      <c r="P106" s="115">
        <v>870.92</v>
      </c>
      <c r="Q106" s="114"/>
      <c r="R106" s="115">
        <v>806.38</v>
      </c>
      <c r="S106" s="114"/>
      <c r="T106" s="115">
        <v>864.72</v>
      </c>
      <c r="U106" s="114"/>
      <c r="V106" s="115">
        <v>873.08</v>
      </c>
      <c r="W106" s="114"/>
      <c r="X106" s="115">
        <v>874.58</v>
      </c>
      <c r="Y106" s="114"/>
      <c r="Z106" s="115">
        <v>874.58</v>
      </c>
      <c r="AA106" s="114"/>
      <c r="AB106" s="115">
        <v>811.87</v>
      </c>
      <c r="AC106" s="114"/>
      <c r="AD106" s="115">
        <v>876.02</v>
      </c>
      <c r="AE106" s="114"/>
      <c r="AF106" s="115">
        <v>876.02</v>
      </c>
      <c r="AG106" s="114"/>
      <c r="AH106" s="115">
        <f t="shared" si="10"/>
        <v>10326.65</v>
      </c>
      <c r="AI106" s="116">
        <f t="shared" si="11"/>
        <v>7.8836344965458847E-3</v>
      </c>
      <c r="AJ106" s="117"/>
    </row>
    <row r="107" spans="2:36" outlineLevel="1">
      <c r="B107" s="110" t="s">
        <v>206</v>
      </c>
      <c r="D107" s="111">
        <v>52065</v>
      </c>
      <c r="E107" s="111" t="s">
        <v>31</v>
      </c>
      <c r="F107" s="112"/>
      <c r="G107" s="108"/>
      <c r="H107" s="113"/>
      <c r="I107" s="114"/>
      <c r="J107" s="115">
        <v>728.28</v>
      </c>
      <c r="K107" s="114"/>
      <c r="L107" s="115">
        <v>-51.42</v>
      </c>
      <c r="M107" s="114"/>
      <c r="N107" s="115">
        <v>130.47</v>
      </c>
      <c r="O107" s="114"/>
      <c r="P107" s="115">
        <v>126.44</v>
      </c>
      <c r="Q107" s="114"/>
      <c r="R107" s="115">
        <v>127.96</v>
      </c>
      <c r="S107" s="114"/>
      <c r="T107" s="115">
        <v>230.92</v>
      </c>
      <c r="U107" s="114"/>
      <c r="V107" s="115">
        <v>378.16</v>
      </c>
      <c r="W107" s="114"/>
      <c r="X107" s="115">
        <v>153.6</v>
      </c>
      <c r="Y107" s="114"/>
      <c r="Z107" s="115">
        <v>148.65</v>
      </c>
      <c r="AA107" s="114"/>
      <c r="AB107" s="115">
        <v>153.6</v>
      </c>
      <c r="AC107" s="114"/>
      <c r="AD107" s="115">
        <v>148.65</v>
      </c>
      <c r="AE107" s="114"/>
      <c r="AF107" s="115">
        <v>153.6</v>
      </c>
      <c r="AG107" s="114"/>
      <c r="AH107" s="115">
        <f t="shared" si="10"/>
        <v>2428.91</v>
      </c>
      <c r="AI107" s="116">
        <f t="shared" si="11"/>
        <v>1.8542933734565677E-3</v>
      </c>
      <c r="AJ107" s="117"/>
    </row>
    <row r="108" spans="2:36" outlineLevel="1">
      <c r="B108" s="110" t="s">
        <v>206</v>
      </c>
      <c r="D108" s="111">
        <v>52070</v>
      </c>
      <c r="E108" s="111" t="s">
        <v>32</v>
      </c>
      <c r="F108" s="112"/>
      <c r="G108" s="108"/>
      <c r="H108" s="113"/>
      <c r="I108" s="114"/>
      <c r="J108" s="115">
        <v>0</v>
      </c>
      <c r="K108" s="114"/>
      <c r="L108" s="115">
        <v>0</v>
      </c>
      <c r="M108" s="114"/>
      <c r="N108" s="115">
        <v>0</v>
      </c>
      <c r="O108" s="114"/>
      <c r="P108" s="115">
        <v>301.60000000000002</v>
      </c>
      <c r="Q108" s="114"/>
      <c r="R108" s="115">
        <v>-150.80000000000001</v>
      </c>
      <c r="S108" s="114"/>
      <c r="T108" s="115">
        <v>0</v>
      </c>
      <c r="U108" s="114"/>
      <c r="V108" s="115">
        <v>0</v>
      </c>
      <c r="W108" s="114"/>
      <c r="X108" s="115">
        <v>0</v>
      </c>
      <c r="Y108" s="114"/>
      <c r="Z108" s="115">
        <v>0</v>
      </c>
      <c r="AA108" s="114"/>
      <c r="AB108" s="115">
        <v>0</v>
      </c>
      <c r="AC108" s="114"/>
      <c r="AD108" s="115">
        <v>0</v>
      </c>
      <c r="AE108" s="114"/>
      <c r="AF108" s="115">
        <v>0</v>
      </c>
      <c r="AG108" s="114"/>
      <c r="AH108" s="115">
        <f t="shared" si="10"/>
        <v>150.80000000000001</v>
      </c>
      <c r="AI108" s="116">
        <f t="shared" si="11"/>
        <v>1.1512466115140143E-4</v>
      </c>
      <c r="AJ108" s="117"/>
    </row>
    <row r="109" spans="2:36" outlineLevel="1">
      <c r="B109" s="110" t="s">
        <v>206</v>
      </c>
      <c r="D109" s="111">
        <v>52120</v>
      </c>
      <c r="E109" s="111" t="s">
        <v>247</v>
      </c>
      <c r="F109" s="112"/>
      <c r="G109" s="108"/>
      <c r="H109" s="113"/>
      <c r="I109" s="114"/>
      <c r="J109" s="115">
        <v>303.26</v>
      </c>
      <c r="K109" s="114"/>
      <c r="L109" s="115">
        <v>992.27</v>
      </c>
      <c r="M109" s="114"/>
      <c r="N109" s="115">
        <v>1033.47</v>
      </c>
      <c r="O109" s="114"/>
      <c r="P109" s="115">
        <v>780.29</v>
      </c>
      <c r="Q109" s="114"/>
      <c r="R109" s="115">
        <v>1952.84</v>
      </c>
      <c r="S109" s="114"/>
      <c r="T109" s="115">
        <v>65.86</v>
      </c>
      <c r="U109" s="114"/>
      <c r="V109" s="115">
        <v>956.3</v>
      </c>
      <c r="W109" s="114"/>
      <c r="X109" s="115">
        <v>215.16</v>
      </c>
      <c r="Y109" s="114"/>
      <c r="Z109" s="115">
        <v>813.53</v>
      </c>
      <c r="AA109" s="114"/>
      <c r="AB109" s="115">
        <v>2579.5</v>
      </c>
      <c r="AC109" s="114"/>
      <c r="AD109" s="115">
        <v>585.39</v>
      </c>
      <c r="AE109" s="114"/>
      <c r="AF109" s="115">
        <v>260.04000000000002</v>
      </c>
      <c r="AG109" s="114"/>
      <c r="AH109" s="115">
        <f t="shared" si="10"/>
        <v>10537.91</v>
      </c>
      <c r="AI109" s="116">
        <f t="shared" si="11"/>
        <v>8.0449159018167408E-3</v>
      </c>
      <c r="AJ109" s="117"/>
    </row>
    <row r="110" spans="2:36" outlineLevel="1">
      <c r="B110" s="110" t="s">
        <v>206</v>
      </c>
      <c r="D110" s="111">
        <v>52125</v>
      </c>
      <c r="E110" s="111" t="s">
        <v>40</v>
      </c>
      <c r="F110" s="112"/>
      <c r="G110" s="108"/>
      <c r="H110" s="113"/>
      <c r="I110" s="114"/>
      <c r="J110" s="115">
        <v>298.74</v>
      </c>
      <c r="K110" s="114"/>
      <c r="L110" s="115">
        <v>1718.23</v>
      </c>
      <c r="M110" s="114"/>
      <c r="N110" s="115">
        <v>251.4</v>
      </c>
      <c r="O110" s="114"/>
      <c r="P110" s="115">
        <v>177.48</v>
      </c>
      <c r="Q110" s="114"/>
      <c r="R110" s="115">
        <v>-82.13</v>
      </c>
      <c r="S110" s="114"/>
      <c r="T110" s="115">
        <v>145.94999999999999</v>
      </c>
      <c r="U110" s="114"/>
      <c r="V110" s="115">
        <v>0</v>
      </c>
      <c r="W110" s="114"/>
      <c r="X110" s="115">
        <v>266.95999999999998</v>
      </c>
      <c r="Y110" s="114"/>
      <c r="Z110" s="115">
        <v>5.46</v>
      </c>
      <c r="AA110" s="114"/>
      <c r="AB110" s="115">
        <v>344.42</v>
      </c>
      <c r="AC110" s="114"/>
      <c r="AD110" s="115">
        <v>0</v>
      </c>
      <c r="AE110" s="114"/>
      <c r="AF110" s="115">
        <v>0</v>
      </c>
      <c r="AG110" s="114"/>
      <c r="AH110" s="115">
        <f t="shared" si="10"/>
        <v>3126.51</v>
      </c>
      <c r="AI110" s="116">
        <f t="shared" si="11"/>
        <v>2.3868594452020431E-3</v>
      </c>
      <c r="AJ110" s="117"/>
    </row>
    <row r="111" spans="2:36" outlineLevel="1">
      <c r="B111" s="110" t="s">
        <v>206</v>
      </c>
      <c r="D111" s="111">
        <v>52135</v>
      </c>
      <c r="E111" s="111" t="s">
        <v>56</v>
      </c>
      <c r="F111" s="112"/>
      <c r="G111" s="108"/>
      <c r="H111" s="113"/>
      <c r="I111" s="114"/>
      <c r="J111" s="115">
        <v>0</v>
      </c>
      <c r="K111" s="114"/>
      <c r="L111" s="115">
        <v>217</v>
      </c>
      <c r="M111" s="114"/>
      <c r="N111" s="115">
        <v>185</v>
      </c>
      <c r="O111" s="114"/>
      <c r="P111" s="115">
        <v>259.5</v>
      </c>
      <c r="Q111" s="114"/>
      <c r="R111" s="115">
        <v>224</v>
      </c>
      <c r="S111" s="114"/>
      <c r="T111" s="115">
        <v>224.5</v>
      </c>
      <c r="U111" s="114"/>
      <c r="V111" s="115">
        <v>224.5</v>
      </c>
      <c r="W111" s="114"/>
      <c r="X111" s="115">
        <v>0</v>
      </c>
      <c r="Y111" s="114"/>
      <c r="Z111" s="115">
        <v>189</v>
      </c>
      <c r="AA111" s="114"/>
      <c r="AB111" s="115">
        <v>446.5</v>
      </c>
      <c r="AC111" s="114"/>
      <c r="AD111" s="115">
        <v>224</v>
      </c>
      <c r="AE111" s="114"/>
      <c r="AF111" s="115">
        <v>259</v>
      </c>
      <c r="AG111" s="114"/>
      <c r="AH111" s="115">
        <f t="shared" si="10"/>
        <v>2453</v>
      </c>
      <c r="AI111" s="116">
        <f t="shared" si="11"/>
        <v>1.8726843090476637E-3</v>
      </c>
      <c r="AJ111" s="117"/>
    </row>
    <row r="112" spans="2:36" outlineLevel="1">
      <c r="B112" s="110" t="s">
        <v>206</v>
      </c>
      <c r="D112" s="111">
        <v>52140</v>
      </c>
      <c r="E112" s="111" t="s">
        <v>248</v>
      </c>
      <c r="F112" s="112"/>
      <c r="G112" s="108"/>
      <c r="H112" s="113"/>
      <c r="I112" s="114"/>
      <c r="J112" s="115">
        <v>1609.67</v>
      </c>
      <c r="K112" s="114"/>
      <c r="L112" s="115">
        <v>1442.76</v>
      </c>
      <c r="M112" s="114"/>
      <c r="N112" s="115">
        <v>216.79</v>
      </c>
      <c r="O112" s="114"/>
      <c r="P112" s="115">
        <v>2675.24</v>
      </c>
      <c r="Q112" s="114"/>
      <c r="R112" s="115">
        <v>2038.09</v>
      </c>
      <c r="S112" s="114"/>
      <c r="T112" s="115">
        <v>698.14</v>
      </c>
      <c r="U112" s="114"/>
      <c r="V112" s="115">
        <v>3508.18</v>
      </c>
      <c r="W112" s="114"/>
      <c r="X112" s="115">
        <v>3153.86</v>
      </c>
      <c r="Y112" s="114"/>
      <c r="Z112" s="115">
        <v>3370.88</v>
      </c>
      <c r="AA112" s="114"/>
      <c r="AB112" s="115">
        <v>2315.17</v>
      </c>
      <c r="AC112" s="114"/>
      <c r="AD112" s="115">
        <v>0</v>
      </c>
      <c r="AE112" s="114"/>
      <c r="AF112" s="115">
        <v>72.16</v>
      </c>
      <c r="AG112" s="114"/>
      <c r="AH112" s="115">
        <f t="shared" si="10"/>
        <v>21100.940000000002</v>
      </c>
      <c r="AI112" s="116">
        <f t="shared" si="11"/>
        <v>1.6109009068143585E-2</v>
      </c>
      <c r="AJ112" s="117"/>
    </row>
    <row r="113" spans="2:36" outlineLevel="1">
      <c r="B113" s="110" t="s">
        <v>206</v>
      </c>
      <c r="D113" s="111">
        <v>52142</v>
      </c>
      <c r="E113" s="111" t="s">
        <v>67</v>
      </c>
      <c r="F113" s="112"/>
      <c r="G113" s="108"/>
      <c r="H113" s="113"/>
      <c r="I113" s="114"/>
      <c r="J113" s="115">
        <v>2962.51</v>
      </c>
      <c r="K113" s="114"/>
      <c r="L113" s="115">
        <v>4469.63</v>
      </c>
      <c r="M113" s="114"/>
      <c r="N113" s="115">
        <v>5600</v>
      </c>
      <c r="O113" s="114"/>
      <c r="P113" s="115">
        <v>1019.29</v>
      </c>
      <c r="Q113" s="114"/>
      <c r="R113" s="115">
        <v>8568.4</v>
      </c>
      <c r="S113" s="114"/>
      <c r="T113" s="115">
        <v>4805.68</v>
      </c>
      <c r="U113" s="114"/>
      <c r="V113" s="115">
        <v>464.55</v>
      </c>
      <c r="W113" s="114"/>
      <c r="X113" s="115">
        <v>4043.89</v>
      </c>
      <c r="Y113" s="114"/>
      <c r="Z113" s="115">
        <v>4261</v>
      </c>
      <c r="AA113" s="114"/>
      <c r="AB113" s="115">
        <v>4827.0600000000004</v>
      </c>
      <c r="AC113" s="114"/>
      <c r="AD113" s="115">
        <v>4735.79</v>
      </c>
      <c r="AE113" s="114"/>
      <c r="AF113" s="115">
        <v>4083.02</v>
      </c>
      <c r="AG113" s="114"/>
      <c r="AH113" s="115">
        <f t="shared" si="10"/>
        <v>49840.82</v>
      </c>
      <c r="AI113" s="116">
        <f t="shared" si="11"/>
        <v>3.8049784575649809E-2</v>
      </c>
      <c r="AJ113" s="117"/>
    </row>
    <row r="114" spans="2:36" outlineLevel="1">
      <c r="B114" s="110" t="s">
        <v>206</v>
      </c>
      <c r="D114" s="111">
        <v>52146</v>
      </c>
      <c r="E114" s="111" t="s">
        <v>68</v>
      </c>
      <c r="F114" s="112"/>
      <c r="G114" s="108"/>
      <c r="H114" s="113"/>
      <c r="I114" s="114"/>
      <c r="J114" s="115">
        <v>300</v>
      </c>
      <c r="K114" s="114"/>
      <c r="L114" s="115">
        <v>145.27000000000001</v>
      </c>
      <c r="M114" s="114"/>
      <c r="N114" s="115">
        <v>305.88</v>
      </c>
      <c r="O114" s="114"/>
      <c r="P114" s="115">
        <v>155.88</v>
      </c>
      <c r="Q114" s="114"/>
      <c r="R114" s="115">
        <v>218.47</v>
      </c>
      <c r="S114" s="114"/>
      <c r="T114" s="115">
        <v>54.89</v>
      </c>
      <c r="U114" s="114"/>
      <c r="V114" s="115">
        <v>451.12</v>
      </c>
      <c r="W114" s="114"/>
      <c r="X114" s="115">
        <v>243.46</v>
      </c>
      <c r="Y114" s="114"/>
      <c r="Z114" s="115">
        <v>114.64</v>
      </c>
      <c r="AA114" s="114"/>
      <c r="AB114" s="115">
        <v>281.33</v>
      </c>
      <c r="AC114" s="114"/>
      <c r="AD114" s="115">
        <v>223.1</v>
      </c>
      <c r="AE114" s="114"/>
      <c r="AF114" s="115">
        <v>0</v>
      </c>
      <c r="AG114" s="114"/>
      <c r="AH114" s="115">
        <f t="shared" si="10"/>
        <v>2494.0400000000004</v>
      </c>
      <c r="AI114" s="116">
        <f t="shared" si="11"/>
        <v>1.9040153176262682E-3</v>
      </c>
      <c r="AJ114" s="117"/>
    </row>
    <row r="115" spans="2:36" outlineLevel="1">
      <c r="B115" s="110" t="s">
        <v>206</v>
      </c>
      <c r="D115" s="111">
        <v>52147</v>
      </c>
      <c r="E115" s="111" t="s">
        <v>57</v>
      </c>
      <c r="F115" s="112"/>
      <c r="G115" s="108"/>
      <c r="H115" s="113"/>
      <c r="I115" s="114"/>
      <c r="J115" s="115">
        <v>97.89</v>
      </c>
      <c r="K115" s="114"/>
      <c r="L115" s="115">
        <v>0</v>
      </c>
      <c r="M115" s="114"/>
      <c r="N115" s="115">
        <v>0</v>
      </c>
      <c r="O115" s="114"/>
      <c r="P115" s="115">
        <v>0</v>
      </c>
      <c r="Q115" s="114"/>
      <c r="R115" s="115">
        <v>115.51</v>
      </c>
      <c r="S115" s="114"/>
      <c r="T115" s="115">
        <v>0</v>
      </c>
      <c r="U115" s="114"/>
      <c r="V115" s="115">
        <v>4757.5200000000004</v>
      </c>
      <c r="W115" s="114"/>
      <c r="X115" s="115">
        <v>1659.49</v>
      </c>
      <c r="Y115" s="114"/>
      <c r="Z115" s="115">
        <v>1178.6300000000001</v>
      </c>
      <c r="AA115" s="114"/>
      <c r="AB115" s="115">
        <v>291.39999999999998</v>
      </c>
      <c r="AC115" s="114"/>
      <c r="AD115" s="115">
        <v>0</v>
      </c>
      <c r="AE115" s="114"/>
      <c r="AF115" s="115">
        <v>6032.28</v>
      </c>
      <c r="AG115" s="114"/>
      <c r="AH115" s="115">
        <f t="shared" si="10"/>
        <v>14132.72</v>
      </c>
      <c r="AI115" s="116">
        <f t="shared" si="11"/>
        <v>1.0789287806018791E-2</v>
      </c>
      <c r="AJ115" s="117"/>
    </row>
    <row r="116" spans="2:36" outlineLevel="1">
      <c r="B116" s="110" t="s">
        <v>206</v>
      </c>
      <c r="D116" s="111">
        <v>52182</v>
      </c>
      <c r="E116" s="111" t="s">
        <v>249</v>
      </c>
      <c r="F116" s="112"/>
      <c r="G116" s="108"/>
      <c r="H116" s="113"/>
      <c r="I116" s="114"/>
      <c r="J116" s="115">
        <v>1951.2</v>
      </c>
      <c r="K116" s="114"/>
      <c r="L116" s="115">
        <v>0</v>
      </c>
      <c r="M116" s="114"/>
      <c r="N116" s="115">
        <v>501.27</v>
      </c>
      <c r="O116" s="114"/>
      <c r="P116" s="115">
        <v>0</v>
      </c>
      <c r="Q116" s="114"/>
      <c r="R116" s="115">
        <v>0</v>
      </c>
      <c r="S116" s="114"/>
      <c r="T116" s="115">
        <v>0</v>
      </c>
      <c r="U116" s="114"/>
      <c r="V116" s="115">
        <v>865.03</v>
      </c>
      <c r="W116" s="114"/>
      <c r="X116" s="115">
        <v>1599.98</v>
      </c>
      <c r="Y116" s="114"/>
      <c r="Z116" s="115">
        <v>0</v>
      </c>
      <c r="AA116" s="114"/>
      <c r="AB116" s="115">
        <v>542</v>
      </c>
      <c r="AC116" s="114"/>
      <c r="AD116" s="115">
        <v>0</v>
      </c>
      <c r="AE116" s="114"/>
      <c r="AF116" s="115">
        <v>0</v>
      </c>
      <c r="AG116" s="114"/>
      <c r="AH116" s="115">
        <f t="shared" si="10"/>
        <v>5459.4800000000005</v>
      </c>
      <c r="AI116" s="116">
        <f t="shared" si="11"/>
        <v>4.1679097152709094E-3</v>
      </c>
      <c r="AJ116" s="117"/>
    </row>
    <row r="117" spans="2:36" outlineLevel="1">
      <c r="B117" s="110" t="s">
        <v>206</v>
      </c>
      <c r="D117" s="111">
        <v>52901</v>
      </c>
      <c r="E117" s="111" t="s">
        <v>54</v>
      </c>
      <c r="F117" s="112"/>
      <c r="G117" s="108"/>
      <c r="H117" s="113"/>
      <c r="I117" s="114"/>
      <c r="J117" s="115">
        <v>0</v>
      </c>
      <c r="K117" s="114"/>
      <c r="L117" s="115">
        <v>0</v>
      </c>
      <c r="M117" s="114"/>
      <c r="N117" s="115">
        <v>0</v>
      </c>
      <c r="O117" s="114"/>
      <c r="P117" s="115">
        <v>0</v>
      </c>
      <c r="Q117" s="114"/>
      <c r="R117" s="115">
        <v>0</v>
      </c>
      <c r="S117" s="114"/>
      <c r="T117" s="115">
        <v>0</v>
      </c>
      <c r="U117" s="114"/>
      <c r="V117" s="115">
        <v>0</v>
      </c>
      <c r="W117" s="114"/>
      <c r="X117" s="115">
        <v>0</v>
      </c>
      <c r="Y117" s="114"/>
      <c r="Z117" s="115">
        <v>0</v>
      </c>
      <c r="AA117" s="114"/>
      <c r="AB117" s="115">
        <v>0</v>
      </c>
      <c r="AC117" s="114"/>
      <c r="AD117" s="115">
        <v>0</v>
      </c>
      <c r="AE117" s="114"/>
      <c r="AF117" s="115">
        <v>0</v>
      </c>
      <c r="AG117" s="114"/>
      <c r="AH117" s="115">
        <f t="shared" si="10"/>
        <v>0</v>
      </c>
      <c r="AI117" s="116">
        <f t="shared" si="11"/>
        <v>0</v>
      </c>
      <c r="AJ117" s="117"/>
    </row>
    <row r="118" spans="2:36" s="113" customFormat="1" ht="5.0999999999999996" customHeight="1" outlineLevel="1">
      <c r="B118" s="106" t="s">
        <v>198</v>
      </c>
      <c r="D118" s="112"/>
      <c r="E118" s="112"/>
      <c r="F118" s="112"/>
      <c r="G118" s="112"/>
      <c r="J118" s="148"/>
      <c r="K118" s="146"/>
      <c r="L118" s="148"/>
      <c r="M118" s="146"/>
      <c r="N118" s="148"/>
      <c r="O118" s="146"/>
      <c r="P118" s="148"/>
      <c r="Q118" s="146"/>
      <c r="R118" s="148"/>
      <c r="S118" s="146"/>
      <c r="T118" s="148"/>
      <c r="U118" s="146"/>
      <c r="V118" s="148"/>
      <c r="W118" s="146"/>
      <c r="X118" s="148"/>
      <c r="Y118" s="146"/>
      <c r="Z118" s="148"/>
      <c r="AA118" s="146"/>
      <c r="AB118" s="148"/>
      <c r="AC118" s="146"/>
      <c r="AD118" s="148"/>
      <c r="AE118" s="146"/>
      <c r="AF118" s="148"/>
      <c r="AG118" s="146"/>
      <c r="AH118" s="148"/>
      <c r="AI118" s="142"/>
      <c r="AJ118" s="122"/>
    </row>
    <row r="119" spans="2:36" s="113" customFormat="1" ht="15">
      <c r="B119" s="106" t="s">
        <v>198</v>
      </c>
      <c r="F119" s="112" t="s">
        <v>250</v>
      </c>
      <c r="J119" s="145">
        <f>SUM(J100:J118)</f>
        <v>13554.83</v>
      </c>
      <c r="K119" s="146"/>
      <c r="L119" s="145">
        <f>SUM(L100:L118)</f>
        <v>15244.36</v>
      </c>
      <c r="M119" s="146"/>
      <c r="N119" s="145">
        <f>SUM(N100:N118)</f>
        <v>14462.9</v>
      </c>
      <c r="O119" s="146"/>
      <c r="P119" s="145">
        <f>SUM(P100:P118)</f>
        <v>10200.749999999998</v>
      </c>
      <c r="Q119" s="146"/>
      <c r="R119" s="145">
        <f>SUM(R100:R118)</f>
        <v>19254.64</v>
      </c>
      <c r="S119" s="146"/>
      <c r="T119" s="145">
        <f>SUM(T100:T118)</f>
        <v>12140.07</v>
      </c>
      <c r="U119" s="146"/>
      <c r="V119" s="145">
        <f>SUM(V100:V118)</f>
        <v>17542.37</v>
      </c>
      <c r="W119" s="146"/>
      <c r="X119" s="145">
        <f>SUM(X100:X118)</f>
        <v>19196.47</v>
      </c>
      <c r="Y119" s="146"/>
      <c r="Z119" s="145">
        <f>SUM(Z100:Z118)</f>
        <v>16385.48</v>
      </c>
      <c r="AA119" s="146"/>
      <c r="AB119" s="145">
        <f>SUM(AB100:AB118)</f>
        <v>18110.010000000006</v>
      </c>
      <c r="AC119" s="146"/>
      <c r="AD119" s="145">
        <f>SUM(AD100:AD118)</f>
        <v>11860.12</v>
      </c>
      <c r="AE119" s="146"/>
      <c r="AF119" s="145">
        <f>SUM(AF100:AF118)</f>
        <v>17223.189999999999</v>
      </c>
      <c r="AG119" s="146"/>
      <c r="AH119" s="145">
        <f>SUM(AH100:AH118)</f>
        <v>185175.19000000003</v>
      </c>
      <c r="AI119" s="116">
        <f>IF(AH$50=0,0,AH119/AH$50)</f>
        <v>0.14136757959148794</v>
      </c>
      <c r="AJ119" s="122"/>
    </row>
    <row r="120" spans="2:36" s="113" customFormat="1" ht="8.25" hidden="1" customHeight="1" outlineLevel="1">
      <c r="B120" s="106" t="s">
        <v>198</v>
      </c>
      <c r="J120" s="147"/>
      <c r="K120" s="146"/>
      <c r="L120" s="147"/>
      <c r="M120" s="146"/>
      <c r="N120" s="147"/>
      <c r="O120" s="146"/>
      <c r="P120" s="147"/>
      <c r="Q120" s="146"/>
      <c r="R120" s="147"/>
      <c r="S120" s="146"/>
      <c r="T120" s="147"/>
      <c r="U120" s="146"/>
      <c r="V120" s="147"/>
      <c r="W120" s="146"/>
      <c r="X120" s="147"/>
      <c r="Y120" s="146"/>
      <c r="Z120" s="147"/>
      <c r="AA120" s="146"/>
      <c r="AB120" s="147"/>
      <c r="AC120" s="146"/>
      <c r="AD120" s="147"/>
      <c r="AE120" s="146"/>
      <c r="AF120" s="147"/>
      <c r="AG120" s="146"/>
      <c r="AH120" s="147"/>
      <c r="AI120" s="142"/>
      <c r="AJ120" s="122"/>
    </row>
    <row r="121" spans="2:36" s="113" customFormat="1" ht="8.25" hidden="1" customHeight="1" outlineLevel="1">
      <c r="J121" s="147"/>
      <c r="K121" s="146"/>
      <c r="L121" s="147"/>
      <c r="M121" s="146"/>
      <c r="N121" s="147"/>
      <c r="O121" s="146"/>
      <c r="P121" s="147"/>
      <c r="Q121" s="146"/>
      <c r="R121" s="147"/>
      <c r="S121" s="146"/>
      <c r="T121" s="147"/>
      <c r="U121" s="146"/>
      <c r="V121" s="147"/>
      <c r="W121" s="146"/>
      <c r="X121" s="147"/>
      <c r="Y121" s="146"/>
      <c r="Z121" s="147"/>
      <c r="AA121" s="146"/>
      <c r="AB121" s="147"/>
      <c r="AC121" s="146"/>
      <c r="AD121" s="147"/>
      <c r="AE121" s="146"/>
      <c r="AF121" s="147"/>
      <c r="AG121" s="146"/>
      <c r="AH121" s="147"/>
      <c r="AI121" s="142"/>
      <c r="AJ121" s="122"/>
    </row>
    <row r="122" spans="2:36" hidden="1" outlineLevel="1">
      <c r="B122" s="110" t="s">
        <v>251</v>
      </c>
      <c r="D122" s="111"/>
      <c r="E122" s="111"/>
      <c r="F122" s="112"/>
      <c r="G122" s="108"/>
      <c r="H122" s="113"/>
      <c r="I122" s="114"/>
      <c r="J122" s="115"/>
      <c r="K122" s="114"/>
      <c r="L122" s="115"/>
      <c r="M122" s="114"/>
      <c r="N122" s="115"/>
      <c r="O122" s="114"/>
      <c r="P122" s="115"/>
      <c r="Q122" s="114"/>
      <c r="R122" s="115"/>
      <c r="S122" s="114"/>
      <c r="T122" s="115"/>
      <c r="U122" s="114"/>
      <c r="V122" s="115"/>
      <c r="W122" s="114"/>
      <c r="X122" s="115"/>
      <c r="Y122" s="114"/>
      <c r="Z122" s="115"/>
      <c r="AA122" s="114"/>
      <c r="AB122" s="115"/>
      <c r="AC122" s="114"/>
      <c r="AD122" s="115"/>
      <c r="AE122" s="114"/>
      <c r="AF122" s="115"/>
      <c r="AG122" s="114"/>
      <c r="AH122" s="115">
        <f>AF122+AD122+AB122+Z122+X122+V122+T122+R122+P122+N122+L122+J122</f>
        <v>0</v>
      </c>
      <c r="AI122" s="116">
        <f>IF(AH$50=0,0,AH122/AH$50)</f>
        <v>0</v>
      </c>
      <c r="AJ122" s="117"/>
    </row>
    <row r="123" spans="2:36" s="113" customFormat="1" ht="5.0999999999999996" hidden="1" customHeight="1" outlineLevel="1">
      <c r="B123" s="106" t="s">
        <v>198</v>
      </c>
      <c r="D123" s="112"/>
      <c r="E123" s="112"/>
      <c r="F123" s="112"/>
      <c r="G123" s="112"/>
      <c r="J123" s="148"/>
      <c r="K123" s="146"/>
      <c r="L123" s="148"/>
      <c r="M123" s="146"/>
      <c r="N123" s="148"/>
      <c r="O123" s="146"/>
      <c r="P123" s="148"/>
      <c r="Q123" s="146"/>
      <c r="R123" s="148"/>
      <c r="S123" s="146"/>
      <c r="T123" s="148"/>
      <c r="U123" s="146"/>
      <c r="V123" s="148"/>
      <c r="W123" s="146"/>
      <c r="X123" s="148"/>
      <c r="Y123" s="146"/>
      <c r="Z123" s="148"/>
      <c r="AA123" s="146"/>
      <c r="AB123" s="148"/>
      <c r="AC123" s="146"/>
      <c r="AD123" s="148"/>
      <c r="AE123" s="146"/>
      <c r="AF123" s="148"/>
      <c r="AG123" s="146"/>
      <c r="AH123" s="148"/>
      <c r="AI123" s="142"/>
      <c r="AJ123" s="122"/>
    </row>
    <row r="124" spans="2:36" s="113" customFormat="1" ht="15" hidden="1" collapsed="1">
      <c r="B124" s="106"/>
      <c r="F124" s="112" t="s">
        <v>252</v>
      </c>
      <c r="J124" s="145">
        <f>SUM(J121:J123)</f>
        <v>0</v>
      </c>
      <c r="K124" s="146"/>
      <c r="L124" s="145">
        <f>SUM(L121:L123)</f>
        <v>0</v>
      </c>
      <c r="M124" s="146"/>
      <c r="N124" s="145">
        <f>SUM(N121:N123)</f>
        <v>0</v>
      </c>
      <c r="O124" s="146"/>
      <c r="P124" s="145">
        <f>SUM(P121:P123)</f>
        <v>0</v>
      </c>
      <c r="Q124" s="146"/>
      <c r="R124" s="145">
        <f>SUM(R121:R123)</f>
        <v>0</v>
      </c>
      <c r="S124" s="146"/>
      <c r="T124" s="145">
        <f>SUM(T121:T123)</f>
        <v>0</v>
      </c>
      <c r="U124" s="146"/>
      <c r="V124" s="145">
        <f>SUM(V121:V123)</f>
        <v>0</v>
      </c>
      <c r="W124" s="146"/>
      <c r="X124" s="145">
        <f>SUM(X121:X123)</f>
        <v>0</v>
      </c>
      <c r="Y124" s="146"/>
      <c r="Z124" s="145">
        <f>SUM(Z121:Z123)</f>
        <v>0</v>
      </c>
      <c r="AA124" s="146"/>
      <c r="AB124" s="145">
        <f>SUM(AB121:AB123)</f>
        <v>0</v>
      </c>
      <c r="AC124" s="146"/>
      <c r="AD124" s="145">
        <f>SUM(AD121:AD123)</f>
        <v>0</v>
      </c>
      <c r="AE124" s="146"/>
      <c r="AF124" s="145">
        <f>SUM(AF121:AF123)</f>
        <v>0</v>
      </c>
      <c r="AG124" s="146"/>
      <c r="AH124" s="145">
        <f>SUM(AH121:AH123)</f>
        <v>0</v>
      </c>
      <c r="AI124" s="116">
        <f>IF(AH$50=0,0,AH124/AH$50)</f>
        <v>0</v>
      </c>
      <c r="AJ124" s="122"/>
    </row>
    <row r="125" spans="2:36" s="113" customFormat="1" ht="6.75" customHeight="1" outlineLevel="1">
      <c r="B125" s="106"/>
      <c r="J125" s="147"/>
      <c r="K125" s="146"/>
      <c r="L125" s="147"/>
      <c r="M125" s="146"/>
      <c r="N125" s="147"/>
      <c r="O125" s="146"/>
      <c r="P125" s="147"/>
      <c r="Q125" s="146"/>
      <c r="R125" s="147"/>
      <c r="S125" s="146"/>
      <c r="T125" s="147"/>
      <c r="U125" s="146"/>
      <c r="V125" s="147"/>
      <c r="W125" s="146"/>
      <c r="X125" s="147"/>
      <c r="Y125" s="146"/>
      <c r="Z125" s="147"/>
      <c r="AA125" s="146"/>
      <c r="AB125" s="147"/>
      <c r="AC125" s="146"/>
      <c r="AD125" s="147"/>
      <c r="AE125" s="146"/>
      <c r="AF125" s="147"/>
      <c r="AG125" s="146"/>
      <c r="AH125" s="147"/>
      <c r="AI125" s="142"/>
      <c r="AJ125" s="122"/>
    </row>
    <row r="126" spans="2:36" s="113" customFormat="1" ht="9.75" customHeight="1" outlineLevel="1">
      <c r="B126" s="106" t="s">
        <v>198</v>
      </c>
      <c r="J126" s="147"/>
      <c r="K126" s="146"/>
      <c r="L126" s="147"/>
      <c r="M126" s="146"/>
      <c r="N126" s="147"/>
      <c r="O126" s="146"/>
      <c r="P126" s="147"/>
      <c r="Q126" s="146"/>
      <c r="R126" s="147"/>
      <c r="S126" s="146"/>
      <c r="T126" s="147"/>
      <c r="U126" s="146"/>
      <c r="V126" s="147"/>
      <c r="W126" s="146"/>
      <c r="X126" s="147"/>
      <c r="Y126" s="146"/>
      <c r="Z126" s="147"/>
      <c r="AA126" s="146"/>
      <c r="AB126" s="147"/>
      <c r="AC126" s="146"/>
      <c r="AD126" s="147"/>
      <c r="AE126" s="146"/>
      <c r="AF126" s="147"/>
      <c r="AG126" s="146"/>
      <c r="AH126" s="147"/>
      <c r="AI126" s="142"/>
      <c r="AJ126" s="122"/>
    </row>
    <row r="127" spans="2:36" outlineLevel="1">
      <c r="B127" s="110" t="s">
        <v>253</v>
      </c>
      <c r="D127" s="111">
        <v>56010</v>
      </c>
      <c r="E127" s="111" t="s">
        <v>26</v>
      </c>
      <c r="F127" s="112"/>
      <c r="G127" s="108"/>
      <c r="H127" s="113"/>
      <c r="I127" s="114"/>
      <c r="J127" s="115">
        <v>6387.5</v>
      </c>
      <c r="K127" s="114"/>
      <c r="L127" s="115">
        <v>6080.03</v>
      </c>
      <c r="M127" s="114"/>
      <c r="N127" s="115">
        <v>6265.67</v>
      </c>
      <c r="O127" s="114"/>
      <c r="P127" s="115">
        <v>6003.14</v>
      </c>
      <c r="Q127" s="114"/>
      <c r="R127" s="115">
        <v>6791.11</v>
      </c>
      <c r="S127" s="114"/>
      <c r="T127" s="115">
        <v>6528.46</v>
      </c>
      <c r="U127" s="114"/>
      <c r="V127" s="115">
        <v>5477.63</v>
      </c>
      <c r="W127" s="114"/>
      <c r="X127" s="115">
        <v>1800.63</v>
      </c>
      <c r="Y127" s="114"/>
      <c r="Z127" s="115">
        <v>750</v>
      </c>
      <c r="AA127" s="114"/>
      <c r="AB127" s="115">
        <v>750</v>
      </c>
      <c r="AC127" s="114"/>
      <c r="AD127" s="115">
        <v>750</v>
      </c>
      <c r="AE127" s="114"/>
      <c r="AF127" s="115">
        <v>750</v>
      </c>
      <c r="AG127" s="114"/>
      <c r="AH127" s="115">
        <f t="shared" ref="AH127:AH132" si="12">AF127+AD127+AB127+Z127+X127+V127+T127+R127+P127+N127+L127+J127</f>
        <v>48334.17</v>
      </c>
      <c r="AI127" s="116">
        <f t="shared" ref="AI127:AI132" si="13">IF(AH$50=0,0,AH127/AH$50)</f>
        <v>3.689956858941798E-2</v>
      </c>
      <c r="AJ127" s="117"/>
    </row>
    <row r="128" spans="2:36" outlineLevel="1">
      <c r="B128" s="110" t="s">
        <v>206</v>
      </c>
      <c r="D128" s="111">
        <v>56036</v>
      </c>
      <c r="E128" s="111" t="s">
        <v>37</v>
      </c>
      <c r="F128" s="112"/>
      <c r="G128" s="108"/>
      <c r="H128" s="113"/>
      <c r="I128" s="114"/>
      <c r="J128" s="115">
        <v>0</v>
      </c>
      <c r="K128" s="114"/>
      <c r="L128" s="115">
        <v>0</v>
      </c>
      <c r="M128" s="114"/>
      <c r="N128" s="115">
        <v>0</v>
      </c>
      <c r="O128" s="114"/>
      <c r="P128" s="115">
        <v>142.97</v>
      </c>
      <c r="Q128" s="114"/>
      <c r="R128" s="115">
        <v>0</v>
      </c>
      <c r="S128" s="114"/>
      <c r="T128" s="115">
        <v>0</v>
      </c>
      <c r="U128" s="114"/>
      <c r="V128" s="115">
        <v>0</v>
      </c>
      <c r="W128" s="114"/>
      <c r="X128" s="115">
        <v>0</v>
      </c>
      <c r="Y128" s="114"/>
      <c r="Z128" s="115">
        <v>0</v>
      </c>
      <c r="AA128" s="114"/>
      <c r="AB128" s="115">
        <v>0</v>
      </c>
      <c r="AC128" s="114"/>
      <c r="AD128" s="115">
        <v>0</v>
      </c>
      <c r="AE128" s="114"/>
      <c r="AF128" s="115">
        <v>0</v>
      </c>
      <c r="AG128" s="114"/>
      <c r="AH128" s="115">
        <f t="shared" si="12"/>
        <v>142.97</v>
      </c>
      <c r="AI128" s="116">
        <f t="shared" si="13"/>
        <v>1.0914703451469404E-4</v>
      </c>
      <c r="AJ128" s="117"/>
    </row>
    <row r="129" spans="2:36" outlineLevel="1">
      <c r="B129" s="110" t="s">
        <v>206</v>
      </c>
      <c r="D129" s="111">
        <v>56050</v>
      </c>
      <c r="E129" s="111" t="s">
        <v>171</v>
      </c>
      <c r="F129" s="112"/>
      <c r="G129" s="108"/>
      <c r="H129" s="113"/>
      <c r="I129" s="114"/>
      <c r="J129" s="115">
        <v>513.65</v>
      </c>
      <c r="K129" s="114"/>
      <c r="L129" s="115">
        <v>428.31</v>
      </c>
      <c r="M129" s="114"/>
      <c r="N129" s="115">
        <v>490.21</v>
      </c>
      <c r="O129" s="114"/>
      <c r="P129" s="115">
        <v>456.58</v>
      </c>
      <c r="Q129" s="114"/>
      <c r="R129" s="115">
        <v>494.08</v>
      </c>
      <c r="S129" s="114"/>
      <c r="T129" s="115">
        <v>468.49</v>
      </c>
      <c r="U129" s="114"/>
      <c r="V129" s="115">
        <v>416.86</v>
      </c>
      <c r="W129" s="114"/>
      <c r="X129" s="115">
        <v>65.09</v>
      </c>
      <c r="Y129" s="114"/>
      <c r="Z129" s="115">
        <v>0</v>
      </c>
      <c r="AA129" s="114"/>
      <c r="AB129" s="115">
        <v>0</v>
      </c>
      <c r="AC129" s="114"/>
      <c r="AD129" s="115">
        <v>0</v>
      </c>
      <c r="AE129" s="114"/>
      <c r="AF129" s="115">
        <v>0</v>
      </c>
      <c r="AG129" s="114"/>
      <c r="AH129" s="115">
        <f t="shared" si="12"/>
        <v>3333.27</v>
      </c>
      <c r="AI129" s="116">
        <f t="shared" si="13"/>
        <v>2.5447054328655958E-3</v>
      </c>
      <c r="AJ129" s="117"/>
    </row>
    <row r="130" spans="2:36" outlineLevel="1">
      <c r="B130" s="110" t="s">
        <v>206</v>
      </c>
      <c r="D130" s="111">
        <v>56060</v>
      </c>
      <c r="E130" s="111" t="s">
        <v>124</v>
      </c>
      <c r="F130" s="112"/>
      <c r="G130" s="108"/>
      <c r="H130" s="113"/>
      <c r="I130" s="114"/>
      <c r="J130" s="115">
        <v>747.08</v>
      </c>
      <c r="K130" s="114"/>
      <c r="L130" s="115">
        <v>747.08</v>
      </c>
      <c r="M130" s="114"/>
      <c r="N130" s="115">
        <v>747.08</v>
      </c>
      <c r="O130" s="114"/>
      <c r="P130" s="115">
        <v>754.74</v>
      </c>
      <c r="Q130" s="114"/>
      <c r="R130" s="115">
        <v>632.11</v>
      </c>
      <c r="S130" s="114"/>
      <c r="T130" s="115">
        <v>741.82</v>
      </c>
      <c r="U130" s="114"/>
      <c r="V130" s="115">
        <v>755.66</v>
      </c>
      <c r="W130" s="114"/>
      <c r="X130" s="115">
        <v>877.83</v>
      </c>
      <c r="Y130" s="114"/>
      <c r="Z130" s="115">
        <v>0</v>
      </c>
      <c r="AA130" s="114"/>
      <c r="AB130" s="115">
        <v>0</v>
      </c>
      <c r="AC130" s="114"/>
      <c r="AD130" s="115">
        <v>0</v>
      </c>
      <c r="AE130" s="114"/>
      <c r="AF130" s="115">
        <v>0</v>
      </c>
      <c r="AG130" s="114"/>
      <c r="AH130" s="115">
        <f t="shared" si="12"/>
        <v>6003.4</v>
      </c>
      <c r="AI130" s="116">
        <f t="shared" si="13"/>
        <v>4.5831524585963077E-3</v>
      </c>
      <c r="AJ130" s="117"/>
    </row>
    <row r="131" spans="2:36" outlineLevel="1">
      <c r="B131" s="110" t="s">
        <v>206</v>
      </c>
      <c r="D131" s="111">
        <v>56065</v>
      </c>
      <c r="E131" s="111" t="s">
        <v>31</v>
      </c>
      <c r="F131" s="112"/>
      <c r="G131" s="108"/>
      <c r="H131" s="113"/>
      <c r="I131" s="114"/>
      <c r="J131" s="115">
        <v>0</v>
      </c>
      <c r="K131" s="114"/>
      <c r="L131" s="115">
        <v>446.17</v>
      </c>
      <c r="M131" s="114"/>
      <c r="N131" s="115">
        <v>207.88</v>
      </c>
      <c r="O131" s="114"/>
      <c r="P131" s="115">
        <v>226.53</v>
      </c>
      <c r="Q131" s="114"/>
      <c r="R131" s="115">
        <v>234.47</v>
      </c>
      <c r="S131" s="114"/>
      <c r="T131" s="115">
        <v>306</v>
      </c>
      <c r="U131" s="114"/>
      <c r="V131" s="115">
        <v>180.48</v>
      </c>
      <c r="W131" s="114"/>
      <c r="X131" s="115">
        <v>0</v>
      </c>
      <c r="Y131" s="114"/>
      <c r="Z131" s="115">
        <v>0</v>
      </c>
      <c r="AA131" s="114"/>
      <c r="AB131" s="115">
        <v>0</v>
      </c>
      <c r="AC131" s="114"/>
      <c r="AD131" s="115">
        <v>0</v>
      </c>
      <c r="AE131" s="114"/>
      <c r="AF131" s="115">
        <v>0</v>
      </c>
      <c r="AG131" s="114"/>
      <c r="AH131" s="115">
        <f t="shared" si="12"/>
        <v>1601.5300000000002</v>
      </c>
      <c r="AI131" s="116">
        <f t="shared" si="13"/>
        <v>1.2226498579164717E-3</v>
      </c>
      <c r="AJ131" s="117"/>
    </row>
    <row r="132" spans="2:36" outlineLevel="1">
      <c r="B132" s="110" t="s">
        <v>206</v>
      </c>
      <c r="D132" s="111">
        <v>56115</v>
      </c>
      <c r="E132" s="111" t="s">
        <v>254</v>
      </c>
      <c r="F132" s="112"/>
      <c r="G132" s="108"/>
      <c r="H132" s="113"/>
      <c r="I132" s="114"/>
      <c r="J132" s="115">
        <v>153.76</v>
      </c>
      <c r="K132" s="114"/>
      <c r="L132" s="115">
        <v>158.56</v>
      </c>
      <c r="M132" s="114"/>
      <c r="N132" s="115">
        <v>78.8</v>
      </c>
      <c r="O132" s="114"/>
      <c r="P132" s="115">
        <v>157.6</v>
      </c>
      <c r="Q132" s="114"/>
      <c r="R132" s="115">
        <v>236.4</v>
      </c>
      <c r="S132" s="114"/>
      <c r="T132" s="115">
        <v>157.6</v>
      </c>
      <c r="U132" s="114"/>
      <c r="V132" s="115">
        <v>157.6</v>
      </c>
      <c r="W132" s="114"/>
      <c r="X132" s="115">
        <v>78.8</v>
      </c>
      <c r="Y132" s="114"/>
      <c r="Z132" s="115">
        <v>0</v>
      </c>
      <c r="AA132" s="114"/>
      <c r="AB132" s="115">
        <v>0</v>
      </c>
      <c r="AC132" s="114"/>
      <c r="AD132" s="115">
        <v>0</v>
      </c>
      <c r="AE132" s="114"/>
      <c r="AF132" s="115">
        <v>0</v>
      </c>
      <c r="AG132" s="114"/>
      <c r="AH132" s="115">
        <f t="shared" si="12"/>
        <v>1179.1199999999999</v>
      </c>
      <c r="AI132" s="116">
        <f t="shared" si="13"/>
        <v>9.0017102424960499E-4</v>
      </c>
      <c r="AJ132" s="117"/>
    </row>
    <row r="133" spans="2:36" s="113" customFormat="1" ht="5.0999999999999996" customHeight="1" outlineLevel="1">
      <c r="B133" s="106" t="s">
        <v>198</v>
      </c>
      <c r="D133" s="112"/>
      <c r="E133" s="112"/>
      <c r="F133" s="112"/>
      <c r="G133" s="112"/>
      <c r="J133" s="148"/>
      <c r="K133" s="146"/>
      <c r="L133" s="148"/>
      <c r="M133" s="146"/>
      <c r="N133" s="148"/>
      <c r="O133" s="146"/>
      <c r="P133" s="148"/>
      <c r="Q133" s="146"/>
      <c r="R133" s="148"/>
      <c r="S133" s="146"/>
      <c r="T133" s="148"/>
      <c r="U133" s="146"/>
      <c r="V133" s="148"/>
      <c r="W133" s="146"/>
      <c r="X133" s="148"/>
      <c r="Y133" s="146"/>
      <c r="Z133" s="148"/>
      <c r="AA133" s="146"/>
      <c r="AB133" s="148"/>
      <c r="AC133" s="146"/>
      <c r="AD133" s="148"/>
      <c r="AE133" s="146"/>
      <c r="AF133" s="148"/>
      <c r="AG133" s="146"/>
      <c r="AH133" s="148"/>
      <c r="AI133" s="142"/>
      <c r="AJ133" s="122"/>
    </row>
    <row r="134" spans="2:36" s="113" customFormat="1" ht="15">
      <c r="B134" s="106" t="s">
        <v>198</v>
      </c>
      <c r="F134" s="112" t="s">
        <v>255</v>
      </c>
      <c r="J134" s="145">
        <f>SUM(J126:J133)</f>
        <v>7801.99</v>
      </c>
      <c r="K134" s="146"/>
      <c r="L134" s="145">
        <f>SUM(L126:L133)</f>
        <v>7860.1500000000005</v>
      </c>
      <c r="M134" s="146"/>
      <c r="N134" s="145">
        <f>SUM(N126:N133)</f>
        <v>7789.64</v>
      </c>
      <c r="O134" s="146"/>
      <c r="P134" s="145">
        <f>SUM(P126:P133)</f>
        <v>7741.56</v>
      </c>
      <c r="Q134" s="146"/>
      <c r="R134" s="145">
        <f>SUM(R126:R133)</f>
        <v>8388.17</v>
      </c>
      <c r="S134" s="146"/>
      <c r="T134" s="145">
        <f>SUM(T126:T133)</f>
        <v>8202.369999999999</v>
      </c>
      <c r="U134" s="146"/>
      <c r="V134" s="145">
        <f>SUM(V126:V133)</f>
        <v>6988.23</v>
      </c>
      <c r="W134" s="146"/>
      <c r="X134" s="145">
        <f>SUM(X126:X133)</f>
        <v>2822.3500000000004</v>
      </c>
      <c r="Y134" s="146"/>
      <c r="Z134" s="145">
        <f>SUM(Z126:Z133)</f>
        <v>750</v>
      </c>
      <c r="AA134" s="146"/>
      <c r="AB134" s="145">
        <f>SUM(AB126:AB133)</f>
        <v>750</v>
      </c>
      <c r="AC134" s="146"/>
      <c r="AD134" s="145">
        <f>SUM(AD126:AD133)</f>
        <v>750</v>
      </c>
      <c r="AE134" s="146"/>
      <c r="AF134" s="145">
        <f>SUM(AF126:AF133)</f>
        <v>750</v>
      </c>
      <c r="AG134" s="146"/>
      <c r="AH134" s="145">
        <f>SUM(AH126:AH133)</f>
        <v>60594.46</v>
      </c>
      <c r="AI134" s="116">
        <f>IF(AH$50=0,0,AH134/AH$50)</f>
        <v>4.625939439756066E-2</v>
      </c>
      <c r="AJ134" s="122"/>
    </row>
    <row r="135" spans="2:36" s="113" customFormat="1" ht="9" customHeight="1" outlineLevel="1">
      <c r="B135" s="106"/>
      <c r="J135" s="147"/>
      <c r="K135" s="146"/>
      <c r="L135" s="147"/>
      <c r="M135" s="146"/>
      <c r="N135" s="147"/>
      <c r="O135" s="146"/>
      <c r="P135" s="147"/>
      <c r="Q135" s="146"/>
      <c r="R135" s="147"/>
      <c r="S135" s="146"/>
      <c r="T135" s="147"/>
      <c r="U135" s="146"/>
      <c r="V135" s="147"/>
      <c r="W135" s="146"/>
      <c r="X135" s="147"/>
      <c r="Y135" s="146"/>
      <c r="Z135" s="147"/>
      <c r="AA135" s="146"/>
      <c r="AB135" s="147"/>
      <c r="AC135" s="146"/>
      <c r="AD135" s="147"/>
      <c r="AE135" s="146"/>
      <c r="AF135" s="147"/>
      <c r="AG135" s="146"/>
      <c r="AH135" s="147"/>
      <c r="AI135" s="142"/>
      <c r="AJ135" s="122"/>
    </row>
    <row r="136" spans="2:36" s="113" customFormat="1" ht="9" customHeight="1" outlineLevel="1">
      <c r="B136" s="106" t="s">
        <v>198</v>
      </c>
      <c r="J136" s="147"/>
      <c r="K136" s="146"/>
      <c r="L136" s="147"/>
      <c r="M136" s="146"/>
      <c r="N136" s="147"/>
      <c r="O136" s="146"/>
      <c r="P136" s="147"/>
      <c r="Q136" s="146"/>
      <c r="R136" s="147"/>
      <c r="S136" s="146"/>
      <c r="T136" s="147"/>
      <c r="U136" s="146"/>
      <c r="V136" s="147"/>
      <c r="W136" s="146"/>
      <c r="X136" s="147"/>
      <c r="Y136" s="146"/>
      <c r="Z136" s="147"/>
      <c r="AA136" s="146"/>
      <c r="AB136" s="147"/>
      <c r="AC136" s="146"/>
      <c r="AD136" s="147"/>
      <c r="AE136" s="146"/>
      <c r="AF136" s="147"/>
      <c r="AG136" s="146"/>
      <c r="AH136" s="147"/>
      <c r="AI136" s="142"/>
      <c r="AJ136" s="122"/>
    </row>
    <row r="137" spans="2:36" outlineLevel="1">
      <c r="B137" s="110" t="s">
        <v>256</v>
      </c>
      <c r="D137" s="111">
        <v>57125</v>
      </c>
      <c r="E137" s="111" t="s">
        <v>40</v>
      </c>
      <c r="F137" s="112"/>
      <c r="G137" s="108"/>
      <c r="H137" s="113"/>
      <c r="I137" s="114"/>
      <c r="J137" s="115">
        <v>170.95</v>
      </c>
      <c r="K137" s="114"/>
      <c r="L137" s="115">
        <v>0</v>
      </c>
      <c r="M137" s="114"/>
      <c r="N137" s="115">
        <v>0</v>
      </c>
      <c r="O137" s="114"/>
      <c r="P137" s="115">
        <v>0</v>
      </c>
      <c r="Q137" s="114"/>
      <c r="R137" s="115">
        <v>0</v>
      </c>
      <c r="S137" s="114"/>
      <c r="T137" s="115">
        <v>10</v>
      </c>
      <c r="U137" s="114"/>
      <c r="V137" s="115">
        <v>0</v>
      </c>
      <c r="W137" s="114"/>
      <c r="X137" s="115">
        <v>0</v>
      </c>
      <c r="Y137" s="114"/>
      <c r="Z137" s="115">
        <v>0</v>
      </c>
      <c r="AA137" s="114"/>
      <c r="AB137" s="115">
        <v>0</v>
      </c>
      <c r="AC137" s="114"/>
      <c r="AD137" s="115">
        <v>51.85</v>
      </c>
      <c r="AE137" s="114"/>
      <c r="AF137" s="115">
        <v>0</v>
      </c>
      <c r="AG137" s="114"/>
      <c r="AH137" s="115">
        <f t="shared" ref="AH137:AH145" si="14">AF137+AD137+AB137+Z137+X137+V137+T137+R137+P137+N137+L137+J137</f>
        <v>232.79999999999998</v>
      </c>
      <c r="AI137" s="116">
        <f t="shared" ref="AI137:AI145" si="15">IF(AH$50=0,0,AH137/AH$50)</f>
        <v>1.7772560421781331E-4</v>
      </c>
      <c r="AJ137" s="117"/>
    </row>
    <row r="138" spans="2:36" outlineLevel="1">
      <c r="B138" s="110" t="s">
        <v>206</v>
      </c>
      <c r="D138" s="111">
        <v>57147</v>
      </c>
      <c r="E138" s="111" t="s">
        <v>257</v>
      </c>
      <c r="F138" s="112"/>
      <c r="G138" s="108"/>
      <c r="H138" s="113"/>
      <c r="I138" s="114"/>
      <c r="J138" s="115">
        <v>0</v>
      </c>
      <c r="K138" s="114"/>
      <c r="L138" s="115">
        <v>0</v>
      </c>
      <c r="M138" s="114"/>
      <c r="N138" s="115">
        <v>0</v>
      </c>
      <c r="O138" s="114"/>
      <c r="P138" s="115">
        <v>0</v>
      </c>
      <c r="Q138" s="114"/>
      <c r="R138" s="115">
        <v>0</v>
      </c>
      <c r="S138" s="114"/>
      <c r="T138" s="115">
        <v>263</v>
      </c>
      <c r="U138" s="114"/>
      <c r="V138" s="115">
        <v>129.25</v>
      </c>
      <c r="W138" s="114"/>
      <c r="X138" s="115">
        <v>127.1</v>
      </c>
      <c r="Y138" s="114"/>
      <c r="Z138" s="115">
        <v>129.25</v>
      </c>
      <c r="AA138" s="114"/>
      <c r="AB138" s="115">
        <v>129.25</v>
      </c>
      <c r="AC138" s="114"/>
      <c r="AD138" s="115">
        <v>0</v>
      </c>
      <c r="AE138" s="114"/>
      <c r="AF138" s="115">
        <v>0</v>
      </c>
      <c r="AG138" s="114"/>
      <c r="AH138" s="115">
        <f t="shared" si="14"/>
        <v>777.85</v>
      </c>
      <c r="AI138" s="116">
        <f t="shared" si="15"/>
        <v>5.9383101907571352E-4</v>
      </c>
      <c r="AJ138" s="117"/>
    </row>
    <row r="139" spans="2:36" outlineLevel="1">
      <c r="B139" s="110" t="s">
        <v>206</v>
      </c>
      <c r="D139" s="111">
        <v>57165</v>
      </c>
      <c r="E139" s="111" t="s">
        <v>50</v>
      </c>
      <c r="F139" s="112"/>
      <c r="G139" s="108"/>
      <c r="H139" s="113"/>
      <c r="I139" s="114"/>
      <c r="J139" s="115">
        <v>185.47</v>
      </c>
      <c r="K139" s="114"/>
      <c r="L139" s="115">
        <v>197.72</v>
      </c>
      <c r="M139" s="114"/>
      <c r="N139" s="115">
        <v>197.72</v>
      </c>
      <c r="O139" s="114"/>
      <c r="P139" s="115">
        <v>197.55</v>
      </c>
      <c r="Q139" s="114"/>
      <c r="R139" s="115">
        <v>197.72</v>
      </c>
      <c r="S139" s="114"/>
      <c r="T139" s="115">
        <v>197.72</v>
      </c>
      <c r="U139" s="114"/>
      <c r="V139" s="115">
        <v>197.72</v>
      </c>
      <c r="W139" s="114"/>
      <c r="X139" s="115">
        <v>197.72</v>
      </c>
      <c r="Y139" s="114"/>
      <c r="Z139" s="115">
        <v>197.72</v>
      </c>
      <c r="AA139" s="114"/>
      <c r="AB139" s="115">
        <v>197.72</v>
      </c>
      <c r="AC139" s="114"/>
      <c r="AD139" s="115">
        <v>185.47</v>
      </c>
      <c r="AE139" s="114"/>
      <c r="AF139" s="115">
        <v>198.23</v>
      </c>
      <c r="AG139" s="114"/>
      <c r="AH139" s="115">
        <f t="shared" si="14"/>
        <v>2348.4799999999996</v>
      </c>
      <c r="AI139" s="116">
        <f t="shared" si="15"/>
        <v>1.792891009422037E-3</v>
      </c>
      <c r="AJ139" s="117"/>
    </row>
    <row r="140" spans="2:36" outlineLevel="1">
      <c r="B140" s="110" t="s">
        <v>206</v>
      </c>
      <c r="D140" s="111">
        <v>57170</v>
      </c>
      <c r="E140" s="111" t="s">
        <v>258</v>
      </c>
      <c r="F140" s="112"/>
      <c r="G140" s="108"/>
      <c r="H140" s="113"/>
      <c r="I140" s="114"/>
      <c r="J140" s="115">
        <v>850</v>
      </c>
      <c r="K140" s="114"/>
      <c r="L140" s="115">
        <v>850</v>
      </c>
      <c r="M140" s="114"/>
      <c r="N140" s="115">
        <v>850</v>
      </c>
      <c r="O140" s="114"/>
      <c r="P140" s="115">
        <v>850</v>
      </c>
      <c r="Q140" s="114"/>
      <c r="R140" s="115">
        <v>850</v>
      </c>
      <c r="S140" s="114"/>
      <c r="T140" s="115">
        <v>850</v>
      </c>
      <c r="U140" s="114"/>
      <c r="V140" s="115">
        <v>850</v>
      </c>
      <c r="W140" s="114"/>
      <c r="X140" s="115">
        <v>850</v>
      </c>
      <c r="Y140" s="114"/>
      <c r="Z140" s="115">
        <v>850</v>
      </c>
      <c r="AA140" s="114"/>
      <c r="AB140" s="115">
        <v>850</v>
      </c>
      <c r="AC140" s="114"/>
      <c r="AD140" s="115">
        <v>850</v>
      </c>
      <c r="AE140" s="114"/>
      <c r="AF140" s="115">
        <v>850</v>
      </c>
      <c r="AG140" s="114"/>
      <c r="AH140" s="115">
        <f t="shared" si="14"/>
        <v>10200</v>
      </c>
      <c r="AI140" s="116">
        <f t="shared" si="15"/>
        <v>7.7869465765536766E-3</v>
      </c>
      <c r="AJ140" s="117"/>
    </row>
    <row r="141" spans="2:36" outlineLevel="1">
      <c r="B141" s="110" t="s">
        <v>206</v>
      </c>
      <c r="D141" s="111">
        <v>57254</v>
      </c>
      <c r="E141" s="111" t="s">
        <v>259</v>
      </c>
      <c r="F141" s="112"/>
      <c r="G141" s="108"/>
      <c r="H141" s="113"/>
      <c r="I141" s="114"/>
      <c r="J141" s="115">
        <v>438.47</v>
      </c>
      <c r="K141" s="114"/>
      <c r="L141" s="115">
        <v>438.47</v>
      </c>
      <c r="M141" s="114"/>
      <c r="N141" s="115">
        <v>438.47</v>
      </c>
      <c r="O141" s="114"/>
      <c r="P141" s="115">
        <v>438.47</v>
      </c>
      <c r="Q141" s="114"/>
      <c r="R141" s="115">
        <v>511.82</v>
      </c>
      <c r="S141" s="114"/>
      <c r="T141" s="115">
        <v>511.82</v>
      </c>
      <c r="U141" s="114"/>
      <c r="V141" s="115">
        <v>839.16</v>
      </c>
      <c r="W141" s="114"/>
      <c r="X141" s="115">
        <v>642.58000000000004</v>
      </c>
      <c r="Y141" s="114"/>
      <c r="Z141" s="115">
        <v>496.38</v>
      </c>
      <c r="AA141" s="114"/>
      <c r="AB141" s="115">
        <v>394.13</v>
      </c>
      <c r="AC141" s="114"/>
      <c r="AD141" s="115">
        <v>398.88</v>
      </c>
      <c r="AE141" s="114"/>
      <c r="AF141" s="115">
        <v>177.43</v>
      </c>
      <c r="AG141" s="114"/>
      <c r="AH141" s="115">
        <f t="shared" si="14"/>
        <v>5726.0800000000008</v>
      </c>
      <c r="AI141" s="116">
        <f t="shared" si="15"/>
        <v>4.3714391228502434E-3</v>
      </c>
      <c r="AJ141" s="117"/>
    </row>
    <row r="142" spans="2:36" outlineLevel="1">
      <c r="B142" s="110" t="s">
        <v>206</v>
      </c>
      <c r="D142" s="111">
        <v>57275</v>
      </c>
      <c r="E142" s="111" t="s">
        <v>260</v>
      </c>
      <c r="F142" s="112"/>
      <c r="G142" s="108"/>
      <c r="H142" s="113"/>
      <c r="I142" s="114"/>
      <c r="J142" s="115">
        <v>0</v>
      </c>
      <c r="K142" s="114"/>
      <c r="L142" s="115">
        <v>53.62</v>
      </c>
      <c r="M142" s="114"/>
      <c r="N142" s="115">
        <v>0</v>
      </c>
      <c r="O142" s="114"/>
      <c r="P142" s="115">
        <v>0</v>
      </c>
      <c r="Q142" s="114"/>
      <c r="R142" s="115">
        <v>0</v>
      </c>
      <c r="S142" s="114"/>
      <c r="T142" s="115">
        <v>0</v>
      </c>
      <c r="U142" s="114"/>
      <c r="V142" s="115">
        <v>0</v>
      </c>
      <c r="W142" s="114"/>
      <c r="X142" s="115">
        <v>0</v>
      </c>
      <c r="Y142" s="114"/>
      <c r="Z142" s="115">
        <v>180.64</v>
      </c>
      <c r="AA142" s="114"/>
      <c r="AB142" s="115">
        <v>180.64</v>
      </c>
      <c r="AC142" s="114"/>
      <c r="AD142" s="115">
        <v>180.64</v>
      </c>
      <c r="AE142" s="114"/>
      <c r="AF142" s="115">
        <v>180.63</v>
      </c>
      <c r="AG142" s="114"/>
      <c r="AH142" s="115">
        <f t="shared" si="14"/>
        <v>776.17</v>
      </c>
      <c r="AI142" s="116">
        <f t="shared" si="15"/>
        <v>5.9254846316898692E-4</v>
      </c>
      <c r="AJ142" s="117"/>
    </row>
    <row r="143" spans="2:36" outlineLevel="1">
      <c r="B143" s="110" t="s">
        <v>206</v>
      </c>
      <c r="D143" s="111">
        <v>57280</v>
      </c>
      <c r="E143" s="111" t="s">
        <v>164</v>
      </c>
      <c r="F143" s="112"/>
      <c r="G143" s="108"/>
      <c r="H143" s="113"/>
      <c r="I143" s="114"/>
      <c r="J143" s="115">
        <v>617.89</v>
      </c>
      <c r="K143" s="114"/>
      <c r="L143" s="115">
        <v>241.5</v>
      </c>
      <c r="M143" s="114"/>
      <c r="N143" s="115">
        <v>0</v>
      </c>
      <c r="O143" s="114"/>
      <c r="P143" s="115">
        <v>0</v>
      </c>
      <c r="Q143" s="114"/>
      <c r="R143" s="115">
        <v>0</v>
      </c>
      <c r="S143" s="114"/>
      <c r="T143" s="115">
        <v>241.5</v>
      </c>
      <c r="U143" s="114"/>
      <c r="V143" s="115">
        <v>592.5</v>
      </c>
      <c r="W143" s="114"/>
      <c r="X143" s="115">
        <v>61.78</v>
      </c>
      <c r="Y143" s="114"/>
      <c r="Z143" s="115">
        <v>1.45</v>
      </c>
      <c r="AA143" s="114"/>
      <c r="AB143" s="115">
        <v>58.79</v>
      </c>
      <c r="AC143" s="114"/>
      <c r="AD143" s="115">
        <v>0</v>
      </c>
      <c r="AE143" s="114"/>
      <c r="AF143" s="115">
        <v>55</v>
      </c>
      <c r="AG143" s="114"/>
      <c r="AH143" s="115">
        <f t="shared" si="14"/>
        <v>1870.4099999999999</v>
      </c>
      <c r="AI143" s="116">
        <f t="shared" si="15"/>
        <v>1.427919877083506E-3</v>
      </c>
      <c r="AJ143" s="117"/>
    </row>
    <row r="144" spans="2:36" outlineLevel="1">
      <c r="B144" s="110" t="s">
        <v>206</v>
      </c>
      <c r="D144" s="111">
        <v>57357</v>
      </c>
      <c r="E144" s="111" t="s">
        <v>151</v>
      </c>
      <c r="F144" s="112"/>
      <c r="G144" s="108"/>
      <c r="H144" s="113"/>
      <c r="I144" s="114"/>
      <c r="J144" s="115">
        <v>280</v>
      </c>
      <c r="K144" s="114"/>
      <c r="L144" s="115">
        <v>20</v>
      </c>
      <c r="M144" s="114"/>
      <c r="N144" s="115">
        <v>0</v>
      </c>
      <c r="O144" s="114"/>
      <c r="P144" s="115">
        <v>40</v>
      </c>
      <c r="Q144" s="114"/>
      <c r="R144" s="115">
        <v>100</v>
      </c>
      <c r="S144" s="114"/>
      <c r="T144" s="115">
        <v>90</v>
      </c>
      <c r="U144" s="114"/>
      <c r="V144" s="115">
        <v>20</v>
      </c>
      <c r="W144" s="114"/>
      <c r="X144" s="115">
        <v>0</v>
      </c>
      <c r="Y144" s="114"/>
      <c r="Z144" s="115">
        <v>200.33</v>
      </c>
      <c r="AA144" s="114"/>
      <c r="AB144" s="115">
        <v>60</v>
      </c>
      <c r="AC144" s="114"/>
      <c r="AD144" s="115">
        <v>200</v>
      </c>
      <c r="AE144" s="114"/>
      <c r="AF144" s="115">
        <v>40</v>
      </c>
      <c r="AG144" s="114"/>
      <c r="AH144" s="115">
        <f t="shared" si="14"/>
        <v>1050.33</v>
      </c>
      <c r="AI144" s="116">
        <f t="shared" si="15"/>
        <v>8.0184937232859047E-4</v>
      </c>
      <c r="AJ144" s="117"/>
    </row>
    <row r="145" spans="2:36" outlineLevel="1">
      <c r="B145" s="110" t="s">
        <v>206</v>
      </c>
      <c r="D145" s="111">
        <v>57370</v>
      </c>
      <c r="E145" s="111" t="s">
        <v>261</v>
      </c>
      <c r="F145" s="112"/>
      <c r="G145" s="108"/>
      <c r="H145" s="113"/>
      <c r="I145" s="114"/>
      <c r="J145" s="115">
        <v>4.12</v>
      </c>
      <c r="K145" s="114"/>
      <c r="L145" s="115">
        <v>4.12</v>
      </c>
      <c r="M145" s="114"/>
      <c r="N145" s="115">
        <v>4.12</v>
      </c>
      <c r="O145" s="114"/>
      <c r="P145" s="115">
        <v>4.12</v>
      </c>
      <c r="Q145" s="114"/>
      <c r="R145" s="115">
        <v>94.12</v>
      </c>
      <c r="S145" s="114"/>
      <c r="T145" s="115">
        <v>1.77</v>
      </c>
      <c r="U145" s="114"/>
      <c r="V145" s="115">
        <v>3.42</v>
      </c>
      <c r="W145" s="114"/>
      <c r="X145" s="115">
        <v>3.42</v>
      </c>
      <c r="Y145" s="114"/>
      <c r="Z145" s="115">
        <v>3.42</v>
      </c>
      <c r="AA145" s="114"/>
      <c r="AB145" s="115">
        <v>3.42</v>
      </c>
      <c r="AC145" s="114"/>
      <c r="AD145" s="115">
        <v>3.42</v>
      </c>
      <c r="AE145" s="114"/>
      <c r="AF145" s="115">
        <v>3.42</v>
      </c>
      <c r="AG145" s="114"/>
      <c r="AH145" s="115">
        <f t="shared" si="14"/>
        <v>132.89000000000001</v>
      </c>
      <c r="AI145" s="116">
        <f t="shared" si="15"/>
        <v>1.0145169907433512E-4</v>
      </c>
      <c r="AJ145" s="117"/>
    </row>
    <row r="146" spans="2:36" s="113" customFormat="1" ht="5.0999999999999996" customHeight="1" outlineLevel="1">
      <c r="B146" s="143" t="s">
        <v>198</v>
      </c>
      <c r="D146" s="112"/>
      <c r="E146" s="112"/>
      <c r="F146" s="112"/>
      <c r="G146" s="112"/>
      <c r="J146" s="148"/>
      <c r="K146" s="146"/>
      <c r="L146" s="148"/>
      <c r="M146" s="146"/>
      <c r="N146" s="148"/>
      <c r="O146" s="146"/>
      <c r="P146" s="148"/>
      <c r="Q146" s="146"/>
      <c r="R146" s="148"/>
      <c r="S146" s="146"/>
      <c r="T146" s="148"/>
      <c r="U146" s="146"/>
      <c r="V146" s="148"/>
      <c r="W146" s="146"/>
      <c r="X146" s="148"/>
      <c r="Y146" s="146"/>
      <c r="Z146" s="148"/>
      <c r="AA146" s="146"/>
      <c r="AB146" s="148"/>
      <c r="AC146" s="146"/>
      <c r="AD146" s="148"/>
      <c r="AE146" s="146"/>
      <c r="AF146" s="148"/>
      <c r="AG146" s="146"/>
      <c r="AH146" s="148"/>
      <c r="AI146" s="142"/>
      <c r="AJ146" s="122"/>
    </row>
    <row r="147" spans="2:36" s="113" customFormat="1" ht="15">
      <c r="B147" s="143" t="s">
        <v>198</v>
      </c>
      <c r="F147" s="112" t="s">
        <v>262</v>
      </c>
      <c r="J147" s="145">
        <f>SUM(J136:J146)</f>
        <v>2546.9</v>
      </c>
      <c r="K147" s="146"/>
      <c r="L147" s="145">
        <f>SUM(L136:L146)</f>
        <v>1805.4299999999998</v>
      </c>
      <c r="M147" s="146"/>
      <c r="N147" s="145">
        <f>SUM(N136:N146)</f>
        <v>1490.31</v>
      </c>
      <c r="O147" s="146"/>
      <c r="P147" s="145">
        <f>SUM(P136:P146)</f>
        <v>1530.1399999999999</v>
      </c>
      <c r="Q147" s="146"/>
      <c r="R147" s="145">
        <f>SUM(R136:R146)</f>
        <v>1753.6599999999999</v>
      </c>
      <c r="S147" s="146"/>
      <c r="T147" s="145">
        <f>SUM(T136:T146)</f>
        <v>2165.81</v>
      </c>
      <c r="U147" s="146"/>
      <c r="V147" s="145">
        <f>SUM(V136:V146)</f>
        <v>2632.05</v>
      </c>
      <c r="W147" s="146"/>
      <c r="X147" s="145">
        <f>SUM(X136:X146)</f>
        <v>1882.6000000000001</v>
      </c>
      <c r="Y147" s="146"/>
      <c r="Z147" s="145">
        <f>SUM(Z136:Z146)</f>
        <v>2059.19</v>
      </c>
      <c r="AA147" s="146"/>
      <c r="AB147" s="145">
        <f>SUM(AB136:AB146)</f>
        <v>1873.9499999999998</v>
      </c>
      <c r="AC147" s="146"/>
      <c r="AD147" s="145">
        <f>SUM(AD136:AD146)</f>
        <v>1870.2599999999998</v>
      </c>
      <c r="AE147" s="146"/>
      <c r="AF147" s="145">
        <f>SUM(AF136:AF146)</f>
        <v>1504.71</v>
      </c>
      <c r="AG147" s="146"/>
      <c r="AH147" s="145">
        <f>SUM(AH136:AH146)</f>
        <v>23115.009999999995</v>
      </c>
      <c r="AI147" s="116">
        <f>IF(AH$50=0,0,AH147/AH$50)</f>
        <v>1.76466027437749E-2</v>
      </c>
      <c r="AJ147" s="122"/>
    </row>
    <row r="148" spans="2:36" s="113" customFormat="1" ht="15" hidden="1" outlineLevel="1">
      <c r="B148" s="143"/>
      <c r="J148" s="147"/>
      <c r="K148" s="146"/>
      <c r="L148" s="147"/>
      <c r="M148" s="146"/>
      <c r="N148" s="147"/>
      <c r="O148" s="146"/>
      <c r="P148" s="147"/>
      <c r="Q148" s="146"/>
      <c r="R148" s="147"/>
      <c r="S148" s="146"/>
      <c r="T148" s="147"/>
      <c r="U148" s="146"/>
      <c r="V148" s="147"/>
      <c r="W148" s="146"/>
      <c r="X148" s="147"/>
      <c r="Y148" s="146"/>
      <c r="Z148" s="147"/>
      <c r="AA148" s="146"/>
      <c r="AB148" s="147"/>
      <c r="AC148" s="146"/>
      <c r="AD148" s="147"/>
      <c r="AE148" s="146"/>
      <c r="AF148" s="147"/>
      <c r="AG148" s="146"/>
      <c r="AH148" s="147"/>
      <c r="AI148" s="142"/>
      <c r="AJ148" s="122"/>
    </row>
    <row r="149" spans="2:36" s="113" customFormat="1" ht="15" hidden="1" outlineLevel="1">
      <c r="B149" s="143"/>
      <c r="D149" s="154"/>
      <c r="E149" s="154"/>
      <c r="F149" s="154"/>
      <c r="G149" s="154"/>
      <c r="H149" s="154"/>
      <c r="I149" s="154"/>
      <c r="J149" s="155"/>
      <c r="K149" s="156"/>
      <c r="L149" s="155"/>
      <c r="M149" s="156"/>
      <c r="N149" s="155"/>
      <c r="O149" s="156"/>
      <c r="P149" s="155"/>
      <c r="Q149" s="156"/>
      <c r="R149" s="155"/>
      <c r="S149" s="156"/>
      <c r="T149" s="155"/>
      <c r="U149" s="156"/>
      <c r="V149" s="155"/>
      <c r="W149" s="156"/>
      <c r="X149" s="155"/>
      <c r="Y149" s="156"/>
      <c r="Z149" s="155"/>
      <c r="AA149" s="156"/>
      <c r="AB149" s="155"/>
      <c r="AC149" s="156"/>
      <c r="AD149" s="155"/>
      <c r="AE149" s="156"/>
      <c r="AF149" s="155"/>
      <c r="AG149" s="156"/>
      <c r="AH149" s="155"/>
      <c r="AI149" s="154"/>
      <c r="AJ149" s="154"/>
    </row>
    <row r="150" spans="2:36" s="113" customFormat="1" ht="4.5" hidden="1" customHeight="1" outlineLevel="1">
      <c r="B150" s="143"/>
      <c r="D150" s="149"/>
      <c r="J150" s="148"/>
      <c r="K150" s="146"/>
      <c r="L150" s="148"/>
      <c r="M150" s="146"/>
      <c r="N150" s="148"/>
      <c r="O150" s="146"/>
      <c r="P150" s="148"/>
      <c r="Q150" s="146"/>
      <c r="R150" s="148"/>
      <c r="S150" s="146"/>
      <c r="T150" s="148"/>
      <c r="U150" s="146"/>
      <c r="V150" s="148"/>
      <c r="W150" s="146"/>
      <c r="X150" s="148"/>
      <c r="Y150" s="146"/>
      <c r="Z150" s="148"/>
      <c r="AA150" s="146"/>
      <c r="AB150" s="148"/>
      <c r="AC150" s="146"/>
      <c r="AD150" s="148"/>
      <c r="AE150" s="146"/>
      <c r="AF150" s="148"/>
      <c r="AG150" s="146"/>
      <c r="AH150" s="148"/>
      <c r="AI150" s="142"/>
      <c r="AJ150" s="122"/>
    </row>
    <row r="151" spans="2:36" s="113" customFormat="1" ht="15" hidden="1" collapsed="1">
      <c r="B151" s="143"/>
      <c r="F151" s="113" t="s">
        <v>263</v>
      </c>
      <c r="J151" s="145">
        <f>SUM(J149:J150)</f>
        <v>0</v>
      </c>
      <c r="K151" s="146"/>
      <c r="L151" s="145">
        <f>SUM(L149:L150)</f>
        <v>0</v>
      </c>
      <c r="M151" s="146"/>
      <c r="N151" s="145">
        <f>SUM(N149:N150)</f>
        <v>0</v>
      </c>
      <c r="O151" s="146"/>
      <c r="P151" s="145">
        <f>SUM(P149:P150)</f>
        <v>0</v>
      </c>
      <c r="Q151" s="146"/>
      <c r="R151" s="145">
        <f>SUM(R149:R150)</f>
        <v>0</v>
      </c>
      <c r="S151" s="146"/>
      <c r="T151" s="145">
        <f>SUM(T149:T150)</f>
        <v>0</v>
      </c>
      <c r="U151" s="146"/>
      <c r="V151" s="145">
        <f>SUM(V149:V150)</f>
        <v>0</v>
      </c>
      <c r="W151" s="146"/>
      <c r="X151" s="145">
        <f>SUM(X149:X150)</f>
        <v>0</v>
      </c>
      <c r="Y151" s="146"/>
      <c r="Z151" s="145">
        <f>SUM(Z149:Z150)</f>
        <v>0</v>
      </c>
      <c r="AA151" s="146"/>
      <c r="AB151" s="145">
        <f>SUM(AB149:AB150)</f>
        <v>0</v>
      </c>
      <c r="AC151" s="146"/>
      <c r="AD151" s="145">
        <f>SUM(AD149:AD150)</f>
        <v>0</v>
      </c>
      <c r="AE151" s="146"/>
      <c r="AF151" s="145">
        <f>SUM(AF149:AF150)</f>
        <v>0</v>
      </c>
      <c r="AG151" s="146"/>
      <c r="AH151" s="145">
        <f>SUM(AH149:AH150)</f>
        <v>0</v>
      </c>
      <c r="AI151" s="116">
        <f>IF(AH$50=0,0,AH151/AH$50)</f>
        <v>0</v>
      </c>
      <c r="AJ151" s="122"/>
    </row>
    <row r="152" spans="2:36" s="113" customFormat="1" ht="6" customHeight="1" outlineLevel="1">
      <c r="B152" s="143"/>
      <c r="J152" s="147"/>
      <c r="K152" s="146"/>
      <c r="L152" s="147"/>
      <c r="M152" s="146"/>
      <c r="N152" s="147"/>
      <c r="O152" s="146"/>
      <c r="P152" s="147"/>
      <c r="Q152" s="146"/>
      <c r="R152" s="147"/>
      <c r="S152" s="146"/>
      <c r="T152" s="147"/>
      <c r="U152" s="146"/>
      <c r="V152" s="147"/>
      <c r="W152" s="146"/>
      <c r="X152" s="147"/>
      <c r="Y152" s="146"/>
      <c r="Z152" s="147"/>
      <c r="AA152" s="146"/>
      <c r="AB152" s="147"/>
      <c r="AC152" s="146"/>
      <c r="AD152" s="147"/>
      <c r="AE152" s="146"/>
      <c r="AF152" s="147"/>
      <c r="AG152" s="146"/>
      <c r="AH152" s="147"/>
      <c r="AI152" s="142"/>
      <c r="AJ152" s="122"/>
    </row>
    <row r="153" spans="2:36" s="113" customFormat="1" ht="6" customHeight="1" outlineLevel="1">
      <c r="B153" s="143"/>
      <c r="J153" s="147"/>
      <c r="K153" s="146"/>
      <c r="L153" s="147"/>
      <c r="M153" s="146"/>
      <c r="N153" s="147"/>
      <c r="O153" s="146"/>
      <c r="P153" s="147"/>
      <c r="Q153" s="146"/>
      <c r="R153" s="147"/>
      <c r="S153" s="146"/>
      <c r="T153" s="147"/>
      <c r="U153" s="146"/>
      <c r="V153" s="147"/>
      <c r="W153" s="146"/>
      <c r="X153" s="147"/>
      <c r="Y153" s="146"/>
      <c r="Z153" s="147"/>
      <c r="AA153" s="146"/>
      <c r="AB153" s="147"/>
      <c r="AC153" s="146"/>
      <c r="AD153" s="147"/>
      <c r="AE153" s="146"/>
      <c r="AF153" s="147"/>
      <c r="AG153" s="146"/>
      <c r="AH153" s="147"/>
      <c r="AI153" s="142"/>
      <c r="AJ153" s="122"/>
    </row>
    <row r="154" spans="2:36" outlineLevel="1">
      <c r="B154" s="110" t="s">
        <v>264</v>
      </c>
      <c r="D154" s="111">
        <v>59340</v>
      </c>
      <c r="E154" s="111" t="s">
        <v>90</v>
      </c>
      <c r="F154" s="112"/>
      <c r="G154" s="108"/>
      <c r="H154" s="113"/>
      <c r="I154" s="114"/>
      <c r="J154" s="115">
        <v>729.12</v>
      </c>
      <c r="K154" s="114"/>
      <c r="L154" s="115">
        <v>729.12</v>
      </c>
      <c r="M154" s="114"/>
      <c r="N154" s="115">
        <v>729.12</v>
      </c>
      <c r="O154" s="114"/>
      <c r="P154" s="115">
        <v>729.12</v>
      </c>
      <c r="Q154" s="114"/>
      <c r="R154" s="115">
        <v>729.12</v>
      </c>
      <c r="S154" s="114"/>
      <c r="T154" s="115">
        <v>729.12</v>
      </c>
      <c r="U154" s="114"/>
      <c r="V154" s="115">
        <v>729.12</v>
      </c>
      <c r="W154" s="114"/>
      <c r="X154" s="115">
        <v>729.12</v>
      </c>
      <c r="Y154" s="114"/>
      <c r="Z154" s="115">
        <v>729.12</v>
      </c>
      <c r="AA154" s="114"/>
      <c r="AB154" s="115">
        <v>729.12</v>
      </c>
      <c r="AC154" s="114"/>
      <c r="AD154" s="115">
        <v>729.12</v>
      </c>
      <c r="AE154" s="114"/>
      <c r="AF154" s="115">
        <v>729.12</v>
      </c>
      <c r="AG154" s="114"/>
      <c r="AH154" s="115">
        <f t="shared" ref="AH154:AH157" si="16">AF154+AD154+AB154+Z154+X154+V154+T154+R154+P154+N154+L154+J154</f>
        <v>8749.44</v>
      </c>
      <c r="AI154" s="116">
        <f t="shared" ref="AI154:AI157" si="17">IF(AH$50=0,0,AH154/AH$50)</f>
        <v>6.67955116223155E-3</v>
      </c>
      <c r="AJ154" s="117"/>
    </row>
    <row r="155" spans="2:36" outlineLevel="1">
      <c r="B155" s="110" t="s">
        <v>206</v>
      </c>
      <c r="D155" s="111">
        <v>59343</v>
      </c>
      <c r="E155" s="111" t="s">
        <v>265</v>
      </c>
      <c r="F155" s="112"/>
      <c r="G155" s="108"/>
      <c r="H155" s="113"/>
      <c r="I155" s="114"/>
      <c r="J155" s="115">
        <v>0</v>
      </c>
      <c r="K155" s="114"/>
      <c r="L155" s="115">
        <v>0</v>
      </c>
      <c r="M155" s="114"/>
      <c r="N155" s="115">
        <v>0</v>
      </c>
      <c r="O155" s="114"/>
      <c r="P155" s="115">
        <v>0</v>
      </c>
      <c r="Q155" s="114"/>
      <c r="R155" s="115">
        <v>12.25</v>
      </c>
      <c r="S155" s="114"/>
      <c r="T155" s="115">
        <v>407.52</v>
      </c>
      <c r="U155" s="114"/>
      <c r="V155" s="115">
        <v>4800</v>
      </c>
      <c r="W155" s="114"/>
      <c r="X155" s="115">
        <v>14170</v>
      </c>
      <c r="Y155" s="114"/>
      <c r="Z155" s="115">
        <v>0</v>
      </c>
      <c r="AA155" s="114"/>
      <c r="AB155" s="115">
        <v>4800</v>
      </c>
      <c r="AC155" s="114"/>
      <c r="AD155" s="115">
        <v>7990</v>
      </c>
      <c r="AE155" s="114"/>
      <c r="AF155" s="115">
        <v>0</v>
      </c>
      <c r="AG155" s="114"/>
      <c r="AH155" s="115">
        <f t="shared" si="16"/>
        <v>32179.77</v>
      </c>
      <c r="AI155" s="116">
        <f t="shared" si="17"/>
        <v>2.4566877434880854E-2</v>
      </c>
      <c r="AJ155" s="117"/>
    </row>
    <row r="156" spans="2:36" outlineLevel="1">
      <c r="B156" s="110" t="s">
        <v>206</v>
      </c>
      <c r="D156" s="111">
        <v>59400</v>
      </c>
      <c r="E156" s="111" t="s">
        <v>266</v>
      </c>
      <c r="F156" s="112"/>
      <c r="G156" s="108"/>
      <c r="H156" s="113"/>
      <c r="I156" s="114"/>
      <c r="J156" s="115">
        <v>0</v>
      </c>
      <c r="K156" s="114"/>
      <c r="L156" s="115">
        <v>0</v>
      </c>
      <c r="M156" s="114"/>
      <c r="N156" s="115">
        <v>2403.98</v>
      </c>
      <c r="O156" s="114"/>
      <c r="P156" s="115">
        <v>0</v>
      </c>
      <c r="Q156" s="114"/>
      <c r="R156" s="115">
        <v>0</v>
      </c>
      <c r="S156" s="114"/>
      <c r="T156" s="115">
        <v>0</v>
      </c>
      <c r="U156" s="114"/>
      <c r="V156" s="115">
        <v>0</v>
      </c>
      <c r="W156" s="114"/>
      <c r="X156" s="115">
        <v>0</v>
      </c>
      <c r="Y156" s="114"/>
      <c r="Z156" s="115">
        <v>0</v>
      </c>
      <c r="AA156" s="114"/>
      <c r="AB156" s="115">
        <v>0</v>
      </c>
      <c r="AC156" s="114"/>
      <c r="AD156" s="115">
        <v>0</v>
      </c>
      <c r="AE156" s="114"/>
      <c r="AF156" s="115">
        <v>0</v>
      </c>
      <c r="AG156" s="114"/>
      <c r="AH156" s="115">
        <f t="shared" si="16"/>
        <v>2403.98</v>
      </c>
      <c r="AI156" s="116">
        <f t="shared" si="17"/>
        <v>1.8352611599121087E-3</v>
      </c>
      <c r="AJ156" s="117"/>
    </row>
    <row r="157" spans="2:36" outlineLevel="1">
      <c r="B157" s="110" t="s">
        <v>206</v>
      </c>
      <c r="D157" s="111">
        <v>59500</v>
      </c>
      <c r="E157" s="111" t="s">
        <v>267</v>
      </c>
      <c r="F157" s="112"/>
      <c r="G157" s="108"/>
      <c r="H157" s="113"/>
      <c r="I157" s="114"/>
      <c r="J157" s="115">
        <v>0</v>
      </c>
      <c r="K157" s="114"/>
      <c r="L157" s="115">
        <v>0</v>
      </c>
      <c r="M157" s="114"/>
      <c r="N157" s="115">
        <v>0</v>
      </c>
      <c r="O157" s="114"/>
      <c r="P157" s="115">
        <v>0</v>
      </c>
      <c r="Q157" s="114"/>
      <c r="R157" s="115">
        <v>0</v>
      </c>
      <c r="S157" s="114"/>
      <c r="T157" s="115">
        <v>0</v>
      </c>
      <c r="U157" s="114"/>
      <c r="V157" s="115">
        <v>0</v>
      </c>
      <c r="W157" s="114"/>
      <c r="X157" s="115">
        <v>0</v>
      </c>
      <c r="Y157" s="114"/>
      <c r="Z157" s="115">
        <v>0</v>
      </c>
      <c r="AA157" s="114"/>
      <c r="AB157" s="115">
        <v>0</v>
      </c>
      <c r="AC157" s="114"/>
      <c r="AD157" s="115">
        <v>0</v>
      </c>
      <c r="AE157" s="114"/>
      <c r="AF157" s="115">
        <v>2133.63</v>
      </c>
      <c r="AG157" s="114"/>
      <c r="AH157" s="115">
        <f t="shared" si="16"/>
        <v>2133.63</v>
      </c>
      <c r="AI157" s="116">
        <f t="shared" si="17"/>
        <v>1.6288689043266885E-3</v>
      </c>
      <c r="AJ157" s="117"/>
    </row>
    <row r="158" spans="2:36" s="113" customFormat="1" ht="5.0999999999999996" customHeight="1" outlineLevel="1">
      <c r="B158" s="143" t="s">
        <v>198</v>
      </c>
      <c r="D158" s="112"/>
      <c r="E158" s="112"/>
      <c r="F158" s="112"/>
      <c r="G158" s="112"/>
      <c r="J158" s="148"/>
      <c r="K158" s="146"/>
      <c r="L158" s="148"/>
      <c r="M158" s="146"/>
      <c r="N158" s="148"/>
      <c r="O158" s="146"/>
      <c r="P158" s="148"/>
      <c r="Q158" s="146"/>
      <c r="R158" s="148"/>
      <c r="S158" s="146"/>
      <c r="T158" s="148"/>
      <c r="U158" s="146"/>
      <c r="V158" s="148"/>
      <c r="W158" s="146"/>
      <c r="X158" s="148"/>
      <c r="Y158" s="146"/>
      <c r="Z158" s="148"/>
      <c r="AA158" s="146"/>
      <c r="AB158" s="148"/>
      <c r="AC158" s="146"/>
      <c r="AD158" s="148"/>
      <c r="AE158" s="146"/>
      <c r="AF158" s="148"/>
      <c r="AG158" s="146"/>
      <c r="AH158" s="148"/>
      <c r="AI158" s="142"/>
      <c r="AJ158" s="122"/>
    </row>
    <row r="159" spans="2:36" s="113" customFormat="1" ht="15">
      <c r="F159" s="112" t="s">
        <v>268</v>
      </c>
      <c r="J159" s="145">
        <f>SUM(J153:J158)</f>
        <v>729.12</v>
      </c>
      <c r="K159" s="146"/>
      <c r="L159" s="145">
        <f>SUM(L153:L158)</f>
        <v>729.12</v>
      </c>
      <c r="M159" s="146"/>
      <c r="N159" s="145">
        <f>SUM(N153:N158)</f>
        <v>3133.1</v>
      </c>
      <c r="O159" s="146"/>
      <c r="P159" s="145">
        <f>SUM(P153:P158)</f>
        <v>729.12</v>
      </c>
      <c r="Q159" s="146"/>
      <c r="R159" s="145">
        <f>SUM(R153:R158)</f>
        <v>741.37</v>
      </c>
      <c r="S159" s="146"/>
      <c r="T159" s="145">
        <f>SUM(T153:T158)</f>
        <v>1136.6399999999999</v>
      </c>
      <c r="U159" s="146"/>
      <c r="V159" s="145">
        <f>SUM(V153:V158)</f>
        <v>5529.12</v>
      </c>
      <c r="W159" s="146"/>
      <c r="X159" s="145">
        <f>SUM(X153:X158)</f>
        <v>14899.12</v>
      </c>
      <c r="Y159" s="146"/>
      <c r="Z159" s="145">
        <f>SUM(Z153:Z158)</f>
        <v>729.12</v>
      </c>
      <c r="AA159" s="146"/>
      <c r="AB159" s="145">
        <f>SUM(AB153:AB158)</f>
        <v>5529.12</v>
      </c>
      <c r="AC159" s="146"/>
      <c r="AD159" s="145">
        <f>SUM(AD153:AD158)</f>
        <v>8719.1200000000008</v>
      </c>
      <c r="AE159" s="146"/>
      <c r="AF159" s="145">
        <f>SUM(AF153:AF158)</f>
        <v>2862.75</v>
      </c>
      <c r="AG159" s="146"/>
      <c r="AH159" s="145">
        <f>SUM(AH153:AH158)</f>
        <v>45466.82</v>
      </c>
      <c r="AI159" s="116">
        <f>IF(AH$50=0,0,AH159/AH$50)</f>
        <v>3.4710558661351198E-2</v>
      </c>
      <c r="AJ159" s="122"/>
    </row>
    <row r="160" spans="2:36" s="113" customFormat="1" ht="9" hidden="1" customHeight="1" outlineLevel="1">
      <c r="B160" s="143" t="s">
        <v>198</v>
      </c>
      <c r="J160" s="147"/>
      <c r="K160" s="146"/>
      <c r="L160" s="147"/>
      <c r="M160" s="146"/>
      <c r="N160" s="147"/>
      <c r="O160" s="146"/>
      <c r="P160" s="147"/>
      <c r="Q160" s="146"/>
      <c r="R160" s="147"/>
      <c r="S160" s="146"/>
      <c r="T160" s="147"/>
      <c r="U160" s="146"/>
      <c r="V160" s="147"/>
      <c r="W160" s="146"/>
      <c r="X160" s="147"/>
      <c r="Y160" s="146"/>
      <c r="Z160" s="147"/>
      <c r="AA160" s="146"/>
      <c r="AB160" s="147"/>
      <c r="AC160" s="146"/>
      <c r="AD160" s="147"/>
      <c r="AE160" s="146"/>
      <c r="AF160" s="147"/>
      <c r="AG160" s="146"/>
      <c r="AH160" s="147"/>
      <c r="AI160" s="142"/>
      <c r="AJ160" s="122"/>
    </row>
    <row r="161" spans="2:36" hidden="1" outlineLevel="1">
      <c r="B161" s="110" t="s">
        <v>269</v>
      </c>
      <c r="D161" s="111"/>
      <c r="E161" s="111"/>
      <c r="F161" s="112"/>
      <c r="G161" s="108"/>
      <c r="H161" s="113"/>
      <c r="I161" s="114"/>
      <c r="J161" s="115"/>
      <c r="K161" s="114"/>
      <c r="L161" s="115"/>
      <c r="M161" s="114"/>
      <c r="N161" s="115"/>
      <c r="O161" s="114"/>
      <c r="P161" s="115"/>
      <c r="Q161" s="114"/>
      <c r="R161" s="115"/>
      <c r="S161" s="114"/>
      <c r="T161" s="115"/>
      <c r="U161" s="114"/>
      <c r="V161" s="115"/>
      <c r="W161" s="114"/>
      <c r="X161" s="115"/>
      <c r="Y161" s="114"/>
      <c r="Z161" s="115"/>
      <c r="AA161" s="114"/>
      <c r="AB161" s="115"/>
      <c r="AC161" s="114"/>
      <c r="AD161" s="115"/>
      <c r="AE161" s="114"/>
      <c r="AF161" s="115"/>
      <c r="AG161" s="114"/>
      <c r="AH161" s="115">
        <f>AF161+AD161+AB161+Z161+X161+V161+T161+R161+P161+N161+L161+J161</f>
        <v>0</v>
      </c>
      <c r="AI161" s="116">
        <f>IF(AH$50=0,0,AH161/AH$50)</f>
        <v>0</v>
      </c>
      <c r="AJ161" s="117"/>
    </row>
    <row r="162" spans="2:36" s="113" customFormat="1" ht="5.0999999999999996" hidden="1" customHeight="1" outlineLevel="1">
      <c r="B162" s="106" t="s">
        <v>198</v>
      </c>
      <c r="D162" s="112"/>
      <c r="E162" s="112"/>
      <c r="F162" s="112"/>
      <c r="G162" s="112"/>
      <c r="J162" s="148"/>
      <c r="K162" s="146"/>
      <c r="L162" s="148"/>
      <c r="M162" s="146"/>
      <c r="N162" s="148"/>
      <c r="O162" s="146"/>
      <c r="P162" s="148"/>
      <c r="Q162" s="146"/>
      <c r="R162" s="148"/>
      <c r="S162" s="146"/>
      <c r="T162" s="148"/>
      <c r="U162" s="146"/>
      <c r="V162" s="148"/>
      <c r="W162" s="146"/>
      <c r="X162" s="148"/>
      <c r="Y162" s="146"/>
      <c r="Z162" s="148"/>
      <c r="AA162" s="146"/>
      <c r="AB162" s="148"/>
      <c r="AC162" s="146"/>
      <c r="AD162" s="148"/>
      <c r="AE162" s="146"/>
      <c r="AF162" s="148"/>
      <c r="AG162" s="146"/>
      <c r="AH162" s="148"/>
      <c r="AI162" s="142"/>
      <c r="AJ162" s="122"/>
    </row>
    <row r="163" spans="2:36" s="113" customFormat="1" ht="15" hidden="1" collapsed="1">
      <c r="B163" s="106" t="s">
        <v>198</v>
      </c>
      <c r="F163" s="111" t="s">
        <v>270</v>
      </c>
      <c r="J163" s="145">
        <f>SUM(J161:J162)</f>
        <v>0</v>
      </c>
      <c r="K163" s="146"/>
      <c r="L163" s="145">
        <f>SUM(L161:L162)</f>
        <v>0</v>
      </c>
      <c r="M163" s="146"/>
      <c r="N163" s="145">
        <f>SUM(N161:N162)</f>
        <v>0</v>
      </c>
      <c r="O163" s="146"/>
      <c r="P163" s="145">
        <f>SUM(P161:P162)</f>
        <v>0</v>
      </c>
      <c r="Q163" s="146"/>
      <c r="R163" s="145">
        <f>SUM(R161:R162)</f>
        <v>0</v>
      </c>
      <c r="S163" s="146"/>
      <c r="T163" s="145">
        <f>SUM(T161:T162)</f>
        <v>0</v>
      </c>
      <c r="U163" s="146"/>
      <c r="V163" s="145">
        <f>SUM(V161:V162)</f>
        <v>0</v>
      </c>
      <c r="W163" s="146"/>
      <c r="X163" s="145">
        <f>SUM(X161:X162)</f>
        <v>0</v>
      </c>
      <c r="Y163" s="146"/>
      <c r="Z163" s="145">
        <f>SUM(Z161:Z162)</f>
        <v>0</v>
      </c>
      <c r="AA163" s="146"/>
      <c r="AB163" s="145">
        <f>SUM(AB161:AB162)</f>
        <v>0</v>
      </c>
      <c r="AC163" s="146"/>
      <c r="AD163" s="145">
        <f>SUM(AD161:AD162)</f>
        <v>0</v>
      </c>
      <c r="AE163" s="146"/>
      <c r="AF163" s="145">
        <f>SUM(AF161:AF162)</f>
        <v>0</v>
      </c>
      <c r="AG163" s="146"/>
      <c r="AH163" s="145">
        <f>SUM(AH161:AH162)</f>
        <v>0</v>
      </c>
      <c r="AI163" s="116">
        <f>IF(AH$50=0,0,AH163/AH$50)</f>
        <v>0</v>
      </c>
      <c r="AJ163" s="122"/>
    </row>
    <row r="164" spans="2:36" s="113" customFormat="1" ht="7.5" customHeight="1">
      <c r="B164" s="106"/>
      <c r="J164" s="147"/>
      <c r="K164" s="146"/>
      <c r="L164" s="147"/>
      <c r="M164" s="146"/>
      <c r="N164" s="147"/>
      <c r="O164" s="146"/>
      <c r="P164" s="147"/>
      <c r="Q164" s="146"/>
      <c r="R164" s="147"/>
      <c r="S164" s="146"/>
      <c r="T164" s="147"/>
      <c r="U164" s="146"/>
      <c r="V164" s="147"/>
      <c r="W164" s="146"/>
      <c r="X164" s="147"/>
      <c r="Y164" s="146"/>
      <c r="Z164" s="147"/>
      <c r="AA164" s="146"/>
      <c r="AB164" s="147"/>
      <c r="AC164" s="146"/>
      <c r="AD164" s="147"/>
      <c r="AE164" s="146"/>
      <c r="AF164" s="147"/>
      <c r="AG164" s="146"/>
      <c r="AH164" s="147"/>
      <c r="AI164" s="142"/>
      <c r="AJ164" s="122"/>
    </row>
    <row r="165" spans="2:36" s="113" customFormat="1" ht="15">
      <c r="B165" s="106"/>
      <c r="E165" s="153" t="s">
        <v>271</v>
      </c>
      <c r="J165" s="151">
        <f>+J94+J98+J119+J124+J134+J147+J159+J151+J163</f>
        <v>38790.020000000004</v>
      </c>
      <c r="K165" s="146"/>
      <c r="L165" s="151">
        <f>+L94+L98+L119+L124+L134+L147+L159+L151+L163</f>
        <v>42350.700000000004</v>
      </c>
      <c r="M165" s="146"/>
      <c r="N165" s="151">
        <f>+N94+N98+N119+N124+N134+N147+N159+N151+N163</f>
        <v>37069.5</v>
      </c>
      <c r="O165" s="146"/>
      <c r="P165" s="151">
        <f>+P94+P98+P119+P124+P134+P147+P159+P151+P163</f>
        <v>34062.12000000001</v>
      </c>
      <c r="Q165" s="146"/>
      <c r="R165" s="151">
        <f>+R94+R98+R119+R124+R134+R147+R159+R151+R163</f>
        <v>43098.73</v>
      </c>
      <c r="S165" s="146"/>
      <c r="T165" s="151">
        <f>+T94+T98+T119+T124+T134+T147+T159+T151+T163</f>
        <v>41582.699999999997</v>
      </c>
      <c r="U165" s="146"/>
      <c r="V165" s="151">
        <f>+V94+V98+V119+V124+V134+V147+V159+V151+V163</f>
        <v>51814.560000000005</v>
      </c>
      <c r="W165" s="146"/>
      <c r="X165" s="151">
        <f>+X94+X98+X119+X124+X134+X147+X159+X151+X163</f>
        <v>52487.28</v>
      </c>
      <c r="Y165" s="146"/>
      <c r="Z165" s="151">
        <f>+Z94+Z98+Z119+Z124+Z134+Z147+Z159+Z151+Z163</f>
        <v>35830.660000000003</v>
      </c>
      <c r="AA165" s="146"/>
      <c r="AB165" s="151">
        <f>+AB94+AB98+AB119+AB124+AB134+AB147+AB159+AB151+AB163</f>
        <v>44077.580000000009</v>
      </c>
      <c r="AC165" s="146"/>
      <c r="AD165" s="151">
        <f>+AD94+AD98+AD119+AD124+AD134+AD147+AD159+AD151+AD163</f>
        <v>41260.909999999996</v>
      </c>
      <c r="AE165" s="146"/>
      <c r="AF165" s="151">
        <f>+AF94+AF98+AF119+AF124+AF134+AF147+AF159+AF151+AF163</f>
        <v>37679.03</v>
      </c>
      <c r="AG165" s="146"/>
      <c r="AH165" s="151">
        <f>+AH94+AH98+AH119+AH124+AH134+AH147+AH159+AH151+AH163</f>
        <v>500103.79000000004</v>
      </c>
      <c r="AI165" s="116">
        <f>IF(AH$50=0,0,AH165/AH$50)</f>
        <v>0.38179230347666854</v>
      </c>
      <c r="AJ165" s="122"/>
    </row>
    <row r="166" spans="2:36" s="113" customFormat="1" ht="7.5" customHeight="1">
      <c r="B166" s="106"/>
      <c r="J166" s="147"/>
      <c r="K166" s="146"/>
      <c r="L166" s="147"/>
      <c r="M166" s="146"/>
      <c r="N166" s="147"/>
      <c r="O166" s="146"/>
      <c r="P166" s="147"/>
      <c r="Q166" s="146"/>
      <c r="R166" s="147"/>
      <c r="S166" s="146"/>
      <c r="T166" s="147"/>
      <c r="U166" s="146"/>
      <c r="V166" s="147"/>
      <c r="W166" s="146"/>
      <c r="X166" s="147"/>
      <c r="Y166" s="146"/>
      <c r="Z166" s="147"/>
      <c r="AA166" s="146"/>
      <c r="AB166" s="147"/>
      <c r="AC166" s="146"/>
      <c r="AD166" s="147"/>
      <c r="AE166" s="146"/>
      <c r="AF166" s="147"/>
      <c r="AG166" s="146"/>
      <c r="AH166" s="147"/>
      <c r="AI166" s="142"/>
      <c r="AJ166" s="122"/>
    </row>
    <row r="167" spans="2:36" s="113" customFormat="1" ht="15">
      <c r="B167" s="143" t="s">
        <v>198</v>
      </c>
      <c r="E167" s="153" t="s">
        <v>272</v>
      </c>
      <c r="J167" s="151">
        <f>J80-J165</f>
        <v>27824.729999999996</v>
      </c>
      <c r="K167" s="146"/>
      <c r="L167" s="151">
        <f>L80-L165</f>
        <v>37102.389999999992</v>
      </c>
      <c r="M167" s="146"/>
      <c r="N167" s="151">
        <f>N80-N165</f>
        <v>46363.619999999995</v>
      </c>
      <c r="O167" s="146"/>
      <c r="P167" s="151">
        <f>P80-P165</f>
        <v>24777.929999999971</v>
      </c>
      <c r="Q167" s="146"/>
      <c r="R167" s="151">
        <f>R80-R165</f>
        <v>41456.090000000004</v>
      </c>
      <c r="S167" s="146"/>
      <c r="T167" s="151">
        <f>T80-T165</f>
        <v>42893.099999999991</v>
      </c>
      <c r="U167" s="146"/>
      <c r="V167" s="151">
        <f>V80-V165</f>
        <v>22449.770000000011</v>
      </c>
      <c r="W167" s="146"/>
      <c r="X167" s="151">
        <f>X80-X165</f>
        <v>27036.639999999999</v>
      </c>
      <c r="Y167" s="146"/>
      <c r="Z167" s="151">
        <f>Z80-Z165</f>
        <v>40204.229999999996</v>
      </c>
      <c r="AA167" s="146"/>
      <c r="AB167" s="151">
        <f>AB80-AB165</f>
        <v>39302.159999999996</v>
      </c>
      <c r="AC167" s="146"/>
      <c r="AD167" s="151">
        <f>AD80-AD165</f>
        <v>33653.94000000001</v>
      </c>
      <c r="AE167" s="146"/>
      <c r="AF167" s="151">
        <f>AF80-AF165</f>
        <v>44183.05</v>
      </c>
      <c r="AG167" s="146"/>
      <c r="AH167" s="151">
        <f>AH80-AH165</f>
        <v>427247.65000000014</v>
      </c>
      <c r="AI167" s="116">
        <f>IF(AH$50=0,0,AH167/AH$50)</f>
        <v>0.32617202210863772</v>
      </c>
      <c r="AJ167" s="122"/>
    </row>
    <row r="168" spans="2:36" s="113" customFormat="1" ht="7.5" customHeight="1">
      <c r="B168" s="143" t="s">
        <v>198</v>
      </c>
      <c r="J168" s="147"/>
      <c r="K168" s="146"/>
      <c r="L168" s="147"/>
      <c r="M168" s="146"/>
      <c r="N168" s="147"/>
      <c r="O168" s="146"/>
      <c r="P168" s="147"/>
      <c r="Q168" s="146"/>
      <c r="R168" s="147"/>
      <c r="S168" s="146"/>
      <c r="T168" s="147"/>
      <c r="U168" s="146"/>
      <c r="V168" s="147"/>
      <c r="W168" s="146"/>
      <c r="X168" s="147"/>
      <c r="Y168" s="146"/>
      <c r="Z168" s="147"/>
      <c r="AA168" s="146"/>
      <c r="AB168" s="147"/>
      <c r="AC168" s="146"/>
      <c r="AD168" s="147"/>
      <c r="AE168" s="146"/>
      <c r="AF168" s="147"/>
      <c r="AG168" s="146"/>
      <c r="AH168" s="147"/>
      <c r="AI168" s="142"/>
      <c r="AJ168" s="122"/>
    </row>
    <row r="169" spans="2:36" s="113" customFormat="1" ht="15" hidden="1" outlineLevel="1">
      <c r="B169" s="143" t="s">
        <v>198</v>
      </c>
      <c r="J169" s="147"/>
      <c r="K169" s="146"/>
      <c r="L169" s="147"/>
      <c r="M169" s="146"/>
      <c r="N169" s="147"/>
      <c r="O169" s="146"/>
      <c r="P169" s="147"/>
      <c r="Q169" s="146"/>
      <c r="R169" s="147"/>
      <c r="S169" s="146"/>
      <c r="T169" s="147"/>
      <c r="U169" s="146"/>
      <c r="V169" s="147"/>
      <c r="W169" s="146"/>
      <c r="X169" s="147"/>
      <c r="Y169" s="146"/>
      <c r="Z169" s="147"/>
      <c r="AA169" s="146"/>
      <c r="AB169" s="147"/>
      <c r="AC169" s="146"/>
      <c r="AD169" s="147"/>
      <c r="AE169" s="146"/>
      <c r="AF169" s="147"/>
      <c r="AG169" s="146"/>
      <c r="AH169" s="147"/>
      <c r="AI169" s="142"/>
      <c r="AJ169" s="122"/>
    </row>
    <row r="170" spans="2:36" hidden="1" outlineLevel="1">
      <c r="B170" s="110" t="s">
        <v>273</v>
      </c>
      <c r="D170" s="111"/>
      <c r="E170" s="111"/>
      <c r="F170" s="112"/>
      <c r="G170" s="108"/>
      <c r="H170" s="113"/>
      <c r="I170" s="114"/>
      <c r="J170" s="115"/>
      <c r="K170" s="114"/>
      <c r="L170" s="115"/>
      <c r="M170" s="114"/>
      <c r="N170" s="115"/>
      <c r="O170" s="114"/>
      <c r="P170" s="115"/>
      <c r="Q170" s="114"/>
      <c r="R170" s="115"/>
      <c r="S170" s="114"/>
      <c r="T170" s="115"/>
      <c r="U170" s="114"/>
      <c r="V170" s="115"/>
      <c r="W170" s="114"/>
      <c r="X170" s="115"/>
      <c r="Y170" s="114"/>
      <c r="Z170" s="115"/>
      <c r="AA170" s="114"/>
      <c r="AB170" s="115"/>
      <c r="AC170" s="114"/>
      <c r="AD170" s="115"/>
      <c r="AE170" s="114"/>
      <c r="AF170" s="115"/>
      <c r="AG170" s="114"/>
      <c r="AH170" s="115">
        <f>AF170+AD170+AB170+Z170+X170+V170+T170+R170+P170+N170+L170+J170</f>
        <v>0</v>
      </c>
      <c r="AI170" s="116">
        <f>IF(AH$50=0,0,AH170/AH$50)</f>
        <v>0</v>
      </c>
      <c r="AJ170" s="117"/>
    </row>
    <row r="171" spans="2:36" s="113" customFormat="1" ht="5.0999999999999996" hidden="1" customHeight="1" outlineLevel="1">
      <c r="B171" s="106" t="s">
        <v>198</v>
      </c>
      <c r="D171" s="112"/>
      <c r="E171" s="112"/>
      <c r="F171" s="112"/>
      <c r="G171" s="112"/>
      <c r="J171" s="148"/>
      <c r="K171" s="146"/>
      <c r="L171" s="148"/>
      <c r="M171" s="146"/>
      <c r="N171" s="148"/>
      <c r="O171" s="146"/>
      <c r="P171" s="148"/>
      <c r="Q171" s="146"/>
      <c r="R171" s="148"/>
      <c r="S171" s="146"/>
      <c r="T171" s="148"/>
      <c r="U171" s="146"/>
      <c r="V171" s="148"/>
      <c r="W171" s="146"/>
      <c r="X171" s="148"/>
      <c r="Y171" s="146"/>
      <c r="Z171" s="148"/>
      <c r="AA171" s="146"/>
      <c r="AB171" s="148"/>
      <c r="AC171" s="146"/>
      <c r="AD171" s="148"/>
      <c r="AE171" s="146"/>
      <c r="AF171" s="148"/>
      <c r="AG171" s="146"/>
      <c r="AH171" s="148"/>
      <c r="AI171" s="142"/>
      <c r="AJ171" s="122"/>
    </row>
    <row r="172" spans="2:36" s="113" customFormat="1" ht="15" hidden="1" collapsed="1">
      <c r="B172" s="106" t="s">
        <v>198</v>
      </c>
      <c r="F172" s="112" t="s">
        <v>274</v>
      </c>
      <c r="J172" s="145">
        <f>SUM(J169:J171)</f>
        <v>0</v>
      </c>
      <c r="K172" s="146"/>
      <c r="L172" s="145">
        <f>SUM(L169:L171)</f>
        <v>0</v>
      </c>
      <c r="M172" s="146"/>
      <c r="N172" s="145">
        <f>SUM(N169:N171)</f>
        <v>0</v>
      </c>
      <c r="O172" s="146"/>
      <c r="P172" s="145">
        <f>SUM(P169:P171)</f>
        <v>0</v>
      </c>
      <c r="Q172" s="146"/>
      <c r="R172" s="145">
        <f>SUM(R169:R171)</f>
        <v>0</v>
      </c>
      <c r="S172" s="146"/>
      <c r="T172" s="145">
        <f>SUM(T169:T171)</f>
        <v>0</v>
      </c>
      <c r="U172" s="146"/>
      <c r="V172" s="145">
        <f>SUM(V169:V171)</f>
        <v>0</v>
      </c>
      <c r="W172" s="146"/>
      <c r="X172" s="145">
        <f>SUM(X169:X171)</f>
        <v>0</v>
      </c>
      <c r="Y172" s="146"/>
      <c r="Z172" s="145">
        <f>SUM(Z169:Z171)</f>
        <v>0</v>
      </c>
      <c r="AA172" s="146"/>
      <c r="AB172" s="145">
        <f>SUM(AB169:AB171)</f>
        <v>0</v>
      </c>
      <c r="AC172" s="146"/>
      <c r="AD172" s="145">
        <f>SUM(AD169:AD171)</f>
        <v>0</v>
      </c>
      <c r="AE172" s="146"/>
      <c r="AF172" s="145">
        <f>SUM(AF169:AF171)</f>
        <v>0</v>
      </c>
      <c r="AG172" s="146"/>
      <c r="AH172" s="145">
        <f>SUM(AH169:AH171)</f>
        <v>0</v>
      </c>
      <c r="AI172" s="116">
        <f>IF(AH$50=0,0,AH172/AH$50)</f>
        <v>0</v>
      </c>
      <c r="AJ172" s="122"/>
    </row>
    <row r="173" spans="2:36" s="113" customFormat="1" ht="9" customHeight="1" outlineLevel="1">
      <c r="B173" s="106"/>
      <c r="J173" s="147"/>
      <c r="K173" s="146"/>
      <c r="L173" s="147"/>
      <c r="M173" s="146"/>
      <c r="N173" s="147"/>
      <c r="O173" s="146"/>
      <c r="P173" s="147"/>
      <c r="Q173" s="146"/>
      <c r="R173" s="147"/>
      <c r="S173" s="146"/>
      <c r="T173" s="147"/>
      <c r="U173" s="146"/>
      <c r="V173" s="147"/>
      <c r="W173" s="146"/>
      <c r="X173" s="147"/>
      <c r="Y173" s="146"/>
      <c r="Z173" s="147"/>
      <c r="AA173" s="146"/>
      <c r="AB173" s="147"/>
      <c r="AC173" s="146"/>
      <c r="AD173" s="147"/>
      <c r="AE173" s="146"/>
      <c r="AF173" s="147"/>
      <c r="AG173" s="146"/>
      <c r="AH173" s="147"/>
      <c r="AI173" s="142"/>
      <c r="AJ173" s="122"/>
    </row>
    <row r="174" spans="2:36" s="113" customFormat="1" ht="9" customHeight="1" outlineLevel="1">
      <c r="B174" s="106" t="s">
        <v>198</v>
      </c>
      <c r="J174" s="147"/>
      <c r="K174" s="146"/>
      <c r="L174" s="147"/>
      <c r="M174" s="146"/>
      <c r="N174" s="147"/>
      <c r="O174" s="146"/>
      <c r="P174" s="147"/>
      <c r="Q174" s="146"/>
      <c r="R174" s="147"/>
      <c r="S174" s="146"/>
      <c r="T174" s="147"/>
      <c r="U174" s="146"/>
      <c r="V174" s="147"/>
      <c r="W174" s="146"/>
      <c r="X174" s="147"/>
      <c r="Y174" s="146"/>
      <c r="Z174" s="147"/>
      <c r="AA174" s="146"/>
      <c r="AB174" s="147"/>
      <c r="AC174" s="146"/>
      <c r="AD174" s="147"/>
      <c r="AE174" s="146"/>
      <c r="AF174" s="147"/>
      <c r="AG174" s="146"/>
      <c r="AH174" s="147"/>
      <c r="AI174" s="142"/>
      <c r="AJ174" s="122"/>
    </row>
    <row r="175" spans="2:36" outlineLevel="1">
      <c r="B175" s="110" t="s">
        <v>275</v>
      </c>
      <c r="D175" s="111">
        <v>70010</v>
      </c>
      <c r="E175" s="111" t="s">
        <v>26</v>
      </c>
      <c r="F175" s="112"/>
      <c r="G175" s="108"/>
      <c r="H175" s="113"/>
      <c r="I175" s="114"/>
      <c r="J175" s="115">
        <v>2107.39</v>
      </c>
      <c r="K175" s="114"/>
      <c r="L175" s="115">
        <v>2037.68</v>
      </c>
      <c r="M175" s="114"/>
      <c r="N175" s="115">
        <v>2099.71</v>
      </c>
      <c r="O175" s="114"/>
      <c r="P175" s="115">
        <v>613.02</v>
      </c>
      <c r="Q175" s="114"/>
      <c r="R175" s="115">
        <v>688.8</v>
      </c>
      <c r="S175" s="114"/>
      <c r="T175" s="115">
        <v>687.25</v>
      </c>
      <c r="U175" s="114"/>
      <c r="V175" s="115">
        <v>617.64</v>
      </c>
      <c r="W175" s="114"/>
      <c r="X175" s="115">
        <v>6947.79</v>
      </c>
      <c r="Y175" s="114"/>
      <c r="Z175" s="115">
        <v>7481.04</v>
      </c>
      <c r="AA175" s="114"/>
      <c r="AB175" s="115">
        <v>7110.62</v>
      </c>
      <c r="AC175" s="114"/>
      <c r="AD175" s="115">
        <v>7422.65</v>
      </c>
      <c r="AE175" s="114"/>
      <c r="AF175" s="115">
        <v>6378.56</v>
      </c>
      <c r="AG175" s="114"/>
      <c r="AH175" s="115">
        <f t="shared" ref="AH175:AH205" si="18">AF175+AD175+AB175+Z175+X175+V175+T175+R175+P175+N175+L175+J175</f>
        <v>44192.149999999994</v>
      </c>
      <c r="AI175" s="116">
        <f t="shared" ref="AI175:AI205" si="19">IF(AH$50=0,0,AH175/AH$50)</f>
        <v>3.373744226990652E-2</v>
      </c>
      <c r="AJ175" s="117"/>
    </row>
    <row r="176" spans="2:36" outlineLevel="1">
      <c r="B176" s="110" t="s">
        <v>206</v>
      </c>
      <c r="D176" s="111">
        <v>70020</v>
      </c>
      <c r="E176" s="111" t="s">
        <v>34</v>
      </c>
      <c r="F176" s="112"/>
      <c r="G176" s="108"/>
      <c r="H176" s="113"/>
      <c r="I176" s="114"/>
      <c r="J176" s="115">
        <v>2063.12</v>
      </c>
      <c r="K176" s="114"/>
      <c r="L176" s="115">
        <v>2741.38</v>
      </c>
      <c r="M176" s="114"/>
      <c r="N176" s="115">
        <v>2871.79</v>
      </c>
      <c r="O176" s="114"/>
      <c r="P176" s="115">
        <v>2480.67</v>
      </c>
      <c r="Q176" s="114"/>
      <c r="R176" s="115">
        <v>2865.6</v>
      </c>
      <c r="S176" s="114"/>
      <c r="T176" s="115">
        <v>2202.6</v>
      </c>
      <c r="U176" s="114"/>
      <c r="V176" s="115">
        <v>2660.7</v>
      </c>
      <c r="W176" s="114"/>
      <c r="X176" s="115">
        <v>1232.03</v>
      </c>
      <c r="Y176" s="114"/>
      <c r="Z176" s="115">
        <v>2448.41</v>
      </c>
      <c r="AA176" s="114"/>
      <c r="AB176" s="115">
        <v>2390.92</v>
      </c>
      <c r="AC176" s="114"/>
      <c r="AD176" s="115">
        <v>3341.34</v>
      </c>
      <c r="AE176" s="114"/>
      <c r="AF176" s="115">
        <v>-651.69000000000005</v>
      </c>
      <c r="AG176" s="114"/>
      <c r="AH176" s="115">
        <f t="shared" si="18"/>
        <v>26646.870000000003</v>
      </c>
      <c r="AI176" s="116">
        <f t="shared" si="19"/>
        <v>2.0342916972781462E-2</v>
      </c>
      <c r="AJ176" s="117"/>
    </row>
    <row r="177" spans="2:36" outlineLevel="1">
      <c r="B177" s="110" t="s">
        <v>206</v>
      </c>
      <c r="D177" s="111">
        <v>70025</v>
      </c>
      <c r="E177" s="111" t="s">
        <v>35</v>
      </c>
      <c r="F177" s="112"/>
      <c r="G177" s="108"/>
      <c r="H177" s="113"/>
      <c r="I177" s="114"/>
      <c r="J177" s="115">
        <v>-25.15</v>
      </c>
      <c r="K177" s="114"/>
      <c r="L177" s="115">
        <v>322.3</v>
      </c>
      <c r="M177" s="114"/>
      <c r="N177" s="115">
        <v>304.74</v>
      </c>
      <c r="O177" s="114"/>
      <c r="P177" s="115">
        <v>359.6</v>
      </c>
      <c r="Q177" s="114"/>
      <c r="R177" s="115">
        <v>697.31</v>
      </c>
      <c r="S177" s="114"/>
      <c r="T177" s="115">
        <v>258.87</v>
      </c>
      <c r="U177" s="114"/>
      <c r="V177" s="115">
        <v>222.31</v>
      </c>
      <c r="W177" s="114"/>
      <c r="X177" s="115">
        <v>235.6</v>
      </c>
      <c r="Y177" s="114"/>
      <c r="Z177" s="115">
        <v>92.06</v>
      </c>
      <c r="AA177" s="114"/>
      <c r="AB177" s="115">
        <v>196.69</v>
      </c>
      <c r="AC177" s="114"/>
      <c r="AD177" s="115">
        <v>296.48</v>
      </c>
      <c r="AE177" s="114"/>
      <c r="AF177" s="115">
        <v>-53.2</v>
      </c>
      <c r="AG177" s="114"/>
      <c r="AH177" s="115">
        <f t="shared" si="18"/>
        <v>2907.61</v>
      </c>
      <c r="AI177" s="116">
        <f t="shared" si="19"/>
        <v>2.2197454642601212E-3</v>
      </c>
      <c r="AJ177" s="117"/>
    </row>
    <row r="178" spans="2:36" outlineLevel="1">
      <c r="B178" s="110" t="s">
        <v>206</v>
      </c>
      <c r="D178" s="111">
        <v>70036</v>
      </c>
      <c r="E178" s="111" t="s">
        <v>37</v>
      </c>
      <c r="F178" s="112"/>
      <c r="G178" s="108"/>
      <c r="H178" s="113"/>
      <c r="I178" s="114"/>
      <c r="J178" s="115">
        <v>0</v>
      </c>
      <c r="K178" s="114"/>
      <c r="L178" s="115">
        <v>540</v>
      </c>
      <c r="M178" s="114"/>
      <c r="N178" s="115">
        <v>325</v>
      </c>
      <c r="O178" s="114"/>
      <c r="P178" s="115">
        <v>24.24</v>
      </c>
      <c r="Q178" s="114"/>
      <c r="R178" s="115">
        <v>1065</v>
      </c>
      <c r="S178" s="114"/>
      <c r="T178" s="115">
        <v>338.48</v>
      </c>
      <c r="U178" s="114"/>
      <c r="V178" s="115">
        <v>0</v>
      </c>
      <c r="W178" s="114"/>
      <c r="X178" s="115">
        <v>0</v>
      </c>
      <c r="Y178" s="114"/>
      <c r="Z178" s="115">
        <v>0</v>
      </c>
      <c r="AA178" s="114"/>
      <c r="AB178" s="115">
        <v>145</v>
      </c>
      <c r="AC178" s="114"/>
      <c r="AD178" s="115">
        <v>0</v>
      </c>
      <c r="AE178" s="114"/>
      <c r="AF178" s="115">
        <v>196.55</v>
      </c>
      <c r="AG178" s="114"/>
      <c r="AH178" s="115">
        <f t="shared" si="18"/>
        <v>2634.27</v>
      </c>
      <c r="AI178" s="116">
        <f t="shared" si="19"/>
        <v>2.011070564531182E-3</v>
      </c>
      <c r="AJ178" s="117"/>
    </row>
    <row r="179" spans="2:36" outlineLevel="1">
      <c r="B179" s="110" t="s">
        <v>206</v>
      </c>
      <c r="D179" s="111">
        <v>70050</v>
      </c>
      <c r="E179" s="111" t="s">
        <v>171</v>
      </c>
      <c r="F179" s="112"/>
      <c r="G179" s="108"/>
      <c r="H179" s="113"/>
      <c r="I179" s="114"/>
      <c r="J179" s="115">
        <v>532.54999999999995</v>
      </c>
      <c r="K179" s="114"/>
      <c r="L179" s="115">
        <v>464.9</v>
      </c>
      <c r="M179" s="114"/>
      <c r="N179" s="115">
        <v>491.62</v>
      </c>
      <c r="O179" s="114"/>
      <c r="P179" s="115">
        <v>300.62</v>
      </c>
      <c r="Q179" s="114"/>
      <c r="R179" s="115">
        <v>408.44</v>
      </c>
      <c r="S179" s="114"/>
      <c r="T179" s="115">
        <v>328.22</v>
      </c>
      <c r="U179" s="114"/>
      <c r="V179" s="115">
        <v>301.27999999999997</v>
      </c>
      <c r="W179" s="114"/>
      <c r="X179" s="115">
        <v>708.48</v>
      </c>
      <c r="Y179" s="114"/>
      <c r="Z179" s="115">
        <v>584.35</v>
      </c>
      <c r="AA179" s="114"/>
      <c r="AB179" s="115">
        <v>654.54</v>
      </c>
      <c r="AC179" s="114"/>
      <c r="AD179" s="115">
        <v>752.5</v>
      </c>
      <c r="AE179" s="114"/>
      <c r="AF179" s="115">
        <v>279.86</v>
      </c>
      <c r="AG179" s="114"/>
      <c r="AH179" s="115">
        <f t="shared" si="18"/>
        <v>5807.3600000000006</v>
      </c>
      <c r="AI179" s="116">
        <f t="shared" si="19"/>
        <v>4.433490399099487E-3</v>
      </c>
      <c r="AJ179" s="117"/>
    </row>
    <row r="180" spans="2:36" outlineLevel="1">
      <c r="B180" s="110" t="s">
        <v>206</v>
      </c>
      <c r="D180" s="111">
        <v>70060</v>
      </c>
      <c r="E180" s="111" t="s">
        <v>124</v>
      </c>
      <c r="F180" s="112"/>
      <c r="G180" s="108"/>
      <c r="H180" s="113"/>
      <c r="I180" s="114"/>
      <c r="J180" s="115">
        <v>1272.2</v>
      </c>
      <c r="K180" s="114"/>
      <c r="L180" s="115">
        <v>1276.52</v>
      </c>
      <c r="M180" s="114"/>
      <c r="N180" s="115">
        <v>1275.28</v>
      </c>
      <c r="O180" s="114"/>
      <c r="P180" s="115">
        <v>1073.26</v>
      </c>
      <c r="Q180" s="114"/>
      <c r="R180" s="115">
        <v>1075.8599999999999</v>
      </c>
      <c r="S180" s="114"/>
      <c r="T180" s="115">
        <v>1078.04</v>
      </c>
      <c r="U180" s="114"/>
      <c r="V180" s="115">
        <v>1081.53</v>
      </c>
      <c r="W180" s="114"/>
      <c r="X180" s="115">
        <v>1222.99</v>
      </c>
      <c r="Y180" s="114"/>
      <c r="Z180" s="115">
        <v>2032.28</v>
      </c>
      <c r="AA180" s="114"/>
      <c r="AB180" s="115">
        <v>1840.32</v>
      </c>
      <c r="AC180" s="114"/>
      <c r="AD180" s="115">
        <v>2031.04</v>
      </c>
      <c r="AE180" s="114"/>
      <c r="AF180" s="115">
        <v>1031.24</v>
      </c>
      <c r="AG180" s="114"/>
      <c r="AH180" s="115">
        <f t="shared" si="18"/>
        <v>16290.560000000001</v>
      </c>
      <c r="AI180" s="116">
        <f t="shared" si="19"/>
        <v>1.2436639257072772E-2</v>
      </c>
      <c r="AJ180" s="117"/>
    </row>
    <row r="181" spans="2:36" outlineLevel="1">
      <c r="B181" s="110" t="s">
        <v>206</v>
      </c>
      <c r="D181" s="111">
        <v>70065</v>
      </c>
      <c r="E181" s="111" t="s">
        <v>31</v>
      </c>
      <c r="F181" s="112"/>
      <c r="G181" s="108"/>
      <c r="H181" s="113"/>
      <c r="I181" s="114"/>
      <c r="J181" s="115">
        <v>560.80999999999995</v>
      </c>
      <c r="K181" s="114"/>
      <c r="L181" s="115">
        <v>-50.48</v>
      </c>
      <c r="M181" s="114"/>
      <c r="N181" s="115">
        <v>85.93</v>
      </c>
      <c r="O181" s="114"/>
      <c r="P181" s="115">
        <v>201.64</v>
      </c>
      <c r="Q181" s="114"/>
      <c r="R181" s="115">
        <v>155.81</v>
      </c>
      <c r="S181" s="114"/>
      <c r="T181" s="115">
        <v>78.55</v>
      </c>
      <c r="U181" s="114"/>
      <c r="V181" s="115">
        <v>329.85</v>
      </c>
      <c r="W181" s="114"/>
      <c r="X181" s="115">
        <v>918.66</v>
      </c>
      <c r="Y181" s="114"/>
      <c r="Z181" s="115">
        <v>0.97</v>
      </c>
      <c r="AA181" s="114"/>
      <c r="AB181" s="115">
        <v>515.49</v>
      </c>
      <c r="AC181" s="114"/>
      <c r="AD181" s="115">
        <v>-497.24</v>
      </c>
      <c r="AE181" s="114"/>
      <c r="AF181" s="115">
        <v>-672.17</v>
      </c>
      <c r="AG181" s="114"/>
      <c r="AH181" s="115">
        <f t="shared" si="18"/>
        <v>1627.82</v>
      </c>
      <c r="AI181" s="116">
        <f t="shared" si="19"/>
        <v>1.2427203310044711E-3</v>
      </c>
      <c r="AJ181" s="117"/>
    </row>
    <row r="182" spans="2:36" outlineLevel="1">
      <c r="B182" s="110" t="s">
        <v>206</v>
      </c>
      <c r="D182" s="111">
        <v>70070</v>
      </c>
      <c r="E182" s="111" t="s">
        <v>32</v>
      </c>
      <c r="F182" s="112"/>
      <c r="G182" s="108"/>
      <c r="H182" s="113"/>
      <c r="I182" s="114"/>
      <c r="J182" s="115">
        <v>793.87</v>
      </c>
      <c r="K182" s="114"/>
      <c r="L182" s="115">
        <v>-275.3</v>
      </c>
      <c r="M182" s="114"/>
      <c r="N182" s="115">
        <v>-6.38</v>
      </c>
      <c r="O182" s="114"/>
      <c r="P182" s="115">
        <v>0.39</v>
      </c>
      <c r="Q182" s="114"/>
      <c r="R182" s="115">
        <v>3.69</v>
      </c>
      <c r="S182" s="114"/>
      <c r="T182" s="115">
        <v>4.1399999999999997</v>
      </c>
      <c r="U182" s="114"/>
      <c r="V182" s="115">
        <v>1.07</v>
      </c>
      <c r="W182" s="114"/>
      <c r="X182" s="115">
        <v>2.78</v>
      </c>
      <c r="Y182" s="114"/>
      <c r="Z182" s="115">
        <v>-0.25</v>
      </c>
      <c r="AA182" s="114"/>
      <c r="AB182" s="115">
        <v>381.55</v>
      </c>
      <c r="AC182" s="114"/>
      <c r="AD182" s="115">
        <v>0</v>
      </c>
      <c r="AE182" s="114"/>
      <c r="AF182" s="115">
        <v>0.09</v>
      </c>
      <c r="AG182" s="114"/>
      <c r="AH182" s="115">
        <f t="shared" si="18"/>
        <v>905.64999999999986</v>
      </c>
      <c r="AI182" s="116">
        <f t="shared" si="19"/>
        <v>6.9139687912312124E-4</v>
      </c>
      <c r="AJ182" s="117"/>
    </row>
    <row r="183" spans="2:36" outlineLevel="1">
      <c r="B183" s="110" t="s">
        <v>206</v>
      </c>
      <c r="D183" s="111">
        <v>70086</v>
      </c>
      <c r="E183" s="111" t="s">
        <v>242</v>
      </c>
      <c r="F183" s="112"/>
      <c r="G183" s="108"/>
      <c r="H183" s="113"/>
      <c r="I183" s="114"/>
      <c r="J183" s="115">
        <v>0</v>
      </c>
      <c r="K183" s="114"/>
      <c r="L183" s="115">
        <v>0</v>
      </c>
      <c r="M183" s="114"/>
      <c r="N183" s="115">
        <v>0</v>
      </c>
      <c r="O183" s="114"/>
      <c r="P183" s="115">
        <v>0</v>
      </c>
      <c r="Q183" s="114"/>
      <c r="R183" s="115">
        <v>0</v>
      </c>
      <c r="S183" s="114"/>
      <c r="T183" s="115">
        <v>0</v>
      </c>
      <c r="U183" s="114"/>
      <c r="V183" s="115">
        <v>0</v>
      </c>
      <c r="W183" s="114"/>
      <c r="X183" s="115">
        <v>0</v>
      </c>
      <c r="Y183" s="114"/>
      <c r="Z183" s="115">
        <v>0</v>
      </c>
      <c r="AA183" s="114"/>
      <c r="AB183" s="115">
        <v>0</v>
      </c>
      <c r="AC183" s="114"/>
      <c r="AD183" s="115">
        <v>50</v>
      </c>
      <c r="AE183" s="114"/>
      <c r="AF183" s="115">
        <v>0</v>
      </c>
      <c r="AG183" s="114"/>
      <c r="AH183" s="115">
        <f t="shared" si="18"/>
        <v>50</v>
      </c>
      <c r="AI183" s="116">
        <f t="shared" si="19"/>
        <v>3.8171306747812139E-5</v>
      </c>
      <c r="AJ183" s="117"/>
    </row>
    <row r="184" spans="2:36" outlineLevel="1">
      <c r="B184" s="110" t="s">
        <v>206</v>
      </c>
      <c r="D184" s="111">
        <v>70095</v>
      </c>
      <c r="E184" s="111" t="s">
        <v>131</v>
      </c>
      <c r="F184" s="112"/>
      <c r="G184" s="108"/>
      <c r="H184" s="113"/>
      <c r="I184" s="114"/>
      <c r="J184" s="115">
        <v>405.17</v>
      </c>
      <c r="K184" s="114"/>
      <c r="L184" s="115">
        <v>-7.87</v>
      </c>
      <c r="M184" s="114"/>
      <c r="N184" s="115">
        <v>647.99</v>
      </c>
      <c r="O184" s="114"/>
      <c r="P184" s="115">
        <v>168</v>
      </c>
      <c r="Q184" s="114"/>
      <c r="R184" s="115">
        <v>0</v>
      </c>
      <c r="S184" s="114"/>
      <c r="T184" s="115">
        <v>0</v>
      </c>
      <c r="U184" s="114"/>
      <c r="V184" s="115">
        <v>0</v>
      </c>
      <c r="W184" s="114"/>
      <c r="X184" s="115">
        <v>0</v>
      </c>
      <c r="Y184" s="114"/>
      <c r="Z184" s="115">
        <v>0</v>
      </c>
      <c r="AA184" s="114"/>
      <c r="AB184" s="115">
        <v>0</v>
      </c>
      <c r="AC184" s="114"/>
      <c r="AD184" s="115">
        <v>251.6</v>
      </c>
      <c r="AE184" s="114"/>
      <c r="AF184" s="115">
        <v>201.6</v>
      </c>
      <c r="AG184" s="114"/>
      <c r="AH184" s="115">
        <f t="shared" si="18"/>
        <v>1666.4900000000002</v>
      </c>
      <c r="AI184" s="116">
        <f t="shared" si="19"/>
        <v>1.2722420196432294E-3</v>
      </c>
      <c r="AJ184" s="117"/>
    </row>
    <row r="185" spans="2:36" outlineLevel="1">
      <c r="B185" s="110" t="s">
        <v>206</v>
      </c>
      <c r="D185" s="111">
        <v>70110</v>
      </c>
      <c r="E185" s="111" t="s">
        <v>135</v>
      </c>
      <c r="F185" s="112"/>
      <c r="G185" s="108"/>
      <c r="H185" s="113"/>
      <c r="I185" s="114"/>
      <c r="J185" s="115">
        <v>0</v>
      </c>
      <c r="K185" s="114"/>
      <c r="L185" s="115">
        <v>200</v>
      </c>
      <c r="M185" s="114"/>
      <c r="N185" s="115">
        <v>470</v>
      </c>
      <c r="O185" s="114"/>
      <c r="P185" s="115">
        <v>0</v>
      </c>
      <c r="Q185" s="114"/>
      <c r="R185" s="115">
        <v>0</v>
      </c>
      <c r="S185" s="114"/>
      <c r="T185" s="115">
        <v>0</v>
      </c>
      <c r="U185" s="114"/>
      <c r="V185" s="115">
        <v>0</v>
      </c>
      <c r="W185" s="114"/>
      <c r="X185" s="115">
        <v>0</v>
      </c>
      <c r="Y185" s="114"/>
      <c r="Z185" s="115">
        <v>0</v>
      </c>
      <c r="AA185" s="114"/>
      <c r="AB185" s="115">
        <v>0</v>
      </c>
      <c r="AC185" s="114"/>
      <c r="AD185" s="115">
        <v>0</v>
      </c>
      <c r="AE185" s="114"/>
      <c r="AF185" s="115">
        <v>0</v>
      </c>
      <c r="AG185" s="114"/>
      <c r="AH185" s="115">
        <f t="shared" si="18"/>
        <v>670</v>
      </c>
      <c r="AI185" s="116">
        <f t="shared" si="19"/>
        <v>5.1149551042068266E-4</v>
      </c>
      <c r="AJ185" s="117"/>
    </row>
    <row r="186" spans="2:36" outlineLevel="1">
      <c r="B186" s="110" t="s">
        <v>206</v>
      </c>
      <c r="D186" s="111">
        <v>70116</v>
      </c>
      <c r="E186" s="111" t="s">
        <v>254</v>
      </c>
      <c r="F186" s="112"/>
      <c r="G186" s="108"/>
      <c r="H186" s="113"/>
      <c r="I186" s="114"/>
      <c r="J186" s="115">
        <v>10.69</v>
      </c>
      <c r="K186" s="114"/>
      <c r="L186" s="115">
        <v>13.57</v>
      </c>
      <c r="M186" s="114"/>
      <c r="N186" s="115">
        <v>60.74</v>
      </c>
      <c r="O186" s="114"/>
      <c r="P186" s="115">
        <v>96.89</v>
      </c>
      <c r="Q186" s="114"/>
      <c r="R186" s="115">
        <v>175.83</v>
      </c>
      <c r="S186" s="114"/>
      <c r="T186" s="115">
        <v>104.22</v>
      </c>
      <c r="U186" s="114"/>
      <c r="V186" s="115">
        <v>99.14</v>
      </c>
      <c r="W186" s="114"/>
      <c r="X186" s="115">
        <v>256.67</v>
      </c>
      <c r="Y186" s="114"/>
      <c r="Z186" s="115">
        <v>170.04</v>
      </c>
      <c r="AA186" s="114"/>
      <c r="AB186" s="115">
        <v>261.82</v>
      </c>
      <c r="AC186" s="114"/>
      <c r="AD186" s="115">
        <v>173.64</v>
      </c>
      <c r="AE186" s="114"/>
      <c r="AF186" s="115">
        <v>90.8</v>
      </c>
      <c r="AG186" s="114"/>
      <c r="AH186" s="115">
        <f t="shared" si="18"/>
        <v>1514.0500000000002</v>
      </c>
      <c r="AI186" s="116">
        <f t="shared" si="19"/>
        <v>1.1558653396304996E-3</v>
      </c>
      <c r="AJ186" s="117"/>
    </row>
    <row r="187" spans="2:36" outlineLevel="1">
      <c r="B187" s="110" t="s">
        <v>206</v>
      </c>
      <c r="D187" s="111">
        <v>70147</v>
      </c>
      <c r="E187" s="111" t="s">
        <v>108</v>
      </c>
      <c r="F187" s="112"/>
      <c r="G187" s="108"/>
      <c r="H187" s="113"/>
      <c r="I187" s="114"/>
      <c r="J187" s="115">
        <v>474.45</v>
      </c>
      <c r="K187" s="114"/>
      <c r="L187" s="115">
        <v>350.62</v>
      </c>
      <c r="M187" s="114"/>
      <c r="N187" s="115">
        <v>430.8</v>
      </c>
      <c r="O187" s="114"/>
      <c r="P187" s="115">
        <v>370</v>
      </c>
      <c r="Q187" s="114"/>
      <c r="R187" s="115">
        <v>370</v>
      </c>
      <c r="S187" s="114"/>
      <c r="T187" s="115">
        <v>370</v>
      </c>
      <c r="U187" s="114"/>
      <c r="V187" s="115">
        <v>370</v>
      </c>
      <c r="W187" s="114"/>
      <c r="X187" s="115">
        <v>370</v>
      </c>
      <c r="Y187" s="114"/>
      <c r="Z187" s="115">
        <v>370</v>
      </c>
      <c r="AA187" s="114"/>
      <c r="AB187" s="115">
        <v>370</v>
      </c>
      <c r="AC187" s="114"/>
      <c r="AD187" s="115">
        <v>370</v>
      </c>
      <c r="AE187" s="114"/>
      <c r="AF187" s="115">
        <v>370</v>
      </c>
      <c r="AG187" s="114"/>
      <c r="AH187" s="115">
        <f t="shared" si="18"/>
        <v>4585.87</v>
      </c>
      <c r="AI187" s="116">
        <f t="shared" si="19"/>
        <v>3.5009730095117851E-3</v>
      </c>
      <c r="AJ187" s="117"/>
    </row>
    <row r="188" spans="2:36" outlineLevel="1">
      <c r="B188" s="110" t="s">
        <v>206</v>
      </c>
      <c r="D188" s="111">
        <v>70148</v>
      </c>
      <c r="E188" s="111" t="s">
        <v>58</v>
      </c>
      <c r="F188" s="112"/>
      <c r="G188" s="108"/>
      <c r="H188" s="113"/>
      <c r="I188" s="114"/>
      <c r="J188" s="115">
        <v>422.12</v>
      </c>
      <c r="K188" s="114"/>
      <c r="L188" s="115">
        <v>644.14</v>
      </c>
      <c r="M188" s="114"/>
      <c r="N188" s="115">
        <v>462.79</v>
      </c>
      <c r="O188" s="114"/>
      <c r="P188" s="115">
        <v>303.69</v>
      </c>
      <c r="Q188" s="114"/>
      <c r="R188" s="115">
        <v>484.59</v>
      </c>
      <c r="S188" s="114"/>
      <c r="T188" s="115">
        <v>386.6</v>
      </c>
      <c r="U188" s="114"/>
      <c r="V188" s="115">
        <v>255.39</v>
      </c>
      <c r="W188" s="114"/>
      <c r="X188" s="115">
        <v>222.92</v>
      </c>
      <c r="Y188" s="114"/>
      <c r="Z188" s="115">
        <v>482.02</v>
      </c>
      <c r="AA188" s="114"/>
      <c r="AB188" s="115">
        <v>247.85</v>
      </c>
      <c r="AC188" s="114"/>
      <c r="AD188" s="115">
        <v>219.35</v>
      </c>
      <c r="AE188" s="114"/>
      <c r="AF188" s="115">
        <v>297.82</v>
      </c>
      <c r="AG188" s="114"/>
      <c r="AH188" s="115">
        <f t="shared" si="18"/>
        <v>4429.28</v>
      </c>
      <c r="AI188" s="116">
        <f t="shared" si="19"/>
        <v>3.3814281110389872E-3</v>
      </c>
      <c r="AJ188" s="117"/>
    </row>
    <row r="189" spans="2:36" outlineLevel="1">
      <c r="B189" s="110" t="s">
        <v>206</v>
      </c>
      <c r="D189" s="111">
        <v>70150</v>
      </c>
      <c r="E189" s="111" t="s">
        <v>121</v>
      </c>
      <c r="F189" s="112"/>
      <c r="G189" s="108"/>
      <c r="H189" s="113"/>
      <c r="I189" s="114"/>
      <c r="J189" s="115">
        <v>0</v>
      </c>
      <c r="K189" s="114"/>
      <c r="L189" s="115">
        <v>601.46</v>
      </c>
      <c r="M189" s="114"/>
      <c r="N189" s="115">
        <v>0</v>
      </c>
      <c r="O189" s="114"/>
      <c r="P189" s="115">
        <v>384.78</v>
      </c>
      <c r="Q189" s="114"/>
      <c r="R189" s="115">
        <v>0</v>
      </c>
      <c r="S189" s="114"/>
      <c r="T189" s="115">
        <v>202.47</v>
      </c>
      <c r="U189" s="114"/>
      <c r="V189" s="115">
        <v>0</v>
      </c>
      <c r="W189" s="114"/>
      <c r="X189" s="115">
        <v>191.09</v>
      </c>
      <c r="Y189" s="114"/>
      <c r="Z189" s="115">
        <v>0</v>
      </c>
      <c r="AA189" s="114"/>
      <c r="AB189" s="115">
        <v>199.66</v>
      </c>
      <c r="AC189" s="114"/>
      <c r="AD189" s="115">
        <v>0</v>
      </c>
      <c r="AE189" s="114"/>
      <c r="AF189" s="115">
        <v>363.28</v>
      </c>
      <c r="AG189" s="114"/>
      <c r="AH189" s="115">
        <f t="shared" si="18"/>
        <v>1942.74</v>
      </c>
      <c r="AI189" s="116">
        <f t="shared" si="19"/>
        <v>1.4831384894248912E-3</v>
      </c>
      <c r="AJ189" s="117"/>
    </row>
    <row r="190" spans="2:36" outlineLevel="1">
      <c r="B190" s="110" t="s">
        <v>206</v>
      </c>
      <c r="D190" s="111">
        <v>70165</v>
      </c>
      <c r="E190" s="111" t="s">
        <v>50</v>
      </c>
      <c r="F190" s="112"/>
      <c r="G190" s="108"/>
      <c r="H190" s="113"/>
      <c r="I190" s="114"/>
      <c r="J190" s="115">
        <v>130</v>
      </c>
      <c r="K190" s="114"/>
      <c r="L190" s="115">
        <v>617</v>
      </c>
      <c r="M190" s="114"/>
      <c r="N190" s="115">
        <v>454.19</v>
      </c>
      <c r="O190" s="114"/>
      <c r="P190" s="115">
        <v>0</v>
      </c>
      <c r="Q190" s="114"/>
      <c r="R190" s="115">
        <v>978.16</v>
      </c>
      <c r="S190" s="114"/>
      <c r="T190" s="115">
        <v>459.83</v>
      </c>
      <c r="U190" s="114"/>
      <c r="V190" s="115">
        <v>524.49</v>
      </c>
      <c r="W190" s="114"/>
      <c r="X190" s="115">
        <v>525</v>
      </c>
      <c r="Y190" s="114"/>
      <c r="Z190" s="115">
        <v>440.01</v>
      </c>
      <c r="AA190" s="114"/>
      <c r="AB190" s="115">
        <v>493.53</v>
      </c>
      <c r="AC190" s="114"/>
      <c r="AD190" s="115">
        <v>486.26</v>
      </c>
      <c r="AE190" s="114"/>
      <c r="AF190" s="115">
        <v>425.41</v>
      </c>
      <c r="AG190" s="114"/>
      <c r="AH190" s="115">
        <f t="shared" si="18"/>
        <v>5533.8799999999992</v>
      </c>
      <c r="AI190" s="116">
        <f t="shared" si="19"/>
        <v>4.2247086197116524E-3</v>
      </c>
      <c r="AJ190" s="117"/>
    </row>
    <row r="191" spans="2:36" outlineLevel="1">
      <c r="B191" s="110" t="s">
        <v>206</v>
      </c>
      <c r="D191" s="111">
        <v>70167</v>
      </c>
      <c r="E191" s="111" t="s">
        <v>276</v>
      </c>
      <c r="F191" s="112"/>
      <c r="G191" s="108"/>
      <c r="H191" s="113"/>
      <c r="I191" s="114"/>
      <c r="J191" s="115">
        <v>113.79</v>
      </c>
      <c r="K191" s="114"/>
      <c r="L191" s="115">
        <v>110.67</v>
      </c>
      <c r="M191" s="114"/>
      <c r="N191" s="115">
        <v>80.760000000000005</v>
      </c>
      <c r="O191" s="114"/>
      <c r="P191" s="115">
        <v>95.4</v>
      </c>
      <c r="Q191" s="114"/>
      <c r="R191" s="115">
        <v>95.43</v>
      </c>
      <c r="S191" s="114"/>
      <c r="T191" s="115">
        <v>95.43</v>
      </c>
      <c r="U191" s="114"/>
      <c r="V191" s="115">
        <v>95.43</v>
      </c>
      <c r="W191" s="114"/>
      <c r="X191" s="115">
        <v>155.46</v>
      </c>
      <c r="Y191" s="114"/>
      <c r="Z191" s="115">
        <v>155.46</v>
      </c>
      <c r="AA191" s="114"/>
      <c r="AB191" s="115">
        <v>263.60000000000002</v>
      </c>
      <c r="AC191" s="114"/>
      <c r="AD191" s="115">
        <v>405.5</v>
      </c>
      <c r="AE191" s="114"/>
      <c r="AF191" s="115">
        <v>206.42</v>
      </c>
      <c r="AG191" s="114"/>
      <c r="AH191" s="115">
        <f t="shared" si="18"/>
        <v>1873.3500000000004</v>
      </c>
      <c r="AI191" s="116">
        <f t="shared" si="19"/>
        <v>1.4301643499202779E-3</v>
      </c>
      <c r="AJ191" s="117"/>
    </row>
    <row r="192" spans="2:36" outlineLevel="1">
      <c r="B192" s="110" t="s">
        <v>206</v>
      </c>
      <c r="D192" s="111">
        <v>70175</v>
      </c>
      <c r="E192" s="111" t="s">
        <v>51</v>
      </c>
      <c r="F192" s="112"/>
      <c r="G192" s="108"/>
      <c r="H192" s="113"/>
      <c r="I192" s="114"/>
      <c r="J192" s="115">
        <v>512.61</v>
      </c>
      <c r="K192" s="114"/>
      <c r="L192" s="115">
        <v>189.51</v>
      </c>
      <c r="M192" s="114"/>
      <c r="N192" s="115">
        <v>189.51</v>
      </c>
      <c r="O192" s="114"/>
      <c r="P192" s="115">
        <v>189.51</v>
      </c>
      <c r="Q192" s="114"/>
      <c r="R192" s="115">
        <v>189.51</v>
      </c>
      <c r="S192" s="114"/>
      <c r="T192" s="115">
        <v>189.51</v>
      </c>
      <c r="U192" s="114"/>
      <c r="V192" s="115">
        <v>189.51</v>
      </c>
      <c r="W192" s="114"/>
      <c r="X192" s="115">
        <v>200.88</v>
      </c>
      <c r="Y192" s="114"/>
      <c r="Z192" s="115">
        <v>200.88</v>
      </c>
      <c r="AA192" s="114"/>
      <c r="AB192" s="115">
        <v>200.88</v>
      </c>
      <c r="AC192" s="114"/>
      <c r="AD192" s="115">
        <v>210.88</v>
      </c>
      <c r="AE192" s="114"/>
      <c r="AF192" s="115">
        <v>200.88</v>
      </c>
      <c r="AG192" s="114"/>
      <c r="AH192" s="115">
        <f t="shared" si="18"/>
        <v>2664.07</v>
      </c>
      <c r="AI192" s="116">
        <f t="shared" si="19"/>
        <v>2.0338206633528778E-3</v>
      </c>
      <c r="AJ192" s="117"/>
    </row>
    <row r="193" spans="2:36" outlineLevel="1">
      <c r="B193" s="110" t="s">
        <v>206</v>
      </c>
      <c r="D193" s="111">
        <v>70201</v>
      </c>
      <c r="E193" s="111" t="s">
        <v>139</v>
      </c>
      <c r="F193" s="112"/>
      <c r="G193" s="108"/>
      <c r="H193" s="113"/>
      <c r="I193" s="114"/>
      <c r="J193" s="115">
        <v>0</v>
      </c>
      <c r="K193" s="114"/>
      <c r="L193" s="115">
        <v>0</v>
      </c>
      <c r="M193" s="114"/>
      <c r="N193" s="115">
        <v>0</v>
      </c>
      <c r="O193" s="114"/>
      <c r="P193" s="115">
        <v>0</v>
      </c>
      <c r="Q193" s="114"/>
      <c r="R193" s="115">
        <v>0</v>
      </c>
      <c r="S193" s="114"/>
      <c r="T193" s="115">
        <v>0</v>
      </c>
      <c r="U193" s="114"/>
      <c r="V193" s="115">
        <v>0</v>
      </c>
      <c r="W193" s="114"/>
      <c r="X193" s="115">
        <v>21.99</v>
      </c>
      <c r="Y193" s="114"/>
      <c r="Z193" s="115">
        <v>0</v>
      </c>
      <c r="AA193" s="114"/>
      <c r="AB193" s="115">
        <v>0</v>
      </c>
      <c r="AC193" s="114"/>
      <c r="AD193" s="115">
        <v>256.27999999999997</v>
      </c>
      <c r="AE193" s="114"/>
      <c r="AF193" s="115">
        <v>0</v>
      </c>
      <c r="AG193" s="114"/>
      <c r="AH193" s="115">
        <f t="shared" si="18"/>
        <v>278.27</v>
      </c>
      <c r="AI193" s="116">
        <f t="shared" si="19"/>
        <v>2.1243859057427369E-4</v>
      </c>
      <c r="AJ193" s="117"/>
    </row>
    <row r="194" spans="2:36" outlineLevel="1">
      <c r="B194" s="110" t="s">
        <v>206</v>
      </c>
      <c r="D194" s="111">
        <v>70205</v>
      </c>
      <c r="E194" s="111" t="s">
        <v>277</v>
      </c>
      <c r="F194" s="112"/>
      <c r="G194" s="108"/>
      <c r="H194" s="113"/>
      <c r="I194" s="114"/>
      <c r="J194" s="115">
        <v>0</v>
      </c>
      <c r="K194" s="114"/>
      <c r="L194" s="115">
        <v>512.53</v>
      </c>
      <c r="M194" s="114"/>
      <c r="N194" s="115">
        <v>0</v>
      </c>
      <c r="O194" s="114"/>
      <c r="P194" s="115">
        <v>0</v>
      </c>
      <c r="Q194" s="114"/>
      <c r="R194" s="115">
        <v>0</v>
      </c>
      <c r="S194" s="114"/>
      <c r="T194" s="115">
        <v>0</v>
      </c>
      <c r="U194" s="114"/>
      <c r="V194" s="115">
        <v>0</v>
      </c>
      <c r="W194" s="114"/>
      <c r="X194" s="115">
        <v>194.74</v>
      </c>
      <c r="Y194" s="114"/>
      <c r="Z194" s="115">
        <v>93.63</v>
      </c>
      <c r="AA194" s="114"/>
      <c r="AB194" s="115">
        <v>132.68</v>
      </c>
      <c r="AC194" s="114"/>
      <c r="AD194" s="115">
        <v>148.68</v>
      </c>
      <c r="AE194" s="114"/>
      <c r="AF194" s="115">
        <v>92.02</v>
      </c>
      <c r="AG194" s="114"/>
      <c r="AH194" s="115">
        <f t="shared" si="18"/>
        <v>1174.28</v>
      </c>
      <c r="AI194" s="116">
        <f t="shared" si="19"/>
        <v>8.9647604175641679E-4</v>
      </c>
      <c r="AJ194" s="117"/>
    </row>
    <row r="195" spans="2:36" outlineLevel="1">
      <c r="B195" s="110" t="s">
        <v>206</v>
      </c>
      <c r="D195" s="111">
        <v>70206</v>
      </c>
      <c r="E195" s="111" t="s">
        <v>142</v>
      </c>
      <c r="F195" s="112"/>
      <c r="G195" s="108"/>
      <c r="H195" s="113"/>
      <c r="I195" s="114"/>
      <c r="J195" s="115">
        <v>0</v>
      </c>
      <c r="K195" s="114"/>
      <c r="L195" s="115">
        <v>0</v>
      </c>
      <c r="M195" s="114"/>
      <c r="N195" s="115">
        <v>0</v>
      </c>
      <c r="O195" s="114"/>
      <c r="P195" s="115">
        <v>0</v>
      </c>
      <c r="Q195" s="114"/>
      <c r="R195" s="115">
        <v>0</v>
      </c>
      <c r="S195" s="114"/>
      <c r="T195" s="115">
        <v>0</v>
      </c>
      <c r="U195" s="114"/>
      <c r="V195" s="115">
        <v>0</v>
      </c>
      <c r="W195" s="114"/>
      <c r="X195" s="115">
        <v>0</v>
      </c>
      <c r="Y195" s="114"/>
      <c r="Z195" s="115">
        <v>0</v>
      </c>
      <c r="AA195" s="114"/>
      <c r="AB195" s="115">
        <v>0</v>
      </c>
      <c r="AC195" s="114"/>
      <c r="AD195" s="115">
        <v>0</v>
      </c>
      <c r="AE195" s="114"/>
      <c r="AF195" s="115">
        <v>100</v>
      </c>
      <c r="AG195" s="114"/>
      <c r="AH195" s="115">
        <f t="shared" si="18"/>
        <v>100</v>
      </c>
      <c r="AI195" s="116">
        <f t="shared" si="19"/>
        <v>7.6342613495624279E-5</v>
      </c>
      <c r="AJ195" s="117"/>
    </row>
    <row r="196" spans="2:36" outlineLevel="1">
      <c r="B196" s="110" t="s">
        <v>206</v>
      </c>
      <c r="D196" s="111">
        <v>70210</v>
      </c>
      <c r="E196" s="111" t="s">
        <v>105</v>
      </c>
      <c r="F196" s="112"/>
      <c r="G196" s="108"/>
      <c r="H196" s="113"/>
      <c r="I196" s="114"/>
      <c r="J196" s="115">
        <v>0</v>
      </c>
      <c r="K196" s="114"/>
      <c r="L196" s="115">
        <v>0</v>
      </c>
      <c r="M196" s="114"/>
      <c r="N196" s="115">
        <v>0</v>
      </c>
      <c r="O196" s="114"/>
      <c r="P196" s="115">
        <v>0</v>
      </c>
      <c r="Q196" s="114"/>
      <c r="R196" s="115">
        <v>0</v>
      </c>
      <c r="S196" s="114"/>
      <c r="T196" s="115">
        <v>0</v>
      </c>
      <c r="U196" s="114"/>
      <c r="V196" s="115">
        <v>0</v>
      </c>
      <c r="W196" s="114"/>
      <c r="X196" s="115">
        <v>0</v>
      </c>
      <c r="Y196" s="114"/>
      <c r="Z196" s="115">
        <v>0</v>
      </c>
      <c r="AA196" s="114"/>
      <c r="AB196" s="115">
        <v>19.5</v>
      </c>
      <c r="AC196" s="114"/>
      <c r="AD196" s="115">
        <v>48.91</v>
      </c>
      <c r="AE196" s="114"/>
      <c r="AF196" s="115">
        <v>0</v>
      </c>
      <c r="AG196" s="114"/>
      <c r="AH196" s="115">
        <f t="shared" si="18"/>
        <v>68.41</v>
      </c>
      <c r="AI196" s="116">
        <f t="shared" si="19"/>
        <v>5.2225981892356568E-5</v>
      </c>
      <c r="AJ196" s="117"/>
    </row>
    <row r="197" spans="2:36" outlineLevel="1">
      <c r="B197" s="110" t="s">
        <v>206</v>
      </c>
      <c r="D197" s="111">
        <v>70214</v>
      </c>
      <c r="E197" s="111" t="s">
        <v>144</v>
      </c>
      <c r="F197" s="112"/>
      <c r="G197" s="108"/>
      <c r="H197" s="113"/>
      <c r="I197" s="114"/>
      <c r="J197" s="115">
        <v>883.54</v>
      </c>
      <c r="K197" s="114"/>
      <c r="L197" s="115">
        <v>999.37</v>
      </c>
      <c r="M197" s="114"/>
      <c r="N197" s="115">
        <v>1172.83</v>
      </c>
      <c r="O197" s="114"/>
      <c r="P197" s="115">
        <v>1188.04</v>
      </c>
      <c r="Q197" s="114"/>
      <c r="R197" s="115">
        <v>1423.85</v>
      </c>
      <c r="S197" s="114"/>
      <c r="T197" s="115">
        <v>1883.56</v>
      </c>
      <c r="U197" s="114"/>
      <c r="V197" s="115">
        <v>2452.2199999999998</v>
      </c>
      <c r="W197" s="114"/>
      <c r="X197" s="115">
        <v>1849.62</v>
      </c>
      <c r="Y197" s="114"/>
      <c r="Z197" s="115">
        <v>1585.86</v>
      </c>
      <c r="AA197" s="114"/>
      <c r="AB197" s="115">
        <v>1860.78</v>
      </c>
      <c r="AC197" s="114"/>
      <c r="AD197" s="115">
        <v>1506.36</v>
      </c>
      <c r="AE197" s="114"/>
      <c r="AF197" s="115">
        <v>1389.01</v>
      </c>
      <c r="AG197" s="114"/>
      <c r="AH197" s="115">
        <f t="shared" si="18"/>
        <v>18195.04</v>
      </c>
      <c r="AI197" s="116">
        <f t="shared" si="19"/>
        <v>1.3890569062574238E-2</v>
      </c>
      <c r="AJ197" s="117"/>
    </row>
    <row r="198" spans="2:36" outlineLevel="1">
      <c r="B198" s="110" t="s">
        <v>206</v>
      </c>
      <c r="D198" s="111">
        <v>70231</v>
      </c>
      <c r="E198" s="111" t="s">
        <v>146</v>
      </c>
      <c r="F198" s="112"/>
      <c r="G198" s="108"/>
      <c r="H198" s="113"/>
      <c r="I198" s="114"/>
      <c r="J198" s="115">
        <v>0</v>
      </c>
      <c r="K198" s="114"/>
      <c r="L198" s="115">
        <v>0</v>
      </c>
      <c r="M198" s="114"/>
      <c r="N198" s="115">
        <v>0</v>
      </c>
      <c r="O198" s="114"/>
      <c r="P198" s="115">
        <v>0</v>
      </c>
      <c r="Q198" s="114"/>
      <c r="R198" s="115">
        <v>0</v>
      </c>
      <c r="S198" s="114"/>
      <c r="T198" s="115">
        <v>0</v>
      </c>
      <c r="U198" s="114"/>
      <c r="V198" s="115">
        <v>0</v>
      </c>
      <c r="W198" s="114"/>
      <c r="X198" s="115">
        <v>0</v>
      </c>
      <c r="Y198" s="114"/>
      <c r="Z198" s="115">
        <v>0</v>
      </c>
      <c r="AA198" s="114"/>
      <c r="AB198" s="115">
        <v>0</v>
      </c>
      <c r="AC198" s="114"/>
      <c r="AD198" s="115">
        <v>35</v>
      </c>
      <c r="AE198" s="114"/>
      <c r="AF198" s="115">
        <v>0</v>
      </c>
      <c r="AG198" s="114"/>
      <c r="AH198" s="115">
        <f t="shared" si="18"/>
        <v>35</v>
      </c>
      <c r="AI198" s="116">
        <f t="shared" si="19"/>
        <v>2.6719914723468499E-5</v>
      </c>
      <c r="AJ198" s="117"/>
    </row>
    <row r="199" spans="2:36" outlineLevel="1">
      <c r="B199" s="110" t="s">
        <v>206</v>
      </c>
      <c r="D199" s="111">
        <v>70245</v>
      </c>
      <c r="E199" s="111" t="s">
        <v>278</v>
      </c>
      <c r="F199" s="112"/>
      <c r="G199" s="108"/>
      <c r="H199" s="113"/>
      <c r="I199" s="114"/>
      <c r="J199" s="115">
        <v>17.75</v>
      </c>
      <c r="K199" s="114"/>
      <c r="L199" s="115">
        <v>17.75</v>
      </c>
      <c r="M199" s="114"/>
      <c r="N199" s="115">
        <v>17.75</v>
      </c>
      <c r="O199" s="114"/>
      <c r="P199" s="115">
        <v>0</v>
      </c>
      <c r="Q199" s="114"/>
      <c r="R199" s="115">
        <v>0</v>
      </c>
      <c r="S199" s="114"/>
      <c r="T199" s="115">
        <v>0</v>
      </c>
      <c r="U199" s="114"/>
      <c r="V199" s="115">
        <v>0</v>
      </c>
      <c r="W199" s="114"/>
      <c r="X199" s="115">
        <v>0</v>
      </c>
      <c r="Y199" s="114"/>
      <c r="Z199" s="115">
        <v>0</v>
      </c>
      <c r="AA199" s="114"/>
      <c r="AB199" s="115">
        <v>0</v>
      </c>
      <c r="AC199" s="114"/>
      <c r="AD199" s="115">
        <v>0</v>
      </c>
      <c r="AE199" s="114"/>
      <c r="AF199" s="115">
        <v>0</v>
      </c>
      <c r="AG199" s="114"/>
      <c r="AH199" s="115">
        <f t="shared" si="18"/>
        <v>53.25</v>
      </c>
      <c r="AI199" s="116">
        <f t="shared" si="19"/>
        <v>4.0652441686419931E-5</v>
      </c>
      <c r="AJ199" s="117"/>
    </row>
    <row r="200" spans="2:36" outlineLevel="1">
      <c r="B200" s="110" t="s">
        <v>206</v>
      </c>
      <c r="D200" s="111">
        <v>70255</v>
      </c>
      <c r="E200" s="111" t="s">
        <v>73</v>
      </c>
      <c r="F200" s="112"/>
      <c r="G200" s="108"/>
      <c r="H200" s="113"/>
      <c r="I200" s="114"/>
      <c r="J200" s="115">
        <v>6.96</v>
      </c>
      <c r="K200" s="114"/>
      <c r="L200" s="115">
        <v>317.64999999999998</v>
      </c>
      <c r="M200" s="114"/>
      <c r="N200" s="115">
        <v>21.95</v>
      </c>
      <c r="O200" s="114"/>
      <c r="P200" s="115">
        <v>26.79</v>
      </c>
      <c r="Q200" s="114"/>
      <c r="R200" s="115">
        <v>24.69</v>
      </c>
      <c r="S200" s="114"/>
      <c r="T200" s="115">
        <v>5.55</v>
      </c>
      <c r="U200" s="114"/>
      <c r="V200" s="115">
        <v>4.3899999999999997</v>
      </c>
      <c r="W200" s="114"/>
      <c r="X200" s="115">
        <v>9.25</v>
      </c>
      <c r="Y200" s="114"/>
      <c r="Z200" s="115">
        <v>0</v>
      </c>
      <c r="AA200" s="114"/>
      <c r="AB200" s="115">
        <v>1.05</v>
      </c>
      <c r="AC200" s="114"/>
      <c r="AD200" s="115">
        <v>9.4700000000000006</v>
      </c>
      <c r="AE200" s="114"/>
      <c r="AF200" s="115">
        <v>0</v>
      </c>
      <c r="AG200" s="114"/>
      <c r="AH200" s="115">
        <f t="shared" si="18"/>
        <v>427.74999999999994</v>
      </c>
      <c r="AI200" s="116">
        <f t="shared" si="19"/>
        <v>3.2655552922753286E-4</v>
      </c>
      <c r="AJ200" s="117"/>
    </row>
    <row r="201" spans="2:36" outlineLevel="1">
      <c r="B201" s="110" t="s">
        <v>206</v>
      </c>
      <c r="D201" s="111">
        <v>70300</v>
      </c>
      <c r="E201" s="111" t="s">
        <v>112</v>
      </c>
      <c r="F201" s="112"/>
      <c r="G201" s="108"/>
      <c r="H201" s="113"/>
      <c r="I201" s="114"/>
      <c r="J201" s="115">
        <v>886.21</v>
      </c>
      <c r="K201" s="114"/>
      <c r="L201" s="115">
        <v>886.21</v>
      </c>
      <c r="M201" s="114"/>
      <c r="N201" s="115">
        <v>886.21</v>
      </c>
      <c r="O201" s="114"/>
      <c r="P201" s="115">
        <v>886.21</v>
      </c>
      <c r="Q201" s="114"/>
      <c r="R201" s="115">
        <v>886.21</v>
      </c>
      <c r="S201" s="114"/>
      <c r="T201" s="115">
        <v>886.21</v>
      </c>
      <c r="U201" s="114"/>
      <c r="V201" s="115">
        <v>886.21</v>
      </c>
      <c r="W201" s="114"/>
      <c r="X201" s="115">
        <v>886.21</v>
      </c>
      <c r="Y201" s="114"/>
      <c r="Z201" s="115">
        <v>886.21</v>
      </c>
      <c r="AA201" s="114"/>
      <c r="AB201" s="115">
        <v>886.21</v>
      </c>
      <c r="AC201" s="114"/>
      <c r="AD201" s="115">
        <v>886.21</v>
      </c>
      <c r="AE201" s="114"/>
      <c r="AF201" s="115">
        <v>886.21</v>
      </c>
      <c r="AG201" s="114"/>
      <c r="AH201" s="115">
        <f t="shared" si="18"/>
        <v>10634.52</v>
      </c>
      <c r="AI201" s="116">
        <f t="shared" si="19"/>
        <v>8.1186705007148634E-3</v>
      </c>
      <c r="AJ201" s="117"/>
    </row>
    <row r="202" spans="2:36" outlineLevel="1">
      <c r="B202" s="110" t="s">
        <v>206</v>
      </c>
      <c r="D202" s="111">
        <v>70310</v>
      </c>
      <c r="E202" s="111" t="s">
        <v>127</v>
      </c>
      <c r="F202" s="112"/>
      <c r="G202" s="108"/>
      <c r="H202" s="113"/>
      <c r="I202" s="114"/>
      <c r="J202" s="115">
        <v>1347.8</v>
      </c>
      <c r="K202" s="114"/>
      <c r="L202" s="115">
        <v>1555.61</v>
      </c>
      <c r="M202" s="114"/>
      <c r="N202" s="115">
        <v>-236.23</v>
      </c>
      <c r="O202" s="114"/>
      <c r="P202" s="115">
        <v>-8.5399999999999991</v>
      </c>
      <c r="Q202" s="114"/>
      <c r="R202" s="115">
        <v>476.41</v>
      </c>
      <c r="S202" s="114"/>
      <c r="T202" s="115">
        <v>1659.77</v>
      </c>
      <c r="U202" s="114"/>
      <c r="V202" s="115">
        <v>-740.66</v>
      </c>
      <c r="W202" s="114"/>
      <c r="X202" s="115">
        <v>645.48</v>
      </c>
      <c r="Y202" s="114"/>
      <c r="Z202" s="115">
        <v>372.26</v>
      </c>
      <c r="AA202" s="114"/>
      <c r="AB202" s="115">
        <v>486.83</v>
      </c>
      <c r="AC202" s="114"/>
      <c r="AD202" s="115">
        <v>830.92</v>
      </c>
      <c r="AE202" s="114"/>
      <c r="AF202" s="115">
        <v>1325.7</v>
      </c>
      <c r="AG202" s="114"/>
      <c r="AH202" s="115">
        <f t="shared" si="18"/>
        <v>7715.35</v>
      </c>
      <c r="AI202" s="116">
        <f t="shared" si="19"/>
        <v>5.8900998303346485E-3</v>
      </c>
      <c r="AJ202" s="117"/>
    </row>
    <row r="203" spans="2:36" outlineLevel="1">
      <c r="B203" s="110" t="s">
        <v>206</v>
      </c>
      <c r="D203" s="111">
        <v>70320</v>
      </c>
      <c r="E203" s="111" t="s">
        <v>115</v>
      </c>
      <c r="F203" s="112"/>
      <c r="G203" s="108"/>
      <c r="H203" s="113"/>
      <c r="I203" s="114"/>
      <c r="J203" s="115">
        <v>108.2</v>
      </c>
      <c r="K203" s="114"/>
      <c r="L203" s="115">
        <v>123.16</v>
      </c>
      <c r="M203" s="114"/>
      <c r="N203" s="115">
        <v>210.86</v>
      </c>
      <c r="O203" s="114"/>
      <c r="P203" s="115">
        <v>67.459999999999994</v>
      </c>
      <c r="Q203" s="114"/>
      <c r="R203" s="115">
        <v>154.30000000000001</v>
      </c>
      <c r="S203" s="114"/>
      <c r="T203" s="115">
        <v>89.18</v>
      </c>
      <c r="U203" s="114"/>
      <c r="V203" s="115">
        <v>139.66999999999999</v>
      </c>
      <c r="W203" s="114"/>
      <c r="X203" s="115">
        <v>41.53</v>
      </c>
      <c r="Y203" s="114"/>
      <c r="Z203" s="115">
        <v>125.56</v>
      </c>
      <c r="AA203" s="114"/>
      <c r="AB203" s="115">
        <v>173.39</v>
      </c>
      <c r="AC203" s="114"/>
      <c r="AD203" s="115">
        <v>93.83</v>
      </c>
      <c r="AE203" s="114"/>
      <c r="AF203" s="115">
        <v>90</v>
      </c>
      <c r="AG203" s="114"/>
      <c r="AH203" s="115">
        <f t="shared" si="18"/>
        <v>1417.1399999999999</v>
      </c>
      <c r="AI203" s="116">
        <f t="shared" si="19"/>
        <v>1.0818817128918899E-3</v>
      </c>
      <c r="AJ203" s="117"/>
    </row>
    <row r="204" spans="2:36" outlineLevel="1">
      <c r="B204" s="110" t="s">
        <v>206</v>
      </c>
      <c r="D204" s="111">
        <v>70335</v>
      </c>
      <c r="E204" s="111" t="s">
        <v>72</v>
      </c>
      <c r="F204" s="112"/>
      <c r="G204" s="108"/>
      <c r="H204" s="113"/>
      <c r="I204" s="114"/>
      <c r="J204" s="115">
        <v>0</v>
      </c>
      <c r="K204" s="114"/>
      <c r="L204" s="115">
        <v>0</v>
      </c>
      <c r="M204" s="114"/>
      <c r="N204" s="115">
        <v>0</v>
      </c>
      <c r="O204" s="114"/>
      <c r="P204" s="115">
        <v>1526.64</v>
      </c>
      <c r="Q204" s="114"/>
      <c r="R204" s="115">
        <v>0</v>
      </c>
      <c r="S204" s="114"/>
      <c r="T204" s="115">
        <v>0</v>
      </c>
      <c r="U204" s="114"/>
      <c r="V204" s="115">
        <v>-396.11</v>
      </c>
      <c r="W204" s="114"/>
      <c r="X204" s="115">
        <v>-211.46</v>
      </c>
      <c r="Y204" s="114"/>
      <c r="Z204" s="115">
        <v>84.85</v>
      </c>
      <c r="AA204" s="114"/>
      <c r="AB204" s="115">
        <v>0</v>
      </c>
      <c r="AC204" s="114"/>
      <c r="AD204" s="115">
        <v>0</v>
      </c>
      <c r="AE204" s="114"/>
      <c r="AF204" s="115">
        <v>-9.9499999999999993</v>
      </c>
      <c r="AG204" s="114"/>
      <c r="AH204" s="115">
        <f t="shared" si="18"/>
        <v>993.97</v>
      </c>
      <c r="AI204" s="116">
        <f t="shared" si="19"/>
        <v>7.5882267536245675E-4</v>
      </c>
      <c r="AJ204" s="117"/>
    </row>
    <row r="205" spans="2:36" outlineLevel="1">
      <c r="B205" s="110" t="s">
        <v>206</v>
      </c>
      <c r="D205" s="111">
        <v>70336</v>
      </c>
      <c r="E205" s="111" t="s">
        <v>150</v>
      </c>
      <c r="F205" s="112"/>
      <c r="G205" s="108"/>
      <c r="H205" s="113"/>
      <c r="I205" s="114"/>
      <c r="J205" s="115">
        <v>0</v>
      </c>
      <c r="K205" s="114"/>
      <c r="L205" s="115">
        <v>0</v>
      </c>
      <c r="M205" s="114"/>
      <c r="N205" s="115">
        <v>0</v>
      </c>
      <c r="O205" s="114"/>
      <c r="P205" s="115">
        <v>0</v>
      </c>
      <c r="Q205" s="114"/>
      <c r="R205" s="115">
        <v>76</v>
      </c>
      <c r="S205" s="114"/>
      <c r="T205" s="115">
        <v>0</v>
      </c>
      <c r="U205" s="114"/>
      <c r="V205" s="115">
        <v>0</v>
      </c>
      <c r="W205" s="114"/>
      <c r="X205" s="115">
        <v>0</v>
      </c>
      <c r="Y205" s="114"/>
      <c r="Z205" s="115">
        <v>0</v>
      </c>
      <c r="AA205" s="114"/>
      <c r="AB205" s="115">
        <v>0</v>
      </c>
      <c r="AC205" s="114"/>
      <c r="AD205" s="115">
        <v>0</v>
      </c>
      <c r="AE205" s="114"/>
      <c r="AF205" s="115">
        <v>0</v>
      </c>
      <c r="AG205" s="114"/>
      <c r="AH205" s="115">
        <f t="shared" si="18"/>
        <v>76</v>
      </c>
      <c r="AI205" s="116">
        <f t="shared" si="19"/>
        <v>5.8020386256674455E-5</v>
      </c>
      <c r="AJ205" s="117"/>
    </row>
    <row r="206" spans="2:36" s="113" customFormat="1" ht="5.0999999999999996" customHeight="1" outlineLevel="1">
      <c r="B206" s="106" t="s">
        <v>198</v>
      </c>
      <c r="D206" s="112"/>
      <c r="E206" s="112"/>
      <c r="F206" s="112"/>
      <c r="G206" s="112"/>
      <c r="J206" s="148"/>
      <c r="K206" s="146"/>
      <c r="L206" s="148"/>
      <c r="M206" s="146"/>
      <c r="N206" s="148"/>
      <c r="O206" s="146"/>
      <c r="P206" s="148"/>
      <c r="Q206" s="146"/>
      <c r="R206" s="148"/>
      <c r="S206" s="146"/>
      <c r="T206" s="148"/>
      <c r="U206" s="146"/>
      <c r="V206" s="148"/>
      <c r="W206" s="146"/>
      <c r="X206" s="148"/>
      <c r="Y206" s="146"/>
      <c r="Z206" s="148"/>
      <c r="AA206" s="146"/>
      <c r="AB206" s="148"/>
      <c r="AC206" s="146"/>
      <c r="AD206" s="148"/>
      <c r="AE206" s="146"/>
      <c r="AF206" s="148"/>
      <c r="AG206" s="146"/>
      <c r="AH206" s="148"/>
      <c r="AI206" s="142"/>
      <c r="AJ206" s="122"/>
    </row>
    <row r="207" spans="2:36" s="113" customFormat="1" ht="15">
      <c r="B207" s="106" t="s">
        <v>198</v>
      </c>
      <c r="F207" s="112" t="s">
        <v>279</v>
      </c>
      <c r="J207" s="145">
        <f>SUM(J174:J206)</f>
        <v>12624.080000000002</v>
      </c>
      <c r="K207" s="146"/>
      <c r="L207" s="145">
        <f>SUM(L174:L206)</f>
        <v>14188.380000000005</v>
      </c>
      <c r="M207" s="146"/>
      <c r="N207" s="145">
        <f>SUM(N174:N206)</f>
        <v>12317.840000000004</v>
      </c>
      <c r="O207" s="146"/>
      <c r="P207" s="145">
        <f>SUM(P174:P206)</f>
        <v>10348.309999999998</v>
      </c>
      <c r="Q207" s="146"/>
      <c r="R207" s="145">
        <f>SUM(R174:R206)</f>
        <v>12295.489999999998</v>
      </c>
      <c r="S207" s="146"/>
      <c r="T207" s="145">
        <f>SUM(T174:T206)</f>
        <v>11308.480000000003</v>
      </c>
      <c r="U207" s="146"/>
      <c r="V207" s="145">
        <f>SUM(V174:V206)</f>
        <v>9094.06</v>
      </c>
      <c r="W207" s="146"/>
      <c r="X207" s="145">
        <f>SUM(X174:X206)</f>
        <v>16627.709999999995</v>
      </c>
      <c r="Y207" s="146"/>
      <c r="Z207" s="145">
        <f>SUM(Z174:Z206)</f>
        <v>17605.64</v>
      </c>
      <c r="AA207" s="146"/>
      <c r="AB207" s="145">
        <f>SUM(AB174:AB206)</f>
        <v>18832.91</v>
      </c>
      <c r="AC207" s="146"/>
      <c r="AD207" s="145">
        <f>SUM(AD174:AD206)</f>
        <v>19329.66</v>
      </c>
      <c r="AE207" s="146"/>
      <c r="AF207" s="145">
        <f>SUM(AF174:AF206)</f>
        <v>12538.440000000002</v>
      </c>
      <c r="AG207" s="146"/>
      <c r="AH207" s="145">
        <f>SUM(AH174:AH206)</f>
        <v>167111.00000000003</v>
      </c>
      <c r="AI207" s="116">
        <f>IF(AH$50=0,0,AH207/AH$50)</f>
        <v>0.12757690483867273</v>
      </c>
      <c r="AJ207" s="122"/>
    </row>
    <row r="208" spans="2:36" s="113" customFormat="1" ht="8.25" customHeight="1" outlineLevel="1">
      <c r="B208" s="106" t="s">
        <v>198</v>
      </c>
      <c r="J208" s="147"/>
      <c r="K208" s="146"/>
      <c r="L208" s="147"/>
      <c r="M208" s="146"/>
      <c r="N208" s="147"/>
      <c r="O208" s="146"/>
      <c r="P208" s="147"/>
      <c r="Q208" s="146"/>
      <c r="R208" s="147"/>
      <c r="S208" s="146"/>
      <c r="T208" s="147"/>
      <c r="U208" s="146"/>
      <c r="V208" s="147"/>
      <c r="W208" s="146"/>
      <c r="X208" s="147"/>
      <c r="Y208" s="146"/>
      <c r="Z208" s="147"/>
      <c r="AA208" s="146"/>
      <c r="AB208" s="147"/>
      <c r="AC208" s="146"/>
      <c r="AD208" s="147"/>
      <c r="AE208" s="146"/>
      <c r="AF208" s="147"/>
      <c r="AG208" s="146"/>
      <c r="AH208" s="147"/>
      <c r="AI208" s="142"/>
      <c r="AJ208" s="122"/>
    </row>
    <row r="209" spans="1:36" outlineLevel="1">
      <c r="B209" s="110" t="s">
        <v>280</v>
      </c>
      <c r="D209" s="111">
        <v>70149</v>
      </c>
      <c r="E209" s="111" t="s">
        <v>281</v>
      </c>
      <c r="F209" s="112"/>
      <c r="G209" s="108"/>
      <c r="H209" s="113"/>
      <c r="I209" s="114"/>
      <c r="J209" s="115">
        <v>2049.6</v>
      </c>
      <c r="K209" s="114"/>
      <c r="L209" s="115">
        <v>1968.66</v>
      </c>
      <c r="M209" s="114"/>
      <c r="N209" s="115">
        <v>1940.04</v>
      </c>
      <c r="O209" s="114"/>
      <c r="P209" s="115">
        <v>2013.98</v>
      </c>
      <c r="Q209" s="114"/>
      <c r="R209" s="115">
        <v>2068.54</v>
      </c>
      <c r="S209" s="114"/>
      <c r="T209" s="115">
        <v>2104.54</v>
      </c>
      <c r="U209" s="114"/>
      <c r="V209" s="115">
        <v>2408.9499999999998</v>
      </c>
      <c r="W209" s="114"/>
      <c r="X209" s="115">
        <v>2440.12</v>
      </c>
      <c r="Y209" s="114"/>
      <c r="Z209" s="115">
        <v>2391.31</v>
      </c>
      <c r="AA209" s="114"/>
      <c r="AB209" s="115">
        <v>2408.3200000000002</v>
      </c>
      <c r="AC209" s="114"/>
      <c r="AD209" s="115">
        <v>2405.0500000000002</v>
      </c>
      <c r="AE209" s="114"/>
      <c r="AF209" s="115">
        <v>2406.67</v>
      </c>
      <c r="AG209" s="114"/>
      <c r="AH209" s="115">
        <f>AF209+AD209+AB209+Z209+X209+V209+T209+R209+P209+N209+L209+J209</f>
        <v>26605.780000000002</v>
      </c>
      <c r="AI209" s="116">
        <f>IF(AH$50=0,0,AH209/AH$50)</f>
        <v>2.0311547792896109E-2</v>
      </c>
      <c r="AJ209" s="117"/>
    </row>
    <row r="210" spans="1:36" s="113" customFormat="1" ht="5.0999999999999996" customHeight="1" outlineLevel="1">
      <c r="B210" s="106" t="s">
        <v>198</v>
      </c>
      <c r="D210" s="112"/>
      <c r="E210" s="112"/>
      <c r="F210" s="112"/>
      <c r="G210" s="112"/>
      <c r="J210" s="148"/>
      <c r="K210" s="146"/>
      <c r="L210" s="148"/>
      <c r="M210" s="146"/>
      <c r="N210" s="148"/>
      <c r="O210" s="146"/>
      <c r="P210" s="148"/>
      <c r="Q210" s="146"/>
      <c r="R210" s="148"/>
      <c r="S210" s="146"/>
      <c r="T210" s="148"/>
      <c r="U210" s="146"/>
      <c r="V210" s="148"/>
      <c r="W210" s="146"/>
      <c r="X210" s="148"/>
      <c r="Y210" s="146"/>
      <c r="Z210" s="148"/>
      <c r="AA210" s="146"/>
      <c r="AB210" s="148"/>
      <c r="AC210" s="146"/>
      <c r="AD210" s="148"/>
      <c r="AE210" s="146"/>
      <c r="AF210" s="148"/>
      <c r="AG210" s="146"/>
      <c r="AH210" s="148"/>
      <c r="AI210" s="142"/>
      <c r="AJ210" s="122"/>
    </row>
    <row r="211" spans="1:36" s="113" customFormat="1" ht="15">
      <c r="B211" s="106" t="s">
        <v>198</v>
      </c>
      <c r="F211" s="111" t="s">
        <v>282</v>
      </c>
      <c r="J211" s="145">
        <f>SUM(J208:J210)</f>
        <v>2049.6</v>
      </c>
      <c r="K211" s="146"/>
      <c r="L211" s="145">
        <f>SUM(L208:L210)</f>
        <v>1968.66</v>
      </c>
      <c r="M211" s="146"/>
      <c r="N211" s="145">
        <f>SUM(N208:N210)</f>
        <v>1940.04</v>
      </c>
      <c r="O211" s="146"/>
      <c r="P211" s="145">
        <f>SUM(P208:P210)</f>
        <v>2013.98</v>
      </c>
      <c r="Q211" s="146"/>
      <c r="R211" s="145">
        <f>SUM(R208:R210)</f>
        <v>2068.54</v>
      </c>
      <c r="S211" s="146"/>
      <c r="T211" s="145">
        <f>SUM(T208:T210)</f>
        <v>2104.54</v>
      </c>
      <c r="U211" s="146"/>
      <c r="V211" s="145">
        <f>SUM(V208:V210)</f>
        <v>2408.9499999999998</v>
      </c>
      <c r="W211" s="146"/>
      <c r="X211" s="145">
        <f>SUM(X208:X210)</f>
        <v>2440.12</v>
      </c>
      <c r="Y211" s="146"/>
      <c r="Z211" s="145">
        <f>SUM(Z208:Z210)</f>
        <v>2391.31</v>
      </c>
      <c r="AA211" s="146"/>
      <c r="AB211" s="145">
        <f>SUM(AB208:AB210)</f>
        <v>2408.3200000000002</v>
      </c>
      <c r="AC211" s="146"/>
      <c r="AD211" s="145">
        <f>SUM(AD208:AD210)</f>
        <v>2405.0500000000002</v>
      </c>
      <c r="AE211" s="146"/>
      <c r="AF211" s="145">
        <f>SUM(AF208:AF210)</f>
        <v>2406.67</v>
      </c>
      <c r="AG211" s="146"/>
      <c r="AH211" s="145">
        <f>SUM(AH208:AH210)</f>
        <v>26605.780000000002</v>
      </c>
      <c r="AI211" s="116">
        <f>IF(AH$50=0,0,AH211/AH$50)</f>
        <v>2.0311547792896109E-2</v>
      </c>
      <c r="AJ211" s="122"/>
    </row>
    <row r="212" spans="1:36" s="113" customFormat="1" ht="7.5" customHeight="1">
      <c r="B212" s="106"/>
      <c r="J212" s="147"/>
      <c r="K212" s="146"/>
      <c r="L212" s="147"/>
      <c r="M212" s="146"/>
      <c r="N212" s="147"/>
      <c r="O212" s="146"/>
      <c r="P212" s="147"/>
      <c r="Q212" s="146"/>
      <c r="R212" s="147"/>
      <c r="S212" s="146"/>
      <c r="T212" s="147"/>
      <c r="U212" s="146"/>
      <c r="V212" s="147"/>
      <c r="W212" s="146"/>
      <c r="X212" s="147"/>
      <c r="Y212" s="146"/>
      <c r="Z212" s="147"/>
      <c r="AA212" s="146"/>
      <c r="AB212" s="147"/>
      <c r="AC212" s="146"/>
      <c r="AD212" s="147"/>
      <c r="AE212" s="146"/>
      <c r="AF212" s="147"/>
      <c r="AG212" s="146"/>
      <c r="AH212" s="147"/>
      <c r="AI212" s="142"/>
      <c r="AJ212" s="122"/>
    </row>
    <row r="213" spans="1:36" s="113" customFormat="1" ht="15">
      <c r="B213" s="106"/>
      <c r="E213" s="150" t="s">
        <v>283</v>
      </c>
      <c r="J213" s="151">
        <f>+J172+J207+J211</f>
        <v>14673.680000000002</v>
      </c>
      <c r="K213" s="146"/>
      <c r="L213" s="151">
        <f>+L172+L207+L211</f>
        <v>16157.040000000005</v>
      </c>
      <c r="M213" s="146"/>
      <c r="N213" s="151">
        <f>+N172+N207+N211</f>
        <v>14257.880000000005</v>
      </c>
      <c r="O213" s="146"/>
      <c r="P213" s="151">
        <f>+P172+P207+P211</f>
        <v>12362.289999999997</v>
      </c>
      <c r="Q213" s="146"/>
      <c r="R213" s="151">
        <f>+R172+R207+R211</f>
        <v>14364.029999999999</v>
      </c>
      <c r="S213" s="146"/>
      <c r="T213" s="151">
        <f>+T172+T207+T211</f>
        <v>13413.020000000004</v>
      </c>
      <c r="U213" s="146"/>
      <c r="V213" s="151">
        <f>+V172+V207+V211</f>
        <v>11503.009999999998</v>
      </c>
      <c r="W213" s="146"/>
      <c r="X213" s="151">
        <f>+X172+X207+X211</f>
        <v>19067.829999999994</v>
      </c>
      <c r="Y213" s="146"/>
      <c r="Z213" s="151">
        <f>+Z172+Z207+Z211</f>
        <v>19996.95</v>
      </c>
      <c r="AA213" s="146"/>
      <c r="AB213" s="151">
        <f>+AB172+AB207+AB211</f>
        <v>21241.23</v>
      </c>
      <c r="AC213" s="146"/>
      <c r="AD213" s="151">
        <f>+AD172+AD207+AD211</f>
        <v>21734.71</v>
      </c>
      <c r="AE213" s="146"/>
      <c r="AF213" s="151">
        <f>+AF172+AF207+AF211</f>
        <v>14945.110000000002</v>
      </c>
      <c r="AG213" s="146"/>
      <c r="AH213" s="151">
        <f>+AH172+AH207+AH211</f>
        <v>193716.78000000003</v>
      </c>
      <c r="AI213" s="116">
        <f>IF(AH$50=0,0,AH213/AH$50)</f>
        <v>0.14788845263156883</v>
      </c>
      <c r="AJ213" s="122"/>
    </row>
    <row r="214" spans="1:36" s="113" customFormat="1" ht="7.5" customHeight="1">
      <c r="B214" s="106"/>
      <c r="J214" s="147"/>
      <c r="K214" s="146"/>
      <c r="L214" s="147"/>
      <c r="M214" s="146"/>
      <c r="N214" s="147"/>
      <c r="O214" s="146"/>
      <c r="P214" s="147"/>
      <c r="Q214" s="146"/>
      <c r="R214" s="147"/>
      <c r="S214" s="146"/>
      <c r="T214" s="147"/>
      <c r="U214" s="146"/>
      <c r="V214" s="147"/>
      <c r="W214" s="146"/>
      <c r="X214" s="147"/>
      <c r="Y214" s="146"/>
      <c r="Z214" s="147"/>
      <c r="AA214" s="146"/>
      <c r="AB214" s="147"/>
      <c r="AC214" s="146"/>
      <c r="AD214" s="147"/>
      <c r="AE214" s="146"/>
      <c r="AF214" s="147"/>
      <c r="AG214" s="146"/>
      <c r="AH214" s="147"/>
      <c r="AI214" s="142"/>
      <c r="AJ214" s="122"/>
    </row>
    <row r="215" spans="1:36" s="113" customFormat="1" ht="7.5" customHeight="1">
      <c r="B215" s="106" t="s">
        <v>198</v>
      </c>
      <c r="D215" s="157"/>
      <c r="E215" s="157"/>
      <c r="F215" s="157"/>
      <c r="G215" s="157"/>
      <c r="H215" s="157"/>
      <c r="I215" s="157"/>
      <c r="J215" s="155"/>
      <c r="K215" s="146"/>
      <c r="L215" s="155"/>
      <c r="M215" s="146"/>
      <c r="N215" s="155"/>
      <c r="O215" s="146"/>
      <c r="P215" s="155"/>
      <c r="Q215" s="146"/>
      <c r="R215" s="155"/>
      <c r="S215" s="146"/>
      <c r="T215" s="155"/>
      <c r="U215" s="146"/>
      <c r="V215" s="155"/>
      <c r="W215" s="146"/>
      <c r="X215" s="155"/>
      <c r="Y215" s="146"/>
      <c r="Z215" s="155"/>
      <c r="AA215" s="146"/>
      <c r="AB215" s="155"/>
      <c r="AC215" s="146"/>
      <c r="AD215" s="155"/>
      <c r="AE215" s="146"/>
      <c r="AF215" s="155"/>
      <c r="AG215" s="146"/>
      <c r="AH215" s="155"/>
      <c r="AI215" s="142"/>
      <c r="AJ215" s="122"/>
    </row>
    <row r="216" spans="1:36" s="113" customFormat="1" ht="15">
      <c r="B216" s="106" t="s">
        <v>198</v>
      </c>
      <c r="E216" s="158" t="s">
        <v>284</v>
      </c>
      <c r="F216" s="159"/>
      <c r="G216" s="159"/>
      <c r="H216" s="159"/>
      <c r="I216" s="159"/>
      <c r="J216" s="160">
        <f>+J167-J213</f>
        <v>13151.049999999994</v>
      </c>
      <c r="K216" s="161"/>
      <c r="L216" s="160">
        <f>+L167-L213</f>
        <v>20945.349999999988</v>
      </c>
      <c r="M216" s="162"/>
      <c r="N216" s="160">
        <f>+N167-N213</f>
        <v>32105.739999999991</v>
      </c>
      <c r="O216" s="162"/>
      <c r="P216" s="160">
        <f>+P167-P213</f>
        <v>12415.639999999974</v>
      </c>
      <c r="Q216" s="161"/>
      <c r="R216" s="160">
        <f>+R167-R213</f>
        <v>27092.060000000005</v>
      </c>
      <c r="S216" s="162"/>
      <c r="T216" s="160">
        <f>+T167-T213</f>
        <v>29480.079999999987</v>
      </c>
      <c r="U216" s="162"/>
      <c r="V216" s="160">
        <f>+V167-V213</f>
        <v>10946.760000000013</v>
      </c>
      <c r="W216" s="161"/>
      <c r="X216" s="160">
        <f>+X167-X213</f>
        <v>7968.8100000000049</v>
      </c>
      <c r="Y216" s="162"/>
      <c r="Z216" s="160">
        <f>+Z167-Z213</f>
        <v>20207.279999999995</v>
      </c>
      <c r="AA216" s="162"/>
      <c r="AB216" s="160">
        <f>+AB167-AB213</f>
        <v>18060.929999999997</v>
      </c>
      <c r="AC216" s="161"/>
      <c r="AD216" s="160">
        <f>+AD167-AD213</f>
        <v>11919.23000000001</v>
      </c>
      <c r="AE216" s="162"/>
      <c r="AF216" s="160">
        <f>+AF167-AF213</f>
        <v>29237.940000000002</v>
      </c>
      <c r="AG216" s="162"/>
      <c r="AH216" s="160">
        <f>+AH167-AH213</f>
        <v>233530.87000000011</v>
      </c>
      <c r="AI216" s="116">
        <f>IF(AH$50=0,0,AH216/AH$50)</f>
        <v>0.17828356947706889</v>
      </c>
      <c r="AJ216" s="163"/>
    </row>
    <row r="217" spans="1:36" s="113" customFormat="1" ht="6.75" customHeight="1">
      <c r="A217" s="164"/>
      <c r="B217" s="106" t="s">
        <v>198</v>
      </c>
      <c r="C217" s="106"/>
      <c r="D217" s="165"/>
      <c r="E217" s="165"/>
      <c r="F217" s="165"/>
      <c r="G217" s="165"/>
      <c r="H217" s="165"/>
      <c r="I217" s="165"/>
      <c r="J217" s="166"/>
      <c r="K217" s="165"/>
      <c r="L217" s="166"/>
      <c r="M217" s="165"/>
      <c r="N217" s="166"/>
      <c r="O217" s="165"/>
      <c r="P217" s="166"/>
      <c r="Q217" s="165"/>
      <c r="R217" s="166"/>
      <c r="S217" s="165"/>
      <c r="T217" s="166"/>
      <c r="U217" s="165"/>
      <c r="V217" s="166"/>
      <c r="W217" s="165"/>
      <c r="X217" s="166"/>
      <c r="Y217" s="165"/>
      <c r="Z217" s="166"/>
      <c r="AA217" s="165"/>
      <c r="AB217" s="166"/>
      <c r="AC217" s="165"/>
      <c r="AD217" s="166"/>
      <c r="AE217" s="165"/>
      <c r="AF217" s="166"/>
      <c r="AG217" s="165"/>
      <c r="AH217" s="166"/>
      <c r="AI217" s="167"/>
      <c r="AJ217" s="122"/>
    </row>
    <row r="218" spans="1:36" s="113" customFormat="1" ht="15">
      <c r="A218" s="164"/>
      <c r="B218" s="106" t="s">
        <v>198</v>
      </c>
      <c r="C218" s="106"/>
      <c r="E218" s="168" t="s">
        <v>285</v>
      </c>
      <c r="F218" s="169"/>
      <c r="G218" s="169"/>
      <c r="H218" s="169"/>
      <c r="I218" s="169"/>
      <c r="J218" s="170">
        <f>J216 +J159+SUMIF($D:$D,52141,J:J)+SUMIF($D:$D,52142,J:J)+SUMIF($D:$D,52143,J:J)+SUMIF($D:$D,55142,J:J)+SUMIF($D:$D,56142,J:J)+SUMIF($D:$D,70142,J:J)</f>
        <v>16842.679999999993</v>
      </c>
      <c r="K218" s="169"/>
      <c r="L218" s="170">
        <f>L216 +L159+SUMIF($D:$D,52141,L:L)+SUMIF($D:$D,52142,L:L)+SUMIF($D:$D,52143,L:L)+SUMIF($D:$D,55142,L:L)+SUMIF($D:$D,56142,L:L)+SUMIF($D:$D,70142,L:L)</f>
        <v>26144.099999999988</v>
      </c>
      <c r="M218" s="169"/>
      <c r="N218" s="170">
        <f>N216 +N159+SUMIF($D:$D,52141,N:N)+SUMIF($D:$D,52142,N:N)+SUMIF($D:$D,52143,N:N)+SUMIF($D:$D,55142,N:N)+SUMIF($D:$D,56142,N:N)+SUMIF($D:$D,70142,N:N)</f>
        <v>40838.839999999989</v>
      </c>
      <c r="O218" s="169"/>
      <c r="P218" s="170">
        <f>P216 +P159+SUMIF($D:$D,52141,P:P)+SUMIF($D:$D,52142,P:P)+SUMIF($D:$D,52143,P:P)+SUMIF($D:$D,55142,P:P)+SUMIF($D:$D,56142,P:P)+SUMIF($D:$D,70142,P:P)</f>
        <v>14164.049999999974</v>
      </c>
      <c r="Q218" s="169"/>
      <c r="R218" s="170">
        <f>R216 +R159+SUMIF($D:$D,52141,R:R)+SUMIF($D:$D,52142,R:R)+SUMIF($D:$D,52143,R:R)+SUMIF($D:$D,55142,R:R)+SUMIF($D:$D,56142,R:R)+SUMIF($D:$D,70142,R:R)</f>
        <v>36401.83</v>
      </c>
      <c r="S218" s="169"/>
      <c r="T218" s="170">
        <f>T216 +T159+SUMIF($D:$D,52141,T:T)+SUMIF($D:$D,52142,T:T)+SUMIF($D:$D,52143,T:T)+SUMIF($D:$D,55142,T:T)+SUMIF($D:$D,56142,T:T)+SUMIF($D:$D,70142,T:T)</f>
        <v>35422.399999999987</v>
      </c>
      <c r="U218" s="169"/>
      <c r="V218" s="170">
        <f>V216 +V159+SUMIF($D:$D,52141,V:V)+SUMIF($D:$D,52142,V:V)+SUMIF($D:$D,52143,V:V)+SUMIF($D:$D,55142,V:V)+SUMIF($D:$D,56142,V:V)+SUMIF($D:$D,70142,V:V)</f>
        <v>16940.430000000011</v>
      </c>
      <c r="W218" s="169"/>
      <c r="X218" s="170">
        <f>X216 +X159+SUMIF($D:$D,52141,X:X)+SUMIF($D:$D,52142,X:X)+SUMIF($D:$D,52143,X:X)+SUMIF($D:$D,55142,X:X)+SUMIF($D:$D,56142,X:X)+SUMIF($D:$D,70142,X:X)</f>
        <v>26911.820000000007</v>
      </c>
      <c r="Y218" s="169"/>
      <c r="Z218" s="170">
        <f>Z216 +Z159+SUMIF($D:$D,52141,Z:Z)+SUMIF($D:$D,52142,Z:Z)+SUMIF($D:$D,52143,Z:Z)+SUMIF($D:$D,55142,Z:Z)+SUMIF($D:$D,56142,Z:Z)+SUMIF($D:$D,70142,Z:Z)</f>
        <v>25197.399999999994</v>
      </c>
      <c r="AA218" s="169"/>
      <c r="AB218" s="170">
        <f>AB216 +AB159+SUMIF($D:$D,52141,AB:AB)+SUMIF($D:$D,52142,AB:AB)+SUMIF($D:$D,52143,AB:AB)+SUMIF($D:$D,55142,AB:AB)+SUMIF($D:$D,56142,AB:AB)+SUMIF($D:$D,70142,AB:AB)</f>
        <v>28417.109999999997</v>
      </c>
      <c r="AC218" s="169"/>
      <c r="AD218" s="170">
        <f>AD216 +AD159+SUMIF($D:$D,52141,AD:AD)+SUMIF($D:$D,52142,AD:AD)+SUMIF($D:$D,52143,AD:AD)+SUMIF($D:$D,55142,AD:AD)+SUMIF($D:$D,56142,AD:AD)+SUMIF($D:$D,70142,AD:AD)</f>
        <v>25374.140000000014</v>
      </c>
      <c r="AE218" s="169"/>
      <c r="AF218" s="170">
        <f>AF216 +AF159+SUMIF($D:$D,52141,AF:AF)+SUMIF($D:$D,52142,AF:AF)+SUMIF($D:$D,52143,AF:AF)+SUMIF($D:$D,55142,AF:AF)+SUMIF($D:$D,56142,AF:AF)+SUMIF($D:$D,70142,AF:AF)</f>
        <v>36183.71</v>
      </c>
      <c r="AG218" s="169"/>
      <c r="AH218" s="170">
        <f>AH216 +AH159+SUMIF($D:$D,52141,AH:AH)+SUMIF($D:$D,52142,AH:AH)+SUMIF($D:$D,52143,AH:AH)+SUMIF($D:$D,55142,AH:AH)+SUMIF($D:$D,56142,AH:AH)+SUMIF($D:$D,70142,AH:AH)</f>
        <v>328838.51000000013</v>
      </c>
      <c r="AI218" s="116">
        <f>IF(AH$50=0,0,AH218/AH$50)</f>
        <v>0.25104391271406989</v>
      </c>
      <c r="AJ218" s="163"/>
    </row>
    <row r="219" spans="1:36" s="113" customFormat="1" ht="6.75" customHeight="1">
      <c r="A219" s="118"/>
      <c r="B219" s="106" t="s">
        <v>198</v>
      </c>
      <c r="C219" s="106"/>
      <c r="J219" s="147"/>
      <c r="K219" s="147"/>
      <c r="L219" s="147"/>
      <c r="M219" s="147"/>
      <c r="N219" s="147"/>
      <c r="O219" s="147"/>
      <c r="P219" s="147"/>
      <c r="Q219" s="147"/>
      <c r="R219" s="147"/>
      <c r="S219" s="147"/>
      <c r="T219" s="147"/>
      <c r="U219" s="147"/>
      <c r="V219" s="147"/>
      <c r="W219" s="147"/>
      <c r="X219" s="147"/>
      <c r="Y219" s="147"/>
      <c r="Z219" s="147"/>
      <c r="AA219" s="147"/>
      <c r="AB219" s="147"/>
      <c r="AC219" s="147"/>
      <c r="AD219" s="147"/>
      <c r="AE219" s="147"/>
      <c r="AF219" s="147"/>
      <c r="AG219" s="147"/>
      <c r="AH219" s="147"/>
      <c r="AI219" s="167"/>
      <c r="AJ219" s="122"/>
    </row>
    <row r="220" spans="1:36" outlineLevel="1">
      <c r="B220" s="110" t="s">
        <v>286</v>
      </c>
      <c r="D220" s="111">
        <v>51260</v>
      </c>
      <c r="E220" s="111" t="s">
        <v>287</v>
      </c>
      <c r="F220" s="112"/>
      <c r="G220" s="108"/>
      <c r="H220" s="113"/>
      <c r="I220" s="114"/>
      <c r="J220" s="115">
        <v>10652.62</v>
      </c>
      <c r="K220" s="114"/>
      <c r="L220" s="115">
        <v>10652.58</v>
      </c>
      <c r="M220" s="114"/>
      <c r="N220" s="115">
        <v>10652.58</v>
      </c>
      <c r="O220" s="114"/>
      <c r="P220" s="115">
        <v>10652.57</v>
      </c>
      <c r="Q220" s="114"/>
      <c r="R220" s="115">
        <v>10652.55</v>
      </c>
      <c r="S220" s="114"/>
      <c r="T220" s="115">
        <v>10703.24</v>
      </c>
      <c r="U220" s="114"/>
      <c r="V220" s="115">
        <v>10703.11</v>
      </c>
      <c r="W220" s="114"/>
      <c r="X220" s="115">
        <v>10703.12</v>
      </c>
      <c r="Y220" s="114"/>
      <c r="Z220" s="115">
        <v>10703.22</v>
      </c>
      <c r="AA220" s="114"/>
      <c r="AB220" s="115">
        <v>10984.59</v>
      </c>
      <c r="AC220" s="114"/>
      <c r="AD220" s="115">
        <v>12423.86</v>
      </c>
      <c r="AE220" s="114"/>
      <c r="AF220" s="115">
        <v>12423.89</v>
      </c>
      <c r="AG220" s="114"/>
      <c r="AH220" s="115">
        <f t="shared" ref="AH220:AH222" si="20">AF220+AD220+AB220+Z220+X220+V220+T220+R220+P220+N220+L220+J220</f>
        <v>131907.93000000002</v>
      </c>
      <c r="AI220" s="116">
        <f t="shared" ref="AI220:AI222" si="21">IF(AH$50=0,0,AH220/AH$50)</f>
        <v>0.10070196116997865</v>
      </c>
      <c r="AJ220" s="117"/>
    </row>
    <row r="221" spans="1:36" outlineLevel="1">
      <c r="B221" s="110" t="s">
        <v>206</v>
      </c>
      <c r="D221" s="111">
        <v>54260</v>
      </c>
      <c r="E221" s="111" t="s">
        <v>287</v>
      </c>
      <c r="F221" s="112"/>
      <c r="G221" s="108"/>
      <c r="H221" s="113"/>
      <c r="I221" s="114"/>
      <c r="J221" s="115">
        <v>1846.88</v>
      </c>
      <c r="K221" s="114"/>
      <c r="L221" s="115">
        <v>1846.85</v>
      </c>
      <c r="M221" s="114"/>
      <c r="N221" s="115">
        <v>1846.9</v>
      </c>
      <c r="O221" s="114"/>
      <c r="P221" s="115">
        <v>1846.84</v>
      </c>
      <c r="Q221" s="114"/>
      <c r="R221" s="115">
        <v>1846.89</v>
      </c>
      <c r="S221" s="114"/>
      <c r="T221" s="115">
        <v>1846.89</v>
      </c>
      <c r="U221" s="114"/>
      <c r="V221" s="115">
        <v>1846.82</v>
      </c>
      <c r="W221" s="114"/>
      <c r="X221" s="115">
        <v>1846.87</v>
      </c>
      <c r="Y221" s="114"/>
      <c r="Z221" s="115">
        <v>1846.9</v>
      </c>
      <c r="AA221" s="114"/>
      <c r="AB221" s="115">
        <v>2370.9299999999998</v>
      </c>
      <c r="AC221" s="114"/>
      <c r="AD221" s="115">
        <v>2370.9</v>
      </c>
      <c r="AE221" s="114"/>
      <c r="AF221" s="115">
        <v>2370.9299999999998</v>
      </c>
      <c r="AG221" s="114"/>
      <c r="AH221" s="115">
        <f t="shared" si="20"/>
        <v>23734.6</v>
      </c>
      <c r="AI221" s="116">
        <f t="shared" si="21"/>
        <v>1.811961394273244E-2</v>
      </c>
      <c r="AJ221" s="117"/>
    </row>
    <row r="222" spans="1:36" outlineLevel="1">
      <c r="B222" s="110" t="s">
        <v>206</v>
      </c>
      <c r="D222" s="111">
        <v>70260</v>
      </c>
      <c r="E222" s="111" t="s">
        <v>287</v>
      </c>
      <c r="F222" s="112"/>
      <c r="G222" s="108"/>
      <c r="H222" s="113"/>
      <c r="I222" s="114"/>
      <c r="J222" s="115">
        <v>384.27</v>
      </c>
      <c r="K222" s="114"/>
      <c r="L222" s="115">
        <v>384.25</v>
      </c>
      <c r="M222" s="114"/>
      <c r="N222" s="115">
        <v>384.27</v>
      </c>
      <c r="O222" s="114"/>
      <c r="P222" s="115">
        <v>384.27</v>
      </c>
      <c r="Q222" s="114"/>
      <c r="R222" s="115">
        <v>384.26</v>
      </c>
      <c r="S222" s="114"/>
      <c r="T222" s="115">
        <v>384.25</v>
      </c>
      <c r="U222" s="114"/>
      <c r="V222" s="115">
        <v>270.61</v>
      </c>
      <c r="W222" s="114"/>
      <c r="X222" s="115">
        <v>142.41999999999999</v>
      </c>
      <c r="Y222" s="114"/>
      <c r="Z222" s="115">
        <v>142.41999999999999</v>
      </c>
      <c r="AA222" s="114"/>
      <c r="AB222" s="115">
        <v>142.41999999999999</v>
      </c>
      <c r="AC222" s="114"/>
      <c r="AD222" s="115">
        <v>142.41999999999999</v>
      </c>
      <c r="AE222" s="114"/>
      <c r="AF222" s="115">
        <v>142.41999999999999</v>
      </c>
      <c r="AG222" s="114"/>
      <c r="AH222" s="115">
        <f t="shared" si="20"/>
        <v>3288.2799999999997</v>
      </c>
      <c r="AI222" s="116">
        <f t="shared" si="21"/>
        <v>2.5103588910539141E-3</v>
      </c>
      <c r="AJ222" s="117"/>
    </row>
    <row r="223" spans="1:36" s="113" customFormat="1" ht="5.0999999999999996" customHeight="1" outlineLevel="1">
      <c r="A223" s="118"/>
      <c r="B223" s="106" t="s">
        <v>198</v>
      </c>
      <c r="C223" s="106"/>
      <c r="D223" s="112"/>
      <c r="E223" s="112"/>
      <c r="F223" s="112"/>
      <c r="G223" s="112"/>
      <c r="J223" s="148"/>
      <c r="K223" s="147"/>
      <c r="L223" s="148"/>
      <c r="M223" s="147"/>
      <c r="N223" s="148"/>
      <c r="O223" s="147"/>
      <c r="P223" s="148"/>
      <c r="Q223" s="147"/>
      <c r="R223" s="148"/>
      <c r="S223" s="147"/>
      <c r="T223" s="148"/>
      <c r="U223" s="147"/>
      <c r="V223" s="148"/>
      <c r="W223" s="147"/>
      <c r="X223" s="148"/>
      <c r="Y223" s="147"/>
      <c r="Z223" s="148"/>
      <c r="AA223" s="147"/>
      <c r="AB223" s="148"/>
      <c r="AC223" s="147"/>
      <c r="AD223" s="148"/>
      <c r="AE223" s="147"/>
      <c r="AF223" s="148"/>
      <c r="AG223" s="147"/>
      <c r="AH223" s="148"/>
      <c r="AI223" s="167"/>
      <c r="AJ223" s="122"/>
    </row>
    <row r="224" spans="1:36" s="113" customFormat="1" ht="15">
      <c r="A224" s="118"/>
      <c r="B224" s="106" t="s">
        <v>198</v>
      </c>
      <c r="C224" s="106"/>
      <c r="F224" s="112" t="s">
        <v>287</v>
      </c>
      <c r="J224" s="145">
        <f>SUM(J220:J223)</f>
        <v>12883.77</v>
      </c>
      <c r="K224" s="147"/>
      <c r="L224" s="145">
        <f>SUM(L220:L223)</f>
        <v>12883.68</v>
      </c>
      <c r="M224" s="147"/>
      <c r="N224" s="145">
        <f>SUM(N220:N223)</f>
        <v>12883.75</v>
      </c>
      <c r="O224" s="171">
        <f>IF(N$44=0,0,N224/N$44)</f>
        <v>0</v>
      </c>
      <c r="P224" s="145">
        <f>SUM(P220:P223)</f>
        <v>12883.68</v>
      </c>
      <c r="Q224" s="147"/>
      <c r="R224" s="145">
        <f>SUM(R220:R223)</f>
        <v>12883.699999999999</v>
      </c>
      <c r="S224" s="147"/>
      <c r="T224" s="145">
        <f>SUM(T220:T223)</f>
        <v>12934.38</v>
      </c>
      <c r="U224" s="171">
        <f>IF(T$44=0,0,T224/T$44)</f>
        <v>0</v>
      </c>
      <c r="V224" s="145">
        <f>SUM(V220:V223)</f>
        <v>12820.54</v>
      </c>
      <c r="W224" s="147"/>
      <c r="X224" s="145">
        <f>SUM(X220:X223)</f>
        <v>12692.410000000002</v>
      </c>
      <c r="Y224" s="147"/>
      <c r="Z224" s="145">
        <f>SUM(Z220:Z223)</f>
        <v>12692.539999999999</v>
      </c>
      <c r="AA224" s="171">
        <f>IF(Z$44=0,0,Z224/Z$44)</f>
        <v>0</v>
      </c>
      <c r="AB224" s="145">
        <f>SUM(AB220:AB223)</f>
        <v>13497.94</v>
      </c>
      <c r="AC224" s="147"/>
      <c r="AD224" s="145">
        <f>SUM(AD220:AD223)</f>
        <v>14937.18</v>
      </c>
      <c r="AE224" s="147"/>
      <c r="AF224" s="145">
        <f>SUM(AF220:AF223)</f>
        <v>14937.24</v>
      </c>
      <c r="AG224" s="171">
        <f>IF(AF$44=0,0,AF224/AF$44)</f>
        <v>0</v>
      </c>
      <c r="AH224" s="145">
        <f>SUM(J224,L224,N224,P224,R224,T224,V224,X224,Z224,AB224,AD224,AF224)</f>
        <v>158930.81</v>
      </c>
      <c r="AI224" s="116">
        <f>IF(AH$50=0,0,AH224/AH$50)</f>
        <v>0.12133193400376499</v>
      </c>
      <c r="AJ224" s="122"/>
    </row>
    <row r="225" spans="1:36" s="113" customFormat="1" ht="15" hidden="1" outlineLevel="1">
      <c r="A225" s="118"/>
      <c r="B225" s="106" t="s">
        <v>198</v>
      </c>
      <c r="C225" s="106"/>
      <c r="F225" s="112"/>
      <c r="J225" s="147"/>
      <c r="K225" s="147"/>
      <c r="L225" s="147"/>
      <c r="M225" s="147"/>
      <c r="N225" s="147"/>
      <c r="O225" s="167"/>
      <c r="P225" s="147"/>
      <c r="Q225" s="147"/>
      <c r="R225" s="147"/>
      <c r="S225" s="147"/>
      <c r="T225" s="147"/>
      <c r="U225" s="167"/>
      <c r="V225" s="147"/>
      <c r="W225" s="147"/>
      <c r="X225" s="147"/>
      <c r="Y225" s="147"/>
      <c r="Z225" s="147"/>
      <c r="AA225" s="167"/>
      <c r="AB225" s="147"/>
      <c r="AC225" s="147"/>
      <c r="AD225" s="147"/>
      <c r="AE225" s="147"/>
      <c r="AF225" s="147"/>
      <c r="AG225" s="167"/>
      <c r="AH225" s="147"/>
      <c r="AI225" s="167"/>
      <c r="AJ225" s="122"/>
    </row>
    <row r="226" spans="1:36" hidden="1" outlineLevel="1">
      <c r="B226" s="110" t="s">
        <v>288</v>
      </c>
      <c r="D226" s="111"/>
      <c r="E226" s="111"/>
      <c r="F226" s="112"/>
      <c r="G226" s="108"/>
      <c r="H226" s="113"/>
      <c r="I226" s="114"/>
      <c r="J226" s="115"/>
      <c r="K226" s="114"/>
      <c r="L226" s="115"/>
      <c r="M226" s="114"/>
      <c r="N226" s="115"/>
      <c r="O226" s="114"/>
      <c r="P226" s="115"/>
      <c r="Q226" s="114"/>
      <c r="R226" s="115"/>
      <c r="S226" s="114"/>
      <c r="T226" s="115"/>
      <c r="U226" s="114"/>
      <c r="V226" s="115"/>
      <c r="W226" s="114"/>
      <c r="X226" s="115"/>
      <c r="Y226" s="114"/>
      <c r="Z226" s="115"/>
      <c r="AA226" s="114"/>
      <c r="AB226" s="115"/>
      <c r="AC226" s="114"/>
      <c r="AD226" s="115"/>
      <c r="AE226" s="114"/>
      <c r="AF226" s="115"/>
      <c r="AG226" s="114"/>
      <c r="AH226" s="115">
        <f>AF226+AD226+AB226+Z226+X226+V226+T226+R226+P226+N226+L226+J226</f>
        <v>0</v>
      </c>
      <c r="AI226" s="116">
        <f>IF(AH$50=0,0,AH226/AH$50)</f>
        <v>0</v>
      </c>
      <c r="AJ226" s="117"/>
    </row>
    <row r="227" spans="1:36" s="113" customFormat="1" ht="5.0999999999999996" hidden="1" customHeight="1" outlineLevel="1">
      <c r="A227" s="118"/>
      <c r="B227" s="106" t="s">
        <v>198</v>
      </c>
      <c r="C227" s="106"/>
      <c r="D227" s="112"/>
      <c r="E227" s="112"/>
      <c r="F227" s="112"/>
      <c r="G227" s="112"/>
      <c r="J227" s="148"/>
      <c r="K227" s="147"/>
      <c r="L227" s="148"/>
      <c r="M227" s="147"/>
      <c r="N227" s="148"/>
      <c r="O227" s="167"/>
      <c r="P227" s="148"/>
      <c r="Q227" s="147"/>
      <c r="R227" s="148"/>
      <c r="S227" s="147"/>
      <c r="T227" s="148"/>
      <c r="U227" s="167"/>
      <c r="V227" s="148"/>
      <c r="W227" s="147"/>
      <c r="X227" s="148"/>
      <c r="Y227" s="147"/>
      <c r="Z227" s="148"/>
      <c r="AA227" s="167"/>
      <c r="AB227" s="148"/>
      <c r="AC227" s="147"/>
      <c r="AD227" s="148"/>
      <c r="AE227" s="147"/>
      <c r="AF227" s="148"/>
      <c r="AG227" s="167"/>
      <c r="AH227" s="148"/>
      <c r="AI227" s="167"/>
      <c r="AJ227" s="122"/>
    </row>
    <row r="228" spans="1:36" s="113" customFormat="1" ht="15" hidden="1" collapsed="1">
      <c r="A228" s="118"/>
      <c r="B228" s="106" t="s">
        <v>198</v>
      </c>
      <c r="C228" s="106"/>
      <c r="F228" s="111" t="s">
        <v>289</v>
      </c>
      <c r="J228" s="145">
        <f>SUM(J226:J227)</f>
        <v>0</v>
      </c>
      <c r="K228" s="147"/>
      <c r="L228" s="145">
        <f>SUM(L226:L227)</f>
        <v>0</v>
      </c>
      <c r="M228" s="147"/>
      <c r="N228" s="145">
        <f>SUM(N226:N227)</f>
        <v>0</v>
      </c>
      <c r="O228" s="171">
        <f>IF(N$44=0,0,N228/N$44)</f>
        <v>0</v>
      </c>
      <c r="P228" s="145">
        <f>SUM(P226:P227)</f>
        <v>0</v>
      </c>
      <c r="Q228" s="147"/>
      <c r="R228" s="145">
        <f>SUM(R226:R227)</f>
        <v>0</v>
      </c>
      <c r="S228" s="147"/>
      <c r="T228" s="145">
        <f>SUM(T226:T227)</f>
        <v>0</v>
      </c>
      <c r="U228" s="171">
        <f>IF(T$44=0,0,T228/T$44)</f>
        <v>0</v>
      </c>
      <c r="V228" s="145">
        <f>SUM(V226:V227)</f>
        <v>0</v>
      </c>
      <c r="W228" s="147"/>
      <c r="X228" s="145">
        <f>SUM(X226:X227)</f>
        <v>0</v>
      </c>
      <c r="Y228" s="147"/>
      <c r="Z228" s="145">
        <f>SUM(Z226:Z227)</f>
        <v>0</v>
      </c>
      <c r="AA228" s="171">
        <f>IF(Z$44=0,0,Z228/Z$44)</f>
        <v>0</v>
      </c>
      <c r="AB228" s="145">
        <f>SUM(AB226:AB227)</f>
        <v>0</v>
      </c>
      <c r="AC228" s="147"/>
      <c r="AD228" s="145">
        <f>SUM(AD226:AD227)</f>
        <v>0</v>
      </c>
      <c r="AE228" s="147"/>
      <c r="AF228" s="145">
        <f>SUM(AF226:AF227)</f>
        <v>0</v>
      </c>
      <c r="AG228" s="171">
        <f>IF(AF$44=0,0,AF228/AF$44)</f>
        <v>0</v>
      </c>
      <c r="AH228" s="145">
        <f>SUM(J228,L228,N228)</f>
        <v>0</v>
      </c>
      <c r="AI228" s="116">
        <f>IF(AH$50=0,0,AH228/AH$50)</f>
        <v>0</v>
      </c>
      <c r="AJ228" s="122"/>
    </row>
    <row r="229" spans="1:36" s="113" customFormat="1" ht="15" hidden="1" outlineLevel="1">
      <c r="A229" s="118"/>
      <c r="B229" s="106" t="s">
        <v>198</v>
      </c>
      <c r="C229" s="106"/>
      <c r="J229" s="147"/>
      <c r="K229" s="147"/>
      <c r="L229" s="147"/>
      <c r="M229" s="147"/>
      <c r="N229" s="147"/>
      <c r="O229" s="167"/>
      <c r="P229" s="147"/>
      <c r="Q229" s="147"/>
      <c r="R229" s="147"/>
      <c r="S229" s="147"/>
      <c r="T229" s="147"/>
      <c r="U229" s="167"/>
      <c r="V229" s="147"/>
      <c r="W229" s="147"/>
      <c r="X229" s="147"/>
      <c r="Y229" s="147"/>
      <c r="Z229" s="147"/>
      <c r="AA229" s="167"/>
      <c r="AB229" s="147"/>
      <c r="AC229" s="147"/>
      <c r="AD229" s="147"/>
      <c r="AE229" s="147"/>
      <c r="AF229" s="147"/>
      <c r="AG229" s="167"/>
      <c r="AH229" s="147"/>
      <c r="AI229" s="167"/>
      <c r="AJ229" s="122"/>
    </row>
    <row r="230" spans="1:36" hidden="1" outlineLevel="1">
      <c r="B230" s="110" t="s">
        <v>290</v>
      </c>
      <c r="D230" s="111"/>
      <c r="E230" s="111"/>
      <c r="F230" s="112"/>
      <c r="G230" s="108"/>
      <c r="H230" s="113"/>
      <c r="I230" s="114"/>
      <c r="J230" s="115"/>
      <c r="K230" s="114"/>
      <c r="L230" s="115"/>
      <c r="M230" s="114"/>
      <c r="N230" s="115"/>
      <c r="O230" s="114"/>
      <c r="P230" s="115"/>
      <c r="Q230" s="114"/>
      <c r="R230" s="115"/>
      <c r="S230" s="114"/>
      <c r="T230" s="115"/>
      <c r="U230" s="114"/>
      <c r="V230" s="115"/>
      <c r="W230" s="114"/>
      <c r="X230" s="115"/>
      <c r="Y230" s="114"/>
      <c r="Z230" s="115"/>
      <c r="AA230" s="114"/>
      <c r="AB230" s="115"/>
      <c r="AC230" s="114"/>
      <c r="AD230" s="115"/>
      <c r="AE230" s="114"/>
      <c r="AF230" s="115"/>
      <c r="AG230" s="114"/>
      <c r="AH230" s="115">
        <f>AF230+AD230+AB230+Z230+X230+V230+T230+R230+P230+N230+L230+J230</f>
        <v>0</v>
      </c>
      <c r="AI230" s="116">
        <f>IF(AH$50=0,0,AH230/AH$50)</f>
        <v>0</v>
      </c>
      <c r="AJ230" s="117"/>
    </row>
    <row r="231" spans="1:36" s="113" customFormat="1" ht="5.0999999999999996" hidden="1" customHeight="1" outlineLevel="1">
      <c r="A231" s="118"/>
      <c r="B231" s="143" t="s">
        <v>198</v>
      </c>
      <c r="C231" s="143"/>
      <c r="D231" s="112"/>
      <c r="E231" s="112"/>
      <c r="F231" s="112"/>
      <c r="G231" s="112"/>
      <c r="J231" s="148"/>
      <c r="K231" s="147"/>
      <c r="L231" s="148"/>
      <c r="M231" s="147"/>
      <c r="N231" s="148"/>
      <c r="O231" s="167"/>
      <c r="P231" s="148"/>
      <c r="Q231" s="147"/>
      <c r="R231" s="148"/>
      <c r="S231" s="147"/>
      <c r="T231" s="148"/>
      <c r="U231" s="167"/>
      <c r="V231" s="148"/>
      <c r="W231" s="147"/>
      <c r="X231" s="148"/>
      <c r="Y231" s="147"/>
      <c r="Z231" s="148"/>
      <c r="AA231" s="167"/>
      <c r="AB231" s="148"/>
      <c r="AC231" s="147"/>
      <c r="AD231" s="148"/>
      <c r="AE231" s="147"/>
      <c r="AF231" s="148"/>
      <c r="AG231" s="167"/>
      <c r="AH231" s="148"/>
      <c r="AI231" s="167"/>
      <c r="AJ231" s="122"/>
    </row>
    <row r="232" spans="1:36" s="113" customFormat="1" ht="15" hidden="1" collapsed="1">
      <c r="A232" s="118"/>
      <c r="B232" s="143" t="s">
        <v>198</v>
      </c>
      <c r="C232" s="143"/>
      <c r="F232" s="112" t="s">
        <v>291</v>
      </c>
      <c r="J232" s="145">
        <f>SUM(J230:J231)</f>
        <v>0</v>
      </c>
      <c r="K232" s="147"/>
      <c r="L232" s="145">
        <f>SUM(L230:L231)</f>
        <v>0</v>
      </c>
      <c r="M232" s="147"/>
      <c r="N232" s="145">
        <f>SUM(N230:N231)</f>
        <v>0</v>
      </c>
      <c r="O232" s="171">
        <f>IF(N$44=0,0,N232/N$44)</f>
        <v>0</v>
      </c>
      <c r="P232" s="145">
        <f>SUM(P230:P231)</f>
        <v>0</v>
      </c>
      <c r="Q232" s="147"/>
      <c r="R232" s="145">
        <f>SUM(R230:R231)</f>
        <v>0</v>
      </c>
      <c r="S232" s="147"/>
      <c r="T232" s="145">
        <f>SUM(T230:T231)</f>
        <v>0</v>
      </c>
      <c r="U232" s="171">
        <f>IF(T$44=0,0,T232/T$44)</f>
        <v>0</v>
      </c>
      <c r="V232" s="145">
        <f>SUM(V230:V231)</f>
        <v>0</v>
      </c>
      <c r="W232" s="147"/>
      <c r="X232" s="145">
        <f>SUM(X230:X231)</f>
        <v>0</v>
      </c>
      <c r="Y232" s="147"/>
      <c r="Z232" s="145">
        <f>SUM(Z230:Z231)</f>
        <v>0</v>
      </c>
      <c r="AA232" s="171">
        <f>IF(Z$44=0,0,Z232/Z$44)</f>
        <v>0</v>
      </c>
      <c r="AB232" s="145">
        <f>SUM(AB230:AB231)</f>
        <v>0</v>
      </c>
      <c r="AC232" s="147"/>
      <c r="AD232" s="145">
        <f>SUM(AD230:AD231)</f>
        <v>0</v>
      </c>
      <c r="AE232" s="147"/>
      <c r="AF232" s="145">
        <f>SUM(AF230:AF231)</f>
        <v>0</v>
      </c>
      <c r="AG232" s="171">
        <f>IF(AF$44=0,0,AF232/AF$44)</f>
        <v>0</v>
      </c>
      <c r="AH232" s="145">
        <f>SUM(J232,L232,N232,P232,R232,T232,V232,X232,Z232,AB232,AD232,AF232)</f>
        <v>0</v>
      </c>
      <c r="AI232" s="116">
        <f>IF(AH$50=0,0,AH232/AH$50)</f>
        <v>0</v>
      </c>
      <c r="AJ232" s="122"/>
    </row>
    <row r="233" spans="1:36" s="113" customFormat="1" ht="6.75" customHeight="1">
      <c r="A233" s="118"/>
      <c r="B233" s="143" t="s">
        <v>198</v>
      </c>
      <c r="C233" s="143"/>
      <c r="J233" s="147"/>
      <c r="K233" s="147"/>
      <c r="L233" s="147"/>
      <c r="M233" s="147"/>
      <c r="N233" s="147"/>
      <c r="O233" s="167"/>
      <c r="P233" s="147"/>
      <c r="Q233" s="147"/>
      <c r="R233" s="147"/>
      <c r="S233" s="147"/>
      <c r="T233" s="147"/>
      <c r="U233" s="167"/>
      <c r="V233" s="147"/>
      <c r="W233" s="147"/>
      <c r="X233" s="147"/>
      <c r="Y233" s="147"/>
      <c r="Z233" s="147"/>
      <c r="AA233" s="167"/>
      <c r="AB233" s="147"/>
      <c r="AC233" s="147"/>
      <c r="AD233" s="147"/>
      <c r="AE233" s="147"/>
      <c r="AF233" s="147"/>
      <c r="AG233" s="167"/>
      <c r="AH233" s="147"/>
      <c r="AI233" s="167"/>
      <c r="AJ233" s="122"/>
    </row>
    <row r="234" spans="1:36" s="113" customFormat="1" ht="15">
      <c r="A234" s="118"/>
      <c r="B234" s="143" t="s">
        <v>198</v>
      </c>
      <c r="C234" s="143"/>
      <c r="E234" s="150" t="s">
        <v>292</v>
      </c>
      <c r="J234" s="151">
        <f>+J224+J228+J232</f>
        <v>12883.77</v>
      </c>
      <c r="K234" s="147"/>
      <c r="L234" s="151">
        <f>+L224+L228+L232</f>
        <v>12883.68</v>
      </c>
      <c r="M234" s="147"/>
      <c r="N234" s="151">
        <f>+N224+N228+N232</f>
        <v>12883.75</v>
      </c>
      <c r="O234" s="171">
        <f>IF(N$44=0,0,N234/N$44)</f>
        <v>0</v>
      </c>
      <c r="P234" s="151">
        <f>+P224+P228+P232</f>
        <v>12883.68</v>
      </c>
      <c r="Q234" s="147"/>
      <c r="R234" s="151">
        <f>+R224+R228+R232</f>
        <v>12883.699999999999</v>
      </c>
      <c r="S234" s="147"/>
      <c r="T234" s="151">
        <f>+T224+T228+T232</f>
        <v>12934.38</v>
      </c>
      <c r="U234" s="171">
        <f>IF(T$44=0,0,T234/T$44)</f>
        <v>0</v>
      </c>
      <c r="V234" s="151">
        <f>+V224+V228+V232</f>
        <v>12820.54</v>
      </c>
      <c r="W234" s="147"/>
      <c r="X234" s="151">
        <f>+X224+X228+X232</f>
        <v>12692.410000000002</v>
      </c>
      <c r="Y234" s="147"/>
      <c r="Z234" s="151">
        <f>+Z224+Z228+Z232</f>
        <v>12692.539999999999</v>
      </c>
      <c r="AA234" s="171">
        <f>IF(Z$44=0,0,Z234/Z$44)</f>
        <v>0</v>
      </c>
      <c r="AB234" s="151">
        <f>+AB224+AB228+AB232</f>
        <v>13497.94</v>
      </c>
      <c r="AC234" s="147"/>
      <c r="AD234" s="151">
        <f>+AD224+AD228+AD232</f>
        <v>14937.18</v>
      </c>
      <c r="AE234" s="147"/>
      <c r="AF234" s="151">
        <f>+AF224+AF228+AF232</f>
        <v>14937.24</v>
      </c>
      <c r="AG234" s="171">
        <f>IF(AF$44=0,0,AF234/AF$44)</f>
        <v>0</v>
      </c>
      <c r="AH234" s="151">
        <f>+AH224+AH228+AH232</f>
        <v>158930.81</v>
      </c>
      <c r="AI234" s="116">
        <f>IF(AH$50=0,0,AH234/AH$50)</f>
        <v>0.12133193400376499</v>
      </c>
      <c r="AJ234" s="122"/>
    </row>
    <row r="235" spans="1:36" s="113" customFormat="1" ht="6.75" customHeight="1">
      <c r="A235" s="118"/>
      <c r="B235" s="143" t="s">
        <v>198</v>
      </c>
      <c r="C235" s="143"/>
      <c r="J235" s="147"/>
      <c r="K235" s="147"/>
      <c r="L235" s="147"/>
      <c r="M235" s="147"/>
      <c r="N235" s="147"/>
      <c r="O235" s="167"/>
      <c r="P235" s="147"/>
      <c r="Q235" s="147"/>
      <c r="R235" s="147"/>
      <c r="S235" s="147"/>
      <c r="T235" s="147"/>
      <c r="U235" s="167"/>
      <c r="V235" s="147"/>
      <c r="W235" s="147"/>
      <c r="X235" s="147"/>
      <c r="Y235" s="147"/>
      <c r="Z235" s="147"/>
      <c r="AA235" s="167"/>
      <c r="AB235" s="147"/>
      <c r="AC235" s="147"/>
      <c r="AD235" s="147"/>
      <c r="AE235" s="147"/>
      <c r="AF235" s="147"/>
      <c r="AG235" s="167"/>
      <c r="AH235" s="147"/>
      <c r="AI235" s="167"/>
      <c r="AJ235" s="122"/>
    </row>
    <row r="236" spans="1:36" s="113" customFormat="1" ht="15">
      <c r="A236" s="118"/>
      <c r="B236" s="143" t="s">
        <v>198</v>
      </c>
      <c r="C236" s="143"/>
      <c r="E236" s="153" t="s">
        <v>293</v>
      </c>
      <c r="J236" s="151">
        <f>+J216-J234</f>
        <v>267.27999999999338</v>
      </c>
      <c r="K236" s="147"/>
      <c r="L236" s="151">
        <f>+L216-L234</f>
        <v>8061.6699999999873</v>
      </c>
      <c r="M236" s="147"/>
      <c r="N236" s="151">
        <f>+N216-N234</f>
        <v>19221.989999999991</v>
      </c>
      <c r="O236" s="171">
        <f>IF(N$44=0,0,N236/N$44)</f>
        <v>0</v>
      </c>
      <c r="P236" s="151">
        <f>+P216-P234</f>
        <v>-468.04000000002634</v>
      </c>
      <c r="Q236" s="147"/>
      <c r="R236" s="151">
        <f>+R216-R234</f>
        <v>14208.360000000006</v>
      </c>
      <c r="S236" s="147"/>
      <c r="T236" s="151">
        <f>+T216-T234</f>
        <v>16545.69999999999</v>
      </c>
      <c r="U236" s="171">
        <f>IF(T$44=0,0,T236/T$44)</f>
        <v>0</v>
      </c>
      <c r="V236" s="151">
        <f>+V216-V234</f>
        <v>-1873.7799999999879</v>
      </c>
      <c r="W236" s="147"/>
      <c r="X236" s="151">
        <f>+X216-X234</f>
        <v>-4723.5999999999967</v>
      </c>
      <c r="Y236" s="147"/>
      <c r="Z236" s="151">
        <f>+Z216-Z234</f>
        <v>7514.7399999999961</v>
      </c>
      <c r="AA236" s="171">
        <f>IF(Z$44=0,0,Z236/Z$44)</f>
        <v>0</v>
      </c>
      <c r="AB236" s="151">
        <f>+AB216-AB234</f>
        <v>4562.9899999999961</v>
      </c>
      <c r="AC236" s="147"/>
      <c r="AD236" s="151">
        <f>+AD216-AD234</f>
        <v>-3017.9499999999898</v>
      </c>
      <c r="AE236" s="147"/>
      <c r="AF236" s="151">
        <f>+AF216-AF234</f>
        <v>14300.700000000003</v>
      </c>
      <c r="AG236" s="171">
        <f>IF(AF$44=0,0,AF236/AF$44)</f>
        <v>0</v>
      </c>
      <c r="AH236" s="151">
        <f>+AH216-AH234</f>
        <v>74600.060000000114</v>
      </c>
      <c r="AI236" s="116">
        <f>IF(AH$50=0,0,AH236/AH$50)</f>
        <v>5.6951635473303903E-2</v>
      </c>
      <c r="AJ236" s="122"/>
    </row>
    <row r="237" spans="1:36" s="113" customFormat="1" ht="6.75" customHeight="1">
      <c r="A237" s="118"/>
      <c r="B237" s="143" t="s">
        <v>198</v>
      </c>
      <c r="C237" s="143"/>
      <c r="J237" s="147"/>
      <c r="K237" s="147"/>
      <c r="L237" s="147"/>
      <c r="M237" s="147"/>
      <c r="N237" s="147"/>
      <c r="O237" s="167"/>
      <c r="P237" s="147"/>
      <c r="Q237" s="147"/>
      <c r="R237" s="147"/>
      <c r="S237" s="147"/>
      <c r="T237" s="147"/>
      <c r="U237" s="167"/>
      <c r="V237" s="147"/>
      <c r="W237" s="147"/>
      <c r="X237" s="147"/>
      <c r="Y237" s="147"/>
      <c r="Z237" s="147"/>
      <c r="AA237" s="167"/>
      <c r="AB237" s="147"/>
      <c r="AC237" s="147"/>
      <c r="AD237" s="147"/>
      <c r="AE237" s="147"/>
      <c r="AF237" s="147"/>
      <c r="AG237" s="167"/>
      <c r="AH237" s="147"/>
      <c r="AI237" s="167"/>
      <c r="AJ237" s="122"/>
    </row>
    <row r="238" spans="1:36" hidden="1" outlineLevel="1">
      <c r="B238" s="110" t="s">
        <v>294</v>
      </c>
      <c r="D238" s="111"/>
      <c r="E238" s="111"/>
      <c r="F238" s="112"/>
      <c r="G238" s="108"/>
      <c r="H238" s="113"/>
      <c r="I238" s="114"/>
      <c r="J238" s="115"/>
      <c r="K238" s="114"/>
      <c r="L238" s="115"/>
      <c r="M238" s="114"/>
      <c r="N238" s="115"/>
      <c r="O238" s="114"/>
      <c r="P238" s="115"/>
      <c r="Q238" s="114"/>
      <c r="R238" s="115"/>
      <c r="S238" s="114"/>
      <c r="T238" s="115"/>
      <c r="U238" s="114"/>
      <c r="V238" s="115"/>
      <c r="W238" s="114"/>
      <c r="X238" s="115"/>
      <c r="Y238" s="114"/>
      <c r="Z238" s="115"/>
      <c r="AA238" s="114"/>
      <c r="AB238" s="115"/>
      <c r="AC238" s="114"/>
      <c r="AD238" s="115"/>
      <c r="AE238" s="114"/>
      <c r="AF238" s="115"/>
      <c r="AG238" s="114"/>
      <c r="AH238" s="115">
        <f>AF238+AD238+AB238+Z238+X238+V238+T238+R238+P238+N238+L238+J238</f>
        <v>0</v>
      </c>
      <c r="AI238" s="116">
        <f>IF(AH$50=0,0,AH238/AH$50)</f>
        <v>0</v>
      </c>
      <c r="AJ238" s="117"/>
    </row>
    <row r="239" spans="1:36" s="113" customFormat="1" ht="5.0999999999999996" hidden="1" customHeight="1" outlineLevel="1">
      <c r="A239" s="118"/>
      <c r="B239" s="143" t="s">
        <v>198</v>
      </c>
      <c r="C239" s="143"/>
      <c r="D239" s="112"/>
      <c r="E239" s="112"/>
      <c r="F239" s="112"/>
      <c r="G239" s="112"/>
      <c r="J239" s="148"/>
      <c r="K239" s="147"/>
      <c r="L239" s="148"/>
      <c r="M239" s="147"/>
      <c r="N239" s="148"/>
      <c r="O239" s="167"/>
      <c r="P239" s="148"/>
      <c r="Q239" s="147"/>
      <c r="R239" s="148"/>
      <c r="S239" s="147"/>
      <c r="T239" s="148"/>
      <c r="U239" s="167"/>
      <c r="V239" s="148"/>
      <c r="W239" s="147"/>
      <c r="X239" s="148"/>
      <c r="Y239" s="147"/>
      <c r="Z239" s="148"/>
      <c r="AA239" s="167"/>
      <c r="AB239" s="148"/>
      <c r="AC239" s="147"/>
      <c r="AD239" s="148"/>
      <c r="AE239" s="147"/>
      <c r="AF239" s="148"/>
      <c r="AG239" s="167"/>
      <c r="AH239" s="148"/>
      <c r="AI239" s="167"/>
      <c r="AJ239" s="122"/>
    </row>
    <row r="240" spans="1:36" s="113" customFormat="1" ht="15" hidden="1" collapsed="1">
      <c r="A240" s="118"/>
      <c r="B240" s="143" t="s">
        <v>198</v>
      </c>
      <c r="C240" s="143"/>
      <c r="F240" s="112" t="s">
        <v>295</v>
      </c>
      <c r="J240" s="145">
        <f>SUM(J238:J239)</f>
        <v>0</v>
      </c>
      <c r="K240" s="147"/>
      <c r="L240" s="145">
        <f>SUM(L238:L239)</f>
        <v>0</v>
      </c>
      <c r="M240" s="147"/>
      <c r="N240" s="145">
        <f>SUM(N238:N239)</f>
        <v>0</v>
      </c>
      <c r="O240" s="171">
        <f>IF(N$44=0,0,N240/N$44)</f>
        <v>0</v>
      </c>
      <c r="P240" s="145">
        <f>SUM(P238:P239)</f>
        <v>0</v>
      </c>
      <c r="Q240" s="147"/>
      <c r="R240" s="145">
        <f>SUM(R238:R239)</f>
        <v>0</v>
      </c>
      <c r="S240" s="147"/>
      <c r="T240" s="145">
        <f>SUM(T238:T239)</f>
        <v>0</v>
      </c>
      <c r="U240" s="171">
        <f>IF(T$44=0,0,T240/T$44)</f>
        <v>0</v>
      </c>
      <c r="V240" s="145">
        <f>SUM(V238:V239)</f>
        <v>0</v>
      </c>
      <c r="W240" s="147"/>
      <c r="X240" s="145">
        <f>SUM(X238:X239)</f>
        <v>0</v>
      </c>
      <c r="Y240" s="147"/>
      <c r="Z240" s="145">
        <f>SUM(Z238:Z239)</f>
        <v>0</v>
      </c>
      <c r="AA240" s="171">
        <f>IF(Z$44=0,0,Z240/Z$44)</f>
        <v>0</v>
      </c>
      <c r="AB240" s="145">
        <f>SUM(AB238:AB239)</f>
        <v>0</v>
      </c>
      <c r="AC240" s="147"/>
      <c r="AD240" s="145">
        <f>SUM(AD238:AD239)</f>
        <v>0</v>
      </c>
      <c r="AE240" s="147"/>
      <c r="AF240" s="145">
        <f>SUM(AF238:AF239)</f>
        <v>0</v>
      </c>
      <c r="AG240" s="171">
        <f>IF(AF$44=0,0,AF240/AF$44)</f>
        <v>0</v>
      </c>
      <c r="AH240" s="145">
        <f>SUM(AH238:AH239)</f>
        <v>0</v>
      </c>
      <c r="AI240" s="116">
        <f>IF(AH$50=0,0,AH240/AH$50)</f>
        <v>0</v>
      </c>
      <c r="AJ240" s="122"/>
    </row>
    <row r="241" spans="1:36" s="113" customFormat="1" ht="15" hidden="1" outlineLevel="1">
      <c r="A241" s="118"/>
      <c r="B241" s="143" t="s">
        <v>198</v>
      </c>
      <c r="C241" s="143"/>
      <c r="J241" s="147"/>
      <c r="K241" s="147"/>
      <c r="L241" s="147"/>
      <c r="M241" s="147"/>
      <c r="N241" s="147"/>
      <c r="O241" s="167"/>
      <c r="P241" s="147"/>
      <c r="Q241" s="147"/>
      <c r="R241" s="147"/>
      <c r="S241" s="147"/>
      <c r="T241" s="147"/>
      <c r="U241" s="167"/>
      <c r="V241" s="147"/>
      <c r="W241" s="147"/>
      <c r="X241" s="147"/>
      <c r="Y241" s="147"/>
      <c r="Z241" s="147"/>
      <c r="AA241" s="167"/>
      <c r="AB241" s="147"/>
      <c r="AC241" s="147"/>
      <c r="AD241" s="147"/>
      <c r="AE241" s="147"/>
      <c r="AF241" s="147"/>
      <c r="AG241" s="167"/>
      <c r="AH241" s="147"/>
      <c r="AI241" s="167"/>
      <c r="AJ241" s="122"/>
    </row>
    <row r="242" spans="1:36" hidden="1" outlineLevel="1">
      <c r="B242" s="110" t="s">
        <v>296</v>
      </c>
      <c r="D242" s="111"/>
      <c r="E242" s="111"/>
      <c r="F242" s="112"/>
      <c r="G242" s="108"/>
      <c r="H242" s="113"/>
      <c r="I242" s="114"/>
      <c r="J242" s="115"/>
      <c r="K242" s="114"/>
      <c r="L242" s="115"/>
      <c r="M242" s="114"/>
      <c r="N242" s="115"/>
      <c r="O242" s="114"/>
      <c r="P242" s="115"/>
      <c r="Q242" s="114"/>
      <c r="R242" s="115"/>
      <c r="S242" s="114"/>
      <c r="T242" s="115"/>
      <c r="U242" s="114"/>
      <c r="V242" s="115"/>
      <c r="W242" s="114"/>
      <c r="X242" s="115"/>
      <c r="Y242" s="114"/>
      <c r="Z242" s="115"/>
      <c r="AA242" s="114"/>
      <c r="AB242" s="115"/>
      <c r="AC242" s="114"/>
      <c r="AD242" s="115"/>
      <c r="AE242" s="114"/>
      <c r="AF242" s="115"/>
      <c r="AG242" s="114"/>
      <c r="AH242" s="115">
        <f>AF242+AD242+AB242+Z242+X242+V242+T242+R242+P242+N242+L242+J242</f>
        <v>0</v>
      </c>
      <c r="AI242" s="116">
        <f>IF(AH$50=0,0,AH242/AH$50)</f>
        <v>0</v>
      </c>
      <c r="AJ242" s="117"/>
    </row>
    <row r="243" spans="1:36" s="113" customFormat="1" ht="5.0999999999999996" hidden="1" customHeight="1" outlineLevel="1">
      <c r="A243" s="118"/>
      <c r="B243" s="143" t="s">
        <v>198</v>
      </c>
      <c r="C243" s="143"/>
      <c r="D243" s="112"/>
      <c r="E243" s="112"/>
      <c r="F243" s="112"/>
      <c r="G243" s="112"/>
      <c r="J243" s="148"/>
      <c r="K243" s="147"/>
      <c r="L243" s="148"/>
      <c r="M243" s="147"/>
      <c r="N243" s="148"/>
      <c r="O243" s="167"/>
      <c r="P243" s="148"/>
      <c r="Q243" s="147"/>
      <c r="R243" s="148"/>
      <c r="S243" s="147"/>
      <c r="T243" s="148"/>
      <c r="U243" s="167"/>
      <c r="V243" s="148"/>
      <c r="W243" s="147"/>
      <c r="X243" s="148"/>
      <c r="Y243" s="147"/>
      <c r="Z243" s="148"/>
      <c r="AA243" s="167"/>
      <c r="AB243" s="148"/>
      <c r="AC243" s="147"/>
      <c r="AD243" s="148"/>
      <c r="AE243" s="147"/>
      <c r="AF243" s="148"/>
      <c r="AG243" s="167"/>
      <c r="AH243" s="148"/>
      <c r="AI243" s="167"/>
      <c r="AJ243" s="122"/>
    </row>
    <row r="244" spans="1:36" s="113" customFormat="1" ht="15" hidden="1" collapsed="1">
      <c r="A244" s="118"/>
      <c r="B244" s="143" t="s">
        <v>198</v>
      </c>
      <c r="C244" s="143"/>
      <c r="F244" s="111" t="s">
        <v>297</v>
      </c>
      <c r="J244" s="145">
        <f>SUM(J242:J243)</f>
        <v>0</v>
      </c>
      <c r="K244" s="147"/>
      <c r="L244" s="145">
        <f>SUM(L242:L243)</f>
        <v>0</v>
      </c>
      <c r="M244" s="147"/>
      <c r="N244" s="145">
        <f>SUM(N242:N243)</f>
        <v>0</v>
      </c>
      <c r="O244" s="171">
        <f>IF(N$44=0,0,N244/N$44)</f>
        <v>0</v>
      </c>
      <c r="P244" s="145">
        <f>SUM(P242:P243)</f>
        <v>0</v>
      </c>
      <c r="Q244" s="147"/>
      <c r="R244" s="145">
        <f>SUM(R242:R243)</f>
        <v>0</v>
      </c>
      <c r="S244" s="147"/>
      <c r="T244" s="145">
        <f>SUM(T242:T243)</f>
        <v>0</v>
      </c>
      <c r="U244" s="171">
        <f>IF(T$44=0,0,T244/T$44)</f>
        <v>0</v>
      </c>
      <c r="V244" s="145">
        <f>SUM(V242:V243)</f>
        <v>0</v>
      </c>
      <c r="W244" s="147"/>
      <c r="X244" s="145">
        <f>SUM(X242:X243)</f>
        <v>0</v>
      </c>
      <c r="Y244" s="147"/>
      <c r="Z244" s="145">
        <f>SUM(Z242:Z243)</f>
        <v>0</v>
      </c>
      <c r="AA244" s="171">
        <f>IF(Z$44=0,0,Z244/Z$44)</f>
        <v>0</v>
      </c>
      <c r="AB244" s="145">
        <f>SUM(AB242:AB243)</f>
        <v>0</v>
      </c>
      <c r="AC244" s="147"/>
      <c r="AD244" s="145">
        <f>SUM(AD242:AD243)</f>
        <v>0</v>
      </c>
      <c r="AE244" s="147"/>
      <c r="AF244" s="145">
        <f>SUM(AF242:AF243)</f>
        <v>0</v>
      </c>
      <c r="AG244" s="171">
        <f>IF(AF$44=0,0,AF244/AF$44)</f>
        <v>0</v>
      </c>
      <c r="AH244" s="145">
        <f>SUM(AH242:AH243)</f>
        <v>0</v>
      </c>
      <c r="AI244" s="116">
        <f>IF(AH$50=0,0,AH244/AH$50)</f>
        <v>0</v>
      </c>
      <c r="AJ244" s="122"/>
    </row>
    <row r="245" spans="1:36" s="113" customFormat="1" ht="15" hidden="1" outlineLevel="1">
      <c r="A245" s="118"/>
      <c r="B245" s="143" t="s">
        <v>198</v>
      </c>
      <c r="C245" s="143"/>
      <c r="J245" s="147"/>
      <c r="K245" s="147"/>
      <c r="L245" s="147"/>
      <c r="M245" s="147"/>
      <c r="N245" s="147"/>
      <c r="O245" s="167"/>
      <c r="P245" s="147"/>
      <c r="Q245" s="147"/>
      <c r="R245" s="147"/>
      <c r="S245" s="147"/>
      <c r="T245" s="147"/>
      <c r="U245" s="167"/>
      <c r="V245" s="147"/>
      <c r="W245" s="147"/>
      <c r="X245" s="147"/>
      <c r="Y245" s="147"/>
      <c r="Z245" s="147"/>
      <c r="AA245" s="167"/>
      <c r="AB245" s="147"/>
      <c r="AC245" s="147"/>
      <c r="AD245" s="147"/>
      <c r="AE245" s="147"/>
      <c r="AF245" s="147"/>
      <c r="AG245" s="167"/>
      <c r="AH245" s="147"/>
      <c r="AI245" s="167"/>
      <c r="AJ245" s="122"/>
    </row>
    <row r="246" spans="1:36" hidden="1" outlineLevel="1">
      <c r="B246" s="110" t="s">
        <v>298</v>
      </c>
      <c r="D246" s="111">
        <v>91002</v>
      </c>
      <c r="E246" s="111" t="s">
        <v>116</v>
      </c>
      <c r="F246" s="112"/>
      <c r="G246" s="108"/>
      <c r="H246" s="113"/>
      <c r="I246" s="114"/>
      <c r="J246" s="115">
        <v>0</v>
      </c>
      <c r="K246" s="114"/>
      <c r="L246" s="115">
        <v>0</v>
      </c>
      <c r="M246" s="114"/>
      <c r="N246" s="115">
        <v>0</v>
      </c>
      <c r="O246" s="114"/>
      <c r="P246" s="115">
        <v>0</v>
      </c>
      <c r="Q246" s="114"/>
      <c r="R246" s="115">
        <v>0</v>
      </c>
      <c r="S246" s="114"/>
      <c r="T246" s="115">
        <v>0</v>
      </c>
      <c r="U246" s="114"/>
      <c r="V246" s="115">
        <v>0</v>
      </c>
      <c r="W246" s="114"/>
      <c r="X246" s="115">
        <v>0</v>
      </c>
      <c r="Y246" s="114"/>
      <c r="Z246" s="115">
        <v>0</v>
      </c>
      <c r="AA246" s="114"/>
      <c r="AB246" s="115">
        <v>0</v>
      </c>
      <c r="AC246" s="114"/>
      <c r="AD246" s="115">
        <v>-25</v>
      </c>
      <c r="AE246" s="114"/>
      <c r="AF246" s="115">
        <v>0</v>
      </c>
      <c r="AG246" s="114"/>
      <c r="AH246" s="115">
        <f>AF246+AD246+AB246+Z246+X246+V246+T246+R246+P246+N246+L246+J246</f>
        <v>-25</v>
      </c>
      <c r="AI246" s="116">
        <f>IF(AH$50=0,0,AH246/AH$50)</f>
        <v>-1.908565337390607E-5</v>
      </c>
      <c r="AJ246" s="117"/>
    </row>
    <row r="247" spans="1:36" s="113" customFormat="1" ht="5.0999999999999996" hidden="1" customHeight="1" outlineLevel="1">
      <c r="A247" s="118"/>
      <c r="B247" s="143" t="s">
        <v>198</v>
      </c>
      <c r="C247" s="143"/>
      <c r="D247" s="112"/>
      <c r="E247" s="112"/>
      <c r="F247" s="112"/>
      <c r="G247" s="112"/>
      <c r="J247" s="148"/>
      <c r="K247" s="147"/>
      <c r="L247" s="148"/>
      <c r="M247" s="147"/>
      <c r="N247" s="148"/>
      <c r="O247" s="167"/>
      <c r="P247" s="148"/>
      <c r="Q247" s="147"/>
      <c r="R247" s="148"/>
      <c r="S247" s="147"/>
      <c r="T247" s="148"/>
      <c r="U247" s="167"/>
      <c r="V247" s="148"/>
      <c r="W247" s="147"/>
      <c r="X247" s="148"/>
      <c r="Y247" s="147"/>
      <c r="Z247" s="148"/>
      <c r="AA247" s="167"/>
      <c r="AB247" s="148"/>
      <c r="AC247" s="147"/>
      <c r="AD247" s="148"/>
      <c r="AE247" s="147"/>
      <c r="AF247" s="148"/>
      <c r="AG247" s="167"/>
      <c r="AH247" s="148"/>
      <c r="AI247" s="167"/>
      <c r="AJ247" s="122"/>
    </row>
    <row r="248" spans="1:36" s="113" customFormat="1" ht="15" hidden="1" collapsed="1">
      <c r="A248" s="118"/>
      <c r="B248" s="143" t="s">
        <v>198</v>
      </c>
      <c r="C248" s="143"/>
      <c r="F248" s="112" t="s">
        <v>299</v>
      </c>
      <c r="J248" s="145">
        <f>SUM(J246:J247)</f>
        <v>0</v>
      </c>
      <c r="K248" s="147"/>
      <c r="L248" s="145">
        <f>SUM(L246:L247)</f>
        <v>0</v>
      </c>
      <c r="M248" s="147"/>
      <c r="N248" s="145">
        <f>SUM(N246:N247)</f>
        <v>0</v>
      </c>
      <c r="O248" s="171">
        <f>IF(N$44=0,0,N248/N$44)</f>
        <v>0</v>
      </c>
      <c r="P248" s="145">
        <f>SUM(P246:P247)</f>
        <v>0</v>
      </c>
      <c r="Q248" s="147"/>
      <c r="R248" s="145">
        <f>SUM(R246:R247)</f>
        <v>0</v>
      </c>
      <c r="S248" s="147"/>
      <c r="T248" s="145">
        <f>SUM(T246:T247)</f>
        <v>0</v>
      </c>
      <c r="U248" s="171">
        <f>IF(T$44=0,0,T248/T$44)</f>
        <v>0</v>
      </c>
      <c r="V248" s="145">
        <f>SUM(V246:V247)</f>
        <v>0</v>
      </c>
      <c r="W248" s="147"/>
      <c r="X248" s="145">
        <f>SUM(X246:X247)</f>
        <v>0</v>
      </c>
      <c r="Y248" s="147"/>
      <c r="Z248" s="145">
        <f>SUM(Z246:Z247)</f>
        <v>0</v>
      </c>
      <c r="AA248" s="171">
        <f>IF(Z$44=0,0,Z248/Z$44)</f>
        <v>0</v>
      </c>
      <c r="AB248" s="145">
        <f>SUM(AB246:AB247)</f>
        <v>0</v>
      </c>
      <c r="AC248" s="147"/>
      <c r="AD248" s="145">
        <f>SUM(AD246:AD247)</f>
        <v>-25</v>
      </c>
      <c r="AE248" s="147"/>
      <c r="AF248" s="145">
        <f>SUM(AF246:AF247)</f>
        <v>0</v>
      </c>
      <c r="AG248" s="171">
        <f>IF(AF$44=0,0,AF248/AF$44)</f>
        <v>0</v>
      </c>
      <c r="AH248" s="145">
        <f>SUM(AH246:AH247)</f>
        <v>-25</v>
      </c>
      <c r="AI248" s="116">
        <f>IF(AH$50=0,0,AH248/AH$50)</f>
        <v>-1.908565337390607E-5</v>
      </c>
      <c r="AJ248" s="122"/>
    </row>
    <row r="249" spans="1:36" s="113" customFormat="1" ht="6.75" hidden="1" customHeight="1">
      <c r="A249" s="118"/>
      <c r="B249" s="106" t="s">
        <v>198</v>
      </c>
      <c r="C249" s="106"/>
      <c r="J249" s="147"/>
      <c r="K249" s="147"/>
      <c r="L249" s="147"/>
      <c r="M249" s="147"/>
      <c r="N249" s="147"/>
      <c r="O249" s="167"/>
      <c r="P249" s="147"/>
      <c r="Q249" s="147"/>
      <c r="R249" s="147"/>
      <c r="S249" s="147"/>
      <c r="T249" s="147"/>
      <c r="U249" s="167"/>
      <c r="V249" s="147"/>
      <c r="W249" s="147"/>
      <c r="X249" s="147"/>
      <c r="Y249" s="147"/>
      <c r="Z249" s="147"/>
      <c r="AA249" s="167"/>
      <c r="AB249" s="147"/>
      <c r="AC249" s="147"/>
      <c r="AD249" s="147"/>
      <c r="AE249" s="147"/>
      <c r="AF249" s="147"/>
      <c r="AG249" s="167"/>
      <c r="AH249" s="147"/>
      <c r="AI249" s="167"/>
      <c r="AJ249" s="122"/>
    </row>
    <row r="250" spans="1:36" s="113" customFormat="1" ht="15">
      <c r="A250" s="118"/>
      <c r="B250" s="106" t="s">
        <v>198</v>
      </c>
      <c r="C250" s="106"/>
      <c r="E250" s="150" t="s">
        <v>300</v>
      </c>
      <c r="J250" s="151">
        <f>+J236-J240-J244-J248</f>
        <v>267.27999999999338</v>
      </c>
      <c r="K250" s="147"/>
      <c r="L250" s="151">
        <f>+L236-L240-L244-L248</f>
        <v>8061.6699999999873</v>
      </c>
      <c r="M250" s="147"/>
      <c r="N250" s="151">
        <f>+N236-N240-N244-N248</f>
        <v>19221.989999999991</v>
      </c>
      <c r="O250" s="171">
        <f>IF(N$44=0,0,N250/N$44)</f>
        <v>0</v>
      </c>
      <c r="P250" s="151">
        <f>+P236-P240-P244-P248</f>
        <v>-468.04000000002634</v>
      </c>
      <c r="Q250" s="147"/>
      <c r="R250" s="151">
        <f>+R236-R240-R244-R248</f>
        <v>14208.360000000006</v>
      </c>
      <c r="S250" s="147"/>
      <c r="T250" s="151">
        <f>+T236-T240-T244-T248</f>
        <v>16545.69999999999</v>
      </c>
      <c r="U250" s="171">
        <f>IF(T$44=0,0,T250/T$44)</f>
        <v>0</v>
      </c>
      <c r="V250" s="151">
        <f>+V236-V240-V244-V248</f>
        <v>-1873.7799999999879</v>
      </c>
      <c r="W250" s="147"/>
      <c r="X250" s="151">
        <f>+X236-X240-X244-X248</f>
        <v>-4723.5999999999967</v>
      </c>
      <c r="Y250" s="147"/>
      <c r="Z250" s="151">
        <f>+Z236-Z240-Z244-Z248</f>
        <v>7514.7399999999961</v>
      </c>
      <c r="AA250" s="171">
        <f>IF(Z$44=0,0,Z250/Z$44)</f>
        <v>0</v>
      </c>
      <c r="AB250" s="151">
        <f>+AB236-AB240-AB244-AB248</f>
        <v>4562.9899999999961</v>
      </c>
      <c r="AC250" s="147"/>
      <c r="AD250" s="151">
        <f>+AD236-AD240-AD244-AD248</f>
        <v>-2992.9499999999898</v>
      </c>
      <c r="AE250" s="147"/>
      <c r="AF250" s="151">
        <f>+AF236-AF240-AF244-AF248</f>
        <v>14300.700000000003</v>
      </c>
      <c r="AG250" s="171">
        <f>IF(AF$44=0,0,AF250/AF$44)</f>
        <v>0</v>
      </c>
      <c r="AH250" s="151">
        <f>+AH236-AH240-AH244-AH248</f>
        <v>74625.060000000114</v>
      </c>
      <c r="AI250" s="116">
        <f>IF(AH$50=0,0,AH250/AH$50)</f>
        <v>5.6970721126677809E-2</v>
      </c>
      <c r="AJ250" s="122"/>
    </row>
    <row r="251" spans="1:36" s="113" customFormat="1" ht="6.75" customHeight="1">
      <c r="A251" s="118"/>
      <c r="B251" s="106" t="s">
        <v>198</v>
      </c>
      <c r="C251" s="106"/>
      <c r="J251" s="147"/>
      <c r="K251" s="147"/>
      <c r="L251" s="147"/>
      <c r="M251" s="147"/>
      <c r="N251" s="147"/>
      <c r="O251" s="167"/>
      <c r="P251" s="147"/>
      <c r="Q251" s="147"/>
      <c r="R251" s="147"/>
      <c r="S251" s="147"/>
      <c r="T251" s="147"/>
      <c r="U251" s="167"/>
      <c r="V251" s="147"/>
      <c r="W251" s="147"/>
      <c r="X251" s="147"/>
      <c r="Y251" s="147"/>
      <c r="Z251" s="147"/>
      <c r="AA251" s="167"/>
      <c r="AB251" s="147"/>
      <c r="AC251" s="147"/>
      <c r="AD251" s="147"/>
      <c r="AE251" s="147"/>
      <c r="AF251" s="147"/>
      <c r="AG251" s="167"/>
      <c r="AH251" s="147"/>
      <c r="AI251" s="167"/>
      <c r="AJ251" s="122"/>
    </row>
    <row r="252" spans="1:36" outlineLevel="1">
      <c r="B252" s="110" t="s">
        <v>301</v>
      </c>
      <c r="D252" s="111"/>
      <c r="E252" s="111"/>
      <c r="F252" s="112"/>
      <c r="G252" s="108"/>
      <c r="H252" s="113"/>
      <c r="I252" s="114"/>
      <c r="J252" s="115"/>
      <c r="K252" s="114"/>
      <c r="L252" s="115"/>
      <c r="M252" s="114"/>
      <c r="N252" s="115"/>
      <c r="O252" s="114"/>
      <c r="P252" s="115"/>
      <c r="Q252" s="114"/>
      <c r="R252" s="115"/>
      <c r="S252" s="114"/>
      <c r="T252" s="115"/>
      <c r="U252" s="114"/>
      <c r="V252" s="115"/>
      <c r="W252" s="114"/>
      <c r="X252" s="115"/>
      <c r="Y252" s="114"/>
      <c r="Z252" s="115"/>
      <c r="AA252" s="114"/>
      <c r="AB252" s="115"/>
      <c r="AC252" s="114"/>
      <c r="AD252" s="115"/>
      <c r="AE252" s="114"/>
      <c r="AF252" s="115"/>
      <c r="AG252" s="114"/>
      <c r="AH252" s="115">
        <f>AF252+AD252+AB252+Z252+X252+V252+T252+R252+P252+N252+L252+J252</f>
        <v>0</v>
      </c>
      <c r="AI252" s="116">
        <f>IF(AH$50=0,0,AH252/AH$50)</f>
        <v>0</v>
      </c>
      <c r="AJ252" s="117"/>
    </row>
    <row r="253" spans="1:36" s="113" customFormat="1" ht="5.0999999999999996" customHeight="1" outlineLevel="1">
      <c r="A253" s="118"/>
      <c r="B253" s="143" t="s">
        <v>198</v>
      </c>
      <c r="C253" s="143"/>
      <c r="D253" s="112"/>
      <c r="E253" s="112"/>
      <c r="F253" s="112"/>
      <c r="G253" s="112"/>
      <c r="J253" s="148"/>
      <c r="K253" s="147"/>
      <c r="L253" s="148"/>
      <c r="M253" s="147"/>
      <c r="N253" s="148"/>
      <c r="O253" s="167"/>
      <c r="P253" s="148"/>
      <c r="Q253" s="147"/>
      <c r="R253" s="148"/>
      <c r="S253" s="147"/>
      <c r="T253" s="148"/>
      <c r="U253" s="167"/>
      <c r="V253" s="148"/>
      <c r="W253" s="147"/>
      <c r="X253" s="148"/>
      <c r="Y253" s="147"/>
      <c r="Z253" s="148"/>
      <c r="AA253" s="167"/>
      <c r="AB253" s="148"/>
      <c r="AC253" s="147"/>
      <c r="AD253" s="148"/>
      <c r="AE253" s="147"/>
      <c r="AF253" s="148"/>
      <c r="AG253" s="167"/>
      <c r="AH253" s="148"/>
      <c r="AI253" s="167"/>
      <c r="AJ253" s="122"/>
    </row>
    <row r="254" spans="1:36" s="113" customFormat="1" ht="15">
      <c r="A254" s="118"/>
      <c r="B254" s="143" t="s">
        <v>198</v>
      </c>
      <c r="C254" s="143"/>
      <c r="F254" s="111" t="s">
        <v>302</v>
      </c>
      <c r="J254" s="145">
        <f>SUM(J252:J253)</f>
        <v>0</v>
      </c>
      <c r="K254" s="147"/>
      <c r="L254" s="145">
        <f>SUM(L252:L253)</f>
        <v>0</v>
      </c>
      <c r="M254" s="147"/>
      <c r="N254" s="145">
        <f>SUM(N252:N253)</f>
        <v>0</v>
      </c>
      <c r="O254" s="171">
        <f>IF(N$44=0,0,N254/N$44)</f>
        <v>0</v>
      </c>
      <c r="P254" s="145">
        <f>SUM(P252:P253)</f>
        <v>0</v>
      </c>
      <c r="Q254" s="147"/>
      <c r="R254" s="145">
        <f>SUM(R252:R253)</f>
        <v>0</v>
      </c>
      <c r="S254" s="147"/>
      <c r="T254" s="145">
        <f>SUM(T252:T253)</f>
        <v>0</v>
      </c>
      <c r="U254" s="171">
        <f>IF(T$44=0,0,T254/T$44)</f>
        <v>0</v>
      </c>
      <c r="V254" s="145">
        <f>SUM(V252:V253)</f>
        <v>0</v>
      </c>
      <c r="W254" s="147"/>
      <c r="X254" s="145">
        <f>SUM(X252:X253)</f>
        <v>0</v>
      </c>
      <c r="Y254" s="147"/>
      <c r="Z254" s="145">
        <f>SUM(Z252:Z253)</f>
        <v>0</v>
      </c>
      <c r="AA254" s="171">
        <f>IF(Z$44=0,0,Z254/Z$44)</f>
        <v>0</v>
      </c>
      <c r="AB254" s="145">
        <f>SUM(AB252:AB253)</f>
        <v>0</v>
      </c>
      <c r="AC254" s="147"/>
      <c r="AD254" s="145">
        <f>SUM(AD252:AD253)</f>
        <v>0</v>
      </c>
      <c r="AE254" s="147"/>
      <c r="AF254" s="145">
        <f>SUM(AF252:AF253)</f>
        <v>0</v>
      </c>
      <c r="AG254" s="171">
        <f>IF(AF$44=0,0,AF254/AF$44)</f>
        <v>0</v>
      </c>
      <c r="AH254" s="145">
        <f>SUM(AH252:AH253)</f>
        <v>0</v>
      </c>
      <c r="AI254" s="116">
        <f>IF(AH$50=0,0,AH254/AH$50)</f>
        <v>0</v>
      </c>
      <c r="AJ254" s="122"/>
    </row>
    <row r="255" spans="1:36" s="113" customFormat="1" ht="6.75" customHeight="1">
      <c r="A255" s="118"/>
      <c r="B255" s="106" t="s">
        <v>198</v>
      </c>
      <c r="C255" s="106"/>
      <c r="J255" s="147"/>
      <c r="K255" s="147"/>
      <c r="L255" s="147"/>
      <c r="M255" s="147"/>
      <c r="N255" s="147"/>
      <c r="O255" s="167"/>
      <c r="P255" s="147"/>
      <c r="Q255" s="147"/>
      <c r="R255" s="147"/>
      <c r="S255" s="147"/>
      <c r="T255" s="147"/>
      <c r="U255" s="167"/>
      <c r="V255" s="147"/>
      <c r="W255" s="147"/>
      <c r="X255" s="147"/>
      <c r="Y255" s="147"/>
      <c r="Z255" s="147"/>
      <c r="AA255" s="167"/>
      <c r="AB255" s="147"/>
      <c r="AC255" s="147"/>
      <c r="AD255" s="147"/>
      <c r="AE255" s="147"/>
      <c r="AF255" s="147"/>
      <c r="AG255" s="167"/>
      <c r="AH255" s="147"/>
      <c r="AI255" s="167"/>
      <c r="AJ255" s="122"/>
    </row>
    <row r="256" spans="1:36" s="113" customFormat="1" ht="15">
      <c r="A256" s="118"/>
      <c r="B256" s="143" t="s">
        <v>198</v>
      </c>
      <c r="C256" s="143"/>
      <c r="E256" s="150" t="s">
        <v>303</v>
      </c>
      <c r="J256" s="151">
        <f>+J250-J254</f>
        <v>267.27999999999338</v>
      </c>
      <c r="K256" s="147"/>
      <c r="L256" s="151">
        <f>+L250-L254</f>
        <v>8061.6699999999873</v>
      </c>
      <c r="M256" s="147"/>
      <c r="N256" s="151">
        <f>+N250-N254</f>
        <v>19221.989999999991</v>
      </c>
      <c r="O256" s="171">
        <f>IF(N$44=0,0,N256/N$44)</f>
        <v>0</v>
      </c>
      <c r="P256" s="151">
        <f>+P250-P254</f>
        <v>-468.04000000002634</v>
      </c>
      <c r="Q256" s="147"/>
      <c r="R256" s="151">
        <f>+R250-R254</f>
        <v>14208.360000000006</v>
      </c>
      <c r="S256" s="147"/>
      <c r="T256" s="151">
        <f>+T250-T254</f>
        <v>16545.69999999999</v>
      </c>
      <c r="U256" s="171">
        <f>IF(T$44=0,0,T256/T$44)</f>
        <v>0</v>
      </c>
      <c r="V256" s="151">
        <f>+V250-V254</f>
        <v>-1873.7799999999879</v>
      </c>
      <c r="W256" s="147"/>
      <c r="X256" s="151">
        <f>+X250-X254</f>
        <v>-4723.5999999999967</v>
      </c>
      <c r="Y256" s="147"/>
      <c r="Z256" s="151">
        <f>+Z250-Z254</f>
        <v>7514.7399999999961</v>
      </c>
      <c r="AA256" s="171">
        <f>IF(Z$44=0,0,Z256/Z$44)</f>
        <v>0</v>
      </c>
      <c r="AB256" s="151">
        <f>+AB250-AB254</f>
        <v>4562.9899999999961</v>
      </c>
      <c r="AC256" s="147"/>
      <c r="AD256" s="151">
        <f>+AD250-AD254</f>
        <v>-2992.9499999999898</v>
      </c>
      <c r="AE256" s="147"/>
      <c r="AF256" s="151">
        <f>+AF250-AF254</f>
        <v>14300.700000000003</v>
      </c>
      <c r="AG256" s="171">
        <f>IF(AF$44=0,0,AF256/AF$44)</f>
        <v>0</v>
      </c>
      <c r="AH256" s="151">
        <f>+AH250-AH254</f>
        <v>74625.060000000114</v>
      </c>
      <c r="AI256" s="116">
        <f>IF(AH$50=0,0,AH256/AH$50)</f>
        <v>5.6970721126677809E-2</v>
      </c>
      <c r="AJ256" s="122"/>
    </row>
    <row r="257" spans="1:36" ht="6.75" customHeight="1">
      <c r="A257" s="118"/>
      <c r="B257" s="106" t="s">
        <v>198</v>
      </c>
      <c r="J257" s="109"/>
      <c r="K257" s="109"/>
      <c r="L257" s="109"/>
      <c r="M257" s="109"/>
      <c r="N257" s="109"/>
      <c r="O257" s="167"/>
      <c r="P257" s="109"/>
      <c r="Q257" s="109"/>
      <c r="R257" s="109"/>
      <c r="S257" s="109"/>
      <c r="T257" s="109"/>
      <c r="U257" s="167"/>
      <c r="V257" s="109"/>
      <c r="W257" s="109"/>
      <c r="X257" s="109"/>
      <c r="Y257" s="109"/>
      <c r="Z257" s="109"/>
      <c r="AA257" s="167"/>
      <c r="AB257" s="109"/>
      <c r="AC257" s="109"/>
      <c r="AD257" s="109"/>
      <c r="AE257" s="109"/>
      <c r="AF257" s="109"/>
      <c r="AG257" s="167"/>
      <c r="AH257" s="109"/>
      <c r="AI257" s="167"/>
      <c r="AJ257" s="122"/>
    </row>
    <row r="258" spans="1:36" hidden="1" outlineLevel="1">
      <c r="B258" s="110" t="s">
        <v>304</v>
      </c>
      <c r="D258" s="111"/>
      <c r="E258" s="111"/>
      <c r="F258" s="112"/>
      <c r="G258" s="108"/>
      <c r="H258" s="113"/>
      <c r="I258" s="114"/>
      <c r="J258" s="115"/>
      <c r="K258" s="114"/>
      <c r="L258" s="115"/>
      <c r="M258" s="114"/>
      <c r="N258" s="115"/>
      <c r="O258" s="114"/>
      <c r="P258" s="115"/>
      <c r="Q258" s="114"/>
      <c r="R258" s="115"/>
      <c r="S258" s="114"/>
      <c r="T258" s="115"/>
      <c r="U258" s="114"/>
      <c r="V258" s="115"/>
      <c r="W258" s="114"/>
      <c r="X258" s="115"/>
      <c r="Y258" s="114"/>
      <c r="Z258" s="115"/>
      <c r="AA258" s="114"/>
      <c r="AB258" s="115"/>
      <c r="AC258" s="114"/>
      <c r="AD258" s="115"/>
      <c r="AE258" s="114"/>
      <c r="AF258" s="115"/>
      <c r="AG258" s="114"/>
      <c r="AH258" s="115">
        <f>AF258+AD258+AB258+Z258+X258+V258+T258+R258+P258+N258+L258+J258</f>
        <v>0</v>
      </c>
      <c r="AI258" s="116">
        <f>IF(AH$50=0,0,AH258/AH$50)</f>
        <v>0</v>
      </c>
      <c r="AJ258" s="117"/>
    </row>
    <row r="259" spans="1:36" s="113" customFormat="1" ht="4.5" customHeight="1" outlineLevel="1">
      <c r="A259" s="118"/>
      <c r="B259" s="143" t="s">
        <v>198</v>
      </c>
      <c r="C259" s="143"/>
      <c r="D259" s="112"/>
      <c r="E259" s="112"/>
      <c r="F259" s="112"/>
      <c r="G259" s="112"/>
      <c r="J259" s="148"/>
      <c r="K259" s="147"/>
      <c r="L259" s="148"/>
      <c r="M259" s="147"/>
      <c r="N259" s="148"/>
      <c r="O259" s="167"/>
      <c r="P259" s="148"/>
      <c r="Q259" s="147"/>
      <c r="R259" s="148"/>
      <c r="S259" s="147"/>
      <c r="T259" s="148"/>
      <c r="U259" s="167"/>
      <c r="V259" s="148"/>
      <c r="W259" s="147"/>
      <c r="X259" s="148"/>
      <c r="Y259" s="147"/>
      <c r="Z259" s="148"/>
      <c r="AA259" s="167"/>
      <c r="AB259" s="148"/>
      <c r="AC259" s="147"/>
      <c r="AD259" s="148"/>
      <c r="AE259" s="147"/>
      <c r="AF259" s="148"/>
      <c r="AG259" s="167"/>
      <c r="AH259" s="148"/>
      <c r="AI259" s="167"/>
      <c r="AJ259" s="122"/>
    </row>
    <row r="260" spans="1:36" s="113" customFormat="1" ht="15" hidden="1">
      <c r="A260" s="106"/>
      <c r="B260" s="143"/>
      <c r="C260" s="143"/>
      <c r="F260" s="111" t="s">
        <v>305</v>
      </c>
      <c r="J260" s="145">
        <f>SUM(J258:J259)</f>
        <v>0</v>
      </c>
      <c r="K260" s="147"/>
      <c r="L260" s="145">
        <f>SUM(L258:L259)</f>
        <v>0</v>
      </c>
      <c r="M260" s="147"/>
      <c r="N260" s="145">
        <f>SUM(N258:N259)</f>
        <v>0</v>
      </c>
      <c r="O260" s="171">
        <f>IF(N$44=0,0,N260/N$44)</f>
        <v>0</v>
      </c>
      <c r="P260" s="145">
        <f>SUM(P258:P259)</f>
        <v>0</v>
      </c>
      <c r="Q260" s="147"/>
      <c r="R260" s="145">
        <f>SUM(R258:R259)</f>
        <v>0</v>
      </c>
      <c r="S260" s="147"/>
      <c r="T260" s="145">
        <f>SUM(T258:T259)</f>
        <v>0</v>
      </c>
      <c r="U260" s="171">
        <f>IF(T$44=0,0,T260/T$44)</f>
        <v>0</v>
      </c>
      <c r="V260" s="145">
        <f>SUM(V258:V259)</f>
        <v>0</v>
      </c>
      <c r="W260" s="147"/>
      <c r="X260" s="145">
        <f>SUM(X258:X259)</f>
        <v>0</v>
      </c>
      <c r="Y260" s="147"/>
      <c r="Z260" s="145">
        <f>SUM(Z258:Z259)</f>
        <v>0</v>
      </c>
      <c r="AA260" s="171">
        <f>IF(Z$44=0,0,Z260/Z$44)</f>
        <v>0</v>
      </c>
      <c r="AB260" s="145">
        <f>SUM(AB258:AB259)</f>
        <v>0</v>
      </c>
      <c r="AC260" s="147"/>
      <c r="AD260" s="145">
        <f>SUM(AD258:AD259)</f>
        <v>0</v>
      </c>
      <c r="AE260" s="147"/>
      <c r="AF260" s="145">
        <f>SUM(AF258:AF259)</f>
        <v>0</v>
      </c>
      <c r="AG260" s="171">
        <f>IF(AF$44=0,0,AF260/AF$44)</f>
        <v>0</v>
      </c>
      <c r="AH260" s="145">
        <f>SUM(AH258:AH259)</f>
        <v>0</v>
      </c>
      <c r="AI260" s="116">
        <f>IF(AH$50=0,0,AH260/AH$50)</f>
        <v>0</v>
      </c>
      <c r="AJ260" s="122"/>
    </row>
    <row r="261" spans="1:36" s="113" customFormat="1" ht="6.75" customHeight="1">
      <c r="A261" s="106"/>
      <c r="B261" s="143"/>
      <c r="C261" s="143"/>
      <c r="J261" s="147"/>
      <c r="K261" s="147"/>
      <c r="L261" s="147"/>
      <c r="M261" s="147"/>
      <c r="N261" s="147"/>
      <c r="O261" s="167"/>
      <c r="P261" s="147"/>
      <c r="Q261" s="147"/>
      <c r="R261" s="147"/>
      <c r="S261" s="147"/>
      <c r="T261" s="147"/>
      <c r="U261" s="167"/>
      <c r="V261" s="147"/>
      <c r="W261" s="147"/>
      <c r="X261" s="147"/>
      <c r="Y261" s="147"/>
      <c r="Z261" s="147"/>
      <c r="AA261" s="167"/>
      <c r="AB261" s="147"/>
      <c r="AC261" s="147"/>
      <c r="AD261" s="147"/>
      <c r="AE261" s="147"/>
      <c r="AF261" s="147"/>
      <c r="AG261" s="167"/>
      <c r="AH261" s="147"/>
      <c r="AI261" s="167"/>
      <c r="AJ261" s="122"/>
    </row>
    <row r="262" spans="1:36" s="113" customFormat="1" ht="15">
      <c r="A262" s="106"/>
      <c r="B262" s="106"/>
      <c r="C262" s="106"/>
      <c r="E262" s="150" t="s">
        <v>306</v>
      </c>
      <c r="J262" s="151">
        <f>+J256-J260</f>
        <v>267.27999999999338</v>
      </c>
      <c r="K262" s="147"/>
      <c r="L262" s="151">
        <f>+L256-L260</f>
        <v>8061.6699999999873</v>
      </c>
      <c r="M262" s="147"/>
      <c r="N262" s="151">
        <f>+N256-N260</f>
        <v>19221.989999999991</v>
      </c>
      <c r="O262" s="171">
        <f>IF(N$44=0,0,N262/N$44)</f>
        <v>0</v>
      </c>
      <c r="P262" s="151">
        <f>+P256-P260</f>
        <v>-468.04000000002634</v>
      </c>
      <c r="Q262" s="147"/>
      <c r="R262" s="151">
        <f>+R256-R260</f>
        <v>14208.360000000006</v>
      </c>
      <c r="S262" s="147"/>
      <c r="T262" s="151">
        <f>+T256-T260</f>
        <v>16545.69999999999</v>
      </c>
      <c r="U262" s="171">
        <f>IF(T$44=0,0,T262/T$44)</f>
        <v>0</v>
      </c>
      <c r="V262" s="151">
        <f>+V256-V260</f>
        <v>-1873.7799999999879</v>
      </c>
      <c r="W262" s="147"/>
      <c r="X262" s="151">
        <f>+X256-X260</f>
        <v>-4723.5999999999967</v>
      </c>
      <c r="Y262" s="147"/>
      <c r="Z262" s="151">
        <f>+Z256-Z260</f>
        <v>7514.7399999999961</v>
      </c>
      <c r="AA262" s="171">
        <f>IF(Z$44=0,0,Z262/Z$44)</f>
        <v>0</v>
      </c>
      <c r="AB262" s="151">
        <f>+AB256-AB260</f>
        <v>4562.9899999999961</v>
      </c>
      <c r="AC262" s="147"/>
      <c r="AD262" s="151">
        <f>+AD256-AD260</f>
        <v>-2992.9499999999898</v>
      </c>
      <c r="AE262" s="147"/>
      <c r="AF262" s="151">
        <f>+AF256-AF260</f>
        <v>14300.700000000003</v>
      </c>
      <c r="AG262" s="171">
        <f>IF(AF$44=0,0,AF262/AF$44)</f>
        <v>0</v>
      </c>
      <c r="AH262" s="151">
        <f>+AH256-AH260</f>
        <v>74625.060000000114</v>
      </c>
      <c r="AI262" s="116">
        <f>IF(AH$50=0,0,AH262/AH$50)</f>
        <v>5.6970721126677809E-2</v>
      </c>
      <c r="AJ262" s="122"/>
    </row>
    <row r="263" spans="1:36" s="113" customFormat="1" ht="6.75" customHeight="1">
      <c r="A263" s="106"/>
      <c r="B263" s="143"/>
      <c r="C263" s="143"/>
      <c r="J263" s="147"/>
      <c r="K263" s="147"/>
      <c r="L263" s="147"/>
      <c r="M263" s="147"/>
      <c r="N263" s="147"/>
      <c r="O263" s="167"/>
      <c r="P263" s="147"/>
      <c r="Q263" s="147"/>
      <c r="R263" s="147"/>
      <c r="S263" s="147"/>
      <c r="T263" s="147"/>
      <c r="U263" s="167"/>
      <c r="V263" s="147"/>
      <c r="W263" s="147"/>
      <c r="X263" s="147"/>
      <c r="Y263" s="147"/>
      <c r="Z263" s="147"/>
      <c r="AA263" s="167"/>
      <c r="AB263" s="147"/>
      <c r="AC263" s="147"/>
      <c r="AD263" s="147"/>
      <c r="AE263" s="147"/>
      <c r="AF263" s="147"/>
      <c r="AG263" s="167"/>
      <c r="AH263" s="147"/>
      <c r="AI263" s="167"/>
      <c r="AJ263" s="122"/>
    </row>
    <row r="264" spans="1:36" hidden="1" outlineLevel="1">
      <c r="B264" s="110" t="s">
        <v>307</v>
      </c>
      <c r="D264" s="111"/>
      <c r="E264" s="111"/>
      <c r="F264" s="112"/>
      <c r="G264" s="108"/>
      <c r="H264" s="113"/>
      <c r="I264" s="114"/>
      <c r="J264" s="115"/>
      <c r="K264" s="114"/>
      <c r="L264" s="115"/>
      <c r="M264" s="114"/>
      <c r="N264" s="115"/>
      <c r="O264" s="114"/>
      <c r="P264" s="115"/>
      <c r="Q264" s="114"/>
      <c r="R264" s="115"/>
      <c r="S264" s="114"/>
      <c r="T264" s="115"/>
      <c r="U264" s="114"/>
      <c r="V264" s="115"/>
      <c r="W264" s="114"/>
      <c r="X264" s="115"/>
      <c r="Y264" s="114"/>
      <c r="Z264" s="115"/>
      <c r="AA264" s="114"/>
      <c r="AB264" s="115"/>
      <c r="AC264" s="114"/>
      <c r="AD264" s="115"/>
      <c r="AE264" s="114"/>
      <c r="AF264" s="115"/>
      <c r="AG264" s="114"/>
      <c r="AH264" s="115">
        <f>AF264+AD264+AB264+Z264+X264+V264+T264+R264+P264+N264+L264+J264</f>
        <v>0</v>
      </c>
      <c r="AI264" s="116">
        <f>IF(AH$50=0,0,AH264/AH$50)</f>
        <v>0</v>
      </c>
      <c r="AJ264" s="117"/>
    </row>
    <row r="265" spans="1:36" s="113" customFormat="1" ht="5.0999999999999996" hidden="1" customHeight="1" outlineLevel="1">
      <c r="A265" s="118"/>
      <c r="B265" s="143" t="s">
        <v>198</v>
      </c>
      <c r="C265" s="143"/>
      <c r="D265" s="112"/>
      <c r="E265" s="112"/>
      <c r="F265" s="112"/>
      <c r="G265" s="112"/>
      <c r="J265" s="148"/>
      <c r="K265" s="147"/>
      <c r="L265" s="148"/>
      <c r="M265" s="147"/>
      <c r="N265" s="148"/>
      <c r="O265" s="167"/>
      <c r="P265" s="148"/>
      <c r="Q265" s="147"/>
      <c r="R265" s="148"/>
      <c r="S265" s="147"/>
      <c r="T265" s="148"/>
      <c r="U265" s="167"/>
      <c r="V265" s="148"/>
      <c r="W265" s="147"/>
      <c r="X265" s="148"/>
      <c r="Y265" s="147"/>
      <c r="Z265" s="148"/>
      <c r="AA265" s="167"/>
      <c r="AB265" s="148"/>
      <c r="AC265" s="147"/>
      <c r="AD265" s="148"/>
      <c r="AE265" s="147"/>
      <c r="AF265" s="148"/>
      <c r="AG265" s="167"/>
      <c r="AH265" s="148"/>
      <c r="AI265" s="167"/>
      <c r="AJ265" s="122"/>
    </row>
    <row r="266" spans="1:36" s="113" customFormat="1" ht="15" hidden="1" collapsed="1">
      <c r="A266" s="118"/>
      <c r="B266" s="143" t="s">
        <v>198</v>
      </c>
      <c r="C266" s="143"/>
      <c r="F266" s="111" t="s">
        <v>308</v>
      </c>
      <c r="J266" s="145">
        <f>SUM(J264:J265)</f>
        <v>0</v>
      </c>
      <c r="K266" s="147"/>
      <c r="L266" s="145">
        <f>SUM(L264:L265)</f>
        <v>0</v>
      </c>
      <c r="M266" s="147"/>
      <c r="N266" s="145">
        <f>SUM(N264:N265)</f>
        <v>0</v>
      </c>
      <c r="O266" s="171">
        <f>IF(N$44=0,0,N266/N$44)</f>
        <v>0</v>
      </c>
      <c r="P266" s="145">
        <f>SUM(P264:P265)</f>
        <v>0</v>
      </c>
      <c r="Q266" s="147"/>
      <c r="R266" s="145">
        <f>SUM(R264:R265)</f>
        <v>0</v>
      </c>
      <c r="S266" s="147"/>
      <c r="T266" s="145">
        <f>SUM(T264:T265)</f>
        <v>0</v>
      </c>
      <c r="U266" s="171">
        <f>IF(T$44=0,0,T266/T$44)</f>
        <v>0</v>
      </c>
      <c r="V266" s="145">
        <f>SUM(V264:V265)</f>
        <v>0</v>
      </c>
      <c r="W266" s="147"/>
      <c r="X266" s="145">
        <f>SUM(X264:X265)</f>
        <v>0</v>
      </c>
      <c r="Y266" s="147"/>
      <c r="Z266" s="145">
        <f>SUM(Z264:Z265)</f>
        <v>0</v>
      </c>
      <c r="AA266" s="171">
        <f>IF(Z$44=0,0,Z266/Z$44)</f>
        <v>0</v>
      </c>
      <c r="AB266" s="145">
        <f>SUM(AB264:AB265)</f>
        <v>0</v>
      </c>
      <c r="AC266" s="147"/>
      <c r="AD266" s="145">
        <f>SUM(AD264:AD265)</f>
        <v>0</v>
      </c>
      <c r="AE266" s="147"/>
      <c r="AF266" s="145">
        <f>SUM(AF264:AF265)</f>
        <v>0</v>
      </c>
      <c r="AG266" s="171">
        <f>IF(AF$44=0,0,AF266/AF$44)</f>
        <v>0</v>
      </c>
      <c r="AH266" s="145">
        <f>SUM(AH264:AH265)</f>
        <v>0</v>
      </c>
      <c r="AI266" s="116">
        <f>IF(AH$50=0,0,AH266/AH$50)</f>
        <v>0</v>
      </c>
      <c r="AJ266" s="122"/>
    </row>
    <row r="267" spans="1:36" s="113" customFormat="1" ht="6.75" customHeight="1">
      <c r="A267" s="106"/>
      <c r="B267" s="143"/>
      <c r="C267" s="143"/>
      <c r="J267" s="147"/>
      <c r="K267" s="147"/>
      <c r="L267" s="147"/>
      <c r="M267" s="147"/>
      <c r="N267" s="147"/>
      <c r="O267" s="167"/>
      <c r="P267" s="147"/>
      <c r="Q267" s="147"/>
      <c r="R267" s="147"/>
      <c r="S267" s="147"/>
      <c r="T267" s="147"/>
      <c r="U267" s="167"/>
      <c r="V267" s="147"/>
      <c r="W267" s="147"/>
      <c r="X267" s="147"/>
      <c r="Y267" s="147"/>
      <c r="Z267" s="147"/>
      <c r="AA267" s="167"/>
      <c r="AB267" s="147"/>
      <c r="AC267" s="147"/>
      <c r="AD267" s="147"/>
      <c r="AE267" s="147"/>
      <c r="AF267" s="147"/>
      <c r="AG267" s="167"/>
      <c r="AH267" s="147"/>
      <c r="AI267" s="167"/>
      <c r="AJ267" s="122"/>
    </row>
    <row r="268" spans="1:36" s="113" customFormat="1" ht="15.75" thickBot="1">
      <c r="A268" s="106"/>
      <c r="B268" s="106"/>
      <c r="C268" s="106"/>
      <c r="E268" s="150" t="s">
        <v>309</v>
      </c>
      <c r="J268" s="172">
        <f>+J262-J266</f>
        <v>267.27999999999338</v>
      </c>
      <c r="K268" s="147"/>
      <c r="L268" s="172">
        <f>+L262-L266</f>
        <v>8061.6699999999873</v>
      </c>
      <c r="M268" s="147"/>
      <c r="N268" s="172">
        <f>+N262-N266</f>
        <v>19221.989999999991</v>
      </c>
      <c r="O268" s="171">
        <f>IF(N$44=0,0,N268/N$44)</f>
        <v>0</v>
      </c>
      <c r="P268" s="172">
        <f>+P262-P266</f>
        <v>-468.04000000002634</v>
      </c>
      <c r="Q268" s="147"/>
      <c r="R268" s="172">
        <f>+R262-R266</f>
        <v>14208.360000000006</v>
      </c>
      <c r="S268" s="147"/>
      <c r="T268" s="172">
        <f>+T262-T266</f>
        <v>16545.69999999999</v>
      </c>
      <c r="U268" s="171">
        <f>IF(T$44=0,0,T268/T$44)</f>
        <v>0</v>
      </c>
      <c r="V268" s="172">
        <f>+V262-V266</f>
        <v>-1873.7799999999879</v>
      </c>
      <c r="W268" s="147"/>
      <c r="X268" s="172">
        <f>+X262-X266</f>
        <v>-4723.5999999999967</v>
      </c>
      <c r="Y268" s="147"/>
      <c r="Z268" s="172">
        <f>+Z262-Z266</f>
        <v>7514.7399999999961</v>
      </c>
      <c r="AA268" s="171">
        <f>IF(Z$44=0,0,Z268/Z$44)</f>
        <v>0</v>
      </c>
      <c r="AB268" s="172">
        <f>+AB262-AB266</f>
        <v>4562.9899999999961</v>
      </c>
      <c r="AC268" s="147"/>
      <c r="AD268" s="172">
        <f>+AD262-AD266</f>
        <v>-2992.9499999999898</v>
      </c>
      <c r="AE268" s="147"/>
      <c r="AF268" s="172">
        <f>+AF262-AF266</f>
        <v>14300.700000000003</v>
      </c>
      <c r="AG268" s="171">
        <f>IF(AF$44=0,0,AF268/AF$44)</f>
        <v>0</v>
      </c>
      <c r="AH268" s="172">
        <f>+AH262-AH266</f>
        <v>74625.060000000114</v>
      </c>
      <c r="AI268" s="116">
        <f>IF(AH$50=0,0,AH268/AH$50)</f>
        <v>5.6970721126677809E-2</v>
      </c>
      <c r="AJ268" s="122"/>
    </row>
    <row r="269" spans="1:36" s="173" customFormat="1" ht="6.75" customHeight="1" thickTop="1">
      <c r="A269" s="118"/>
      <c r="B269" s="143"/>
      <c r="C269" s="143"/>
      <c r="D269" s="113"/>
      <c r="E269" s="113"/>
      <c r="F269" s="111"/>
      <c r="G269" s="113"/>
      <c r="H269" s="106"/>
      <c r="I269" s="106"/>
      <c r="K269" s="106"/>
      <c r="M269" s="122"/>
      <c r="O269" s="122"/>
      <c r="Q269" s="106"/>
      <c r="S269" s="122"/>
      <c r="U269" s="122"/>
      <c r="W269" s="106"/>
      <c r="Y269" s="122"/>
      <c r="AA269" s="122"/>
      <c r="AC269" s="106"/>
      <c r="AE269" s="122"/>
      <c r="AG269" s="122"/>
      <c r="AJ269" s="106"/>
    </row>
    <row r="270" spans="1:36" customFormat="1" ht="6.75" customHeight="1" outlineLevel="1">
      <c r="B270" t="s">
        <v>310</v>
      </c>
    </row>
    <row r="271" spans="1:36" ht="6" customHeight="1" outlineLevel="1">
      <c r="A271" s="118"/>
      <c r="J271" s="148"/>
      <c r="K271" s="147"/>
      <c r="L271" s="148"/>
      <c r="M271" s="147"/>
      <c r="N271" s="148"/>
      <c r="O271" s="167"/>
      <c r="P271" s="148"/>
      <c r="Q271" s="147"/>
      <c r="R271" s="148"/>
      <c r="S271" s="147"/>
      <c r="T271" s="148"/>
      <c r="U271" s="167"/>
      <c r="V271" s="148"/>
      <c r="W271" s="147"/>
      <c r="X271" s="148"/>
      <c r="Y271" s="147"/>
      <c r="Z271" s="148"/>
      <c r="AA271" s="167"/>
      <c r="AB271" s="148"/>
      <c r="AC271" s="147"/>
      <c r="AD271" s="148"/>
      <c r="AE271" s="147"/>
      <c r="AF271" s="148"/>
      <c r="AG271" s="167"/>
      <c r="AH271" s="148"/>
    </row>
    <row r="272" spans="1:36" s="109" customFormat="1">
      <c r="A272" s="174"/>
      <c r="E272" s="109" t="s">
        <v>311</v>
      </c>
      <c r="J272" s="175">
        <f>SUM(J270:J271)</f>
        <v>0</v>
      </c>
      <c r="K272" s="176"/>
      <c r="L272" s="175">
        <f>SUM(L270:L271)</f>
        <v>0</v>
      </c>
      <c r="M272" s="176"/>
      <c r="N272" s="175">
        <f>SUM(N270:N271)</f>
        <v>0</v>
      </c>
      <c r="O272" s="177"/>
      <c r="P272" s="175">
        <f>SUM(P270:P271)</f>
        <v>0</v>
      </c>
      <c r="Q272" s="176"/>
      <c r="R272" s="175">
        <f>SUM(R270:R271)</f>
        <v>0</v>
      </c>
      <c r="S272" s="176"/>
      <c r="T272" s="175">
        <f>SUM(T270:T271)</f>
        <v>0</v>
      </c>
      <c r="U272" s="177"/>
      <c r="V272" s="175">
        <f>SUM(V270:V271)</f>
        <v>0</v>
      </c>
      <c r="W272" s="176"/>
      <c r="X272" s="175">
        <f>SUM(X270:X271)</f>
        <v>0</v>
      </c>
      <c r="Y272" s="176"/>
      <c r="Z272" s="175">
        <f>SUM(Z270:Z271)</f>
        <v>0</v>
      </c>
      <c r="AA272" s="177"/>
      <c r="AB272" s="175">
        <f>SUM(AB270:AB271)</f>
        <v>0</v>
      </c>
      <c r="AC272" s="176"/>
      <c r="AD272" s="175">
        <f>SUM(AD270:AD271)</f>
        <v>0</v>
      </c>
      <c r="AE272" s="176"/>
      <c r="AF272" s="175">
        <f>SUM(AF270:AF271)</f>
        <v>0</v>
      </c>
      <c r="AG272" s="177"/>
      <c r="AH272" s="175">
        <f>SUM(AH270:AH271)</f>
        <v>0</v>
      </c>
    </row>
    <row r="273" spans="1:36">
      <c r="A273" s="118"/>
      <c r="J273" s="143"/>
      <c r="K273" s="143"/>
      <c r="L273" s="143"/>
      <c r="M273" s="143"/>
      <c r="N273" s="143"/>
      <c r="O273" s="143"/>
      <c r="P273" s="143"/>
      <c r="Q273" s="143"/>
      <c r="R273" s="143"/>
      <c r="S273" s="143"/>
      <c r="T273" s="143"/>
      <c r="U273" s="143"/>
      <c r="V273" s="143"/>
      <c r="W273" s="143"/>
      <c r="X273" s="143"/>
      <c r="Y273" s="143"/>
      <c r="Z273" s="143"/>
      <c r="AA273" s="143"/>
      <c r="AB273" s="143"/>
      <c r="AC273" s="143"/>
      <c r="AD273" s="143"/>
      <c r="AE273" s="143"/>
      <c r="AF273" s="143"/>
      <c r="AG273" s="143"/>
      <c r="AH273" s="143"/>
      <c r="AI273" s="143"/>
      <c r="AJ273" s="143"/>
    </row>
    <row r="274" spans="1:36" ht="10.5" customHeight="1">
      <c r="A274" s="118"/>
      <c r="B274" s="143"/>
      <c r="C274" s="143"/>
      <c r="D274" s="112"/>
      <c r="E274" s="112"/>
      <c r="F274" s="112"/>
      <c r="G274" s="112"/>
      <c r="M274" s="122"/>
      <c r="O274" s="122"/>
      <c r="S274" s="122"/>
      <c r="U274" s="122"/>
      <c r="Y274" s="122"/>
      <c r="AA274" s="122"/>
      <c r="AE274" s="122"/>
      <c r="AG274" s="122"/>
    </row>
    <row r="275" spans="1:36" ht="10.5" customHeight="1">
      <c r="A275" s="118"/>
      <c r="B275" s="143"/>
      <c r="C275" s="143"/>
      <c r="D275" s="113"/>
      <c r="E275" s="113"/>
      <c r="F275" s="112"/>
      <c r="G275" s="113"/>
      <c r="M275" s="122"/>
      <c r="O275" s="122"/>
      <c r="S275" s="122"/>
      <c r="U275" s="122"/>
      <c r="Y275" s="122"/>
      <c r="AA275" s="122"/>
      <c r="AE275" s="122"/>
      <c r="AF275" s="178" t="s">
        <v>312</v>
      </c>
      <c r="AG275" s="179"/>
      <c r="AH275" s="180">
        <f>SUM(J268:AF268)-AH268</f>
        <v>-1.6007106751203537E-10</v>
      </c>
    </row>
    <row r="276" spans="1:36" s="173" customFormat="1" ht="7.5" customHeight="1">
      <c r="A276" s="118"/>
      <c r="B276" s="143"/>
      <c r="C276" s="143"/>
      <c r="D276" s="113"/>
      <c r="E276" s="113"/>
      <c r="F276" s="113"/>
      <c r="G276" s="113"/>
      <c r="H276" s="106"/>
      <c r="I276" s="106"/>
      <c r="K276" s="106"/>
      <c r="M276" s="122"/>
      <c r="O276" s="122"/>
      <c r="Q276" s="106"/>
      <c r="S276" s="122"/>
      <c r="U276" s="122"/>
      <c r="W276" s="106"/>
      <c r="Y276" s="122"/>
      <c r="AA276" s="122"/>
      <c r="AC276" s="106"/>
      <c r="AE276" s="122"/>
      <c r="AG276" s="122"/>
      <c r="AI276" s="106"/>
      <c r="AJ276" s="106"/>
    </row>
    <row r="277" spans="1:36" s="173" customFormat="1" ht="15">
      <c r="A277" s="154"/>
      <c r="B277" s="154"/>
      <c r="C277" s="154"/>
      <c r="D277" s="154"/>
      <c r="E277" s="154"/>
      <c r="F277" s="154"/>
      <c r="G277" s="154"/>
      <c r="H277" s="106"/>
      <c r="I277" s="106"/>
      <c r="K277" s="106"/>
      <c r="M277" s="122"/>
      <c r="O277" s="122"/>
      <c r="Q277" s="106"/>
      <c r="S277" s="122"/>
      <c r="U277" s="122"/>
      <c r="V277" s="173">
        <f>V50-V268</f>
        <v>114682.9</v>
      </c>
      <c r="W277" s="173">
        <f>W50-W268</f>
        <v>0</v>
      </c>
      <c r="X277" s="173">
        <f>X50-X268</f>
        <v>113220.21999999999</v>
      </c>
      <c r="Y277" s="122"/>
      <c r="Z277" s="173">
        <f>Z50-Z268</f>
        <v>101727.13</v>
      </c>
      <c r="AA277" s="122"/>
      <c r="AB277" s="173">
        <f>AB50-AB268</f>
        <v>112079.53000000001</v>
      </c>
      <c r="AC277" s="106"/>
      <c r="AD277" s="173">
        <f>AD50-AD268</f>
        <v>107096.97999999998</v>
      </c>
      <c r="AE277" s="122"/>
      <c r="AF277" s="173">
        <f>AF50-AF268</f>
        <v>91055.430000000008</v>
      </c>
      <c r="AG277" s="122"/>
      <c r="AH277" s="173">
        <f>AH50-AH268</f>
        <v>1235259.3600000001</v>
      </c>
      <c r="AJ277" s="106"/>
    </row>
    <row r="278" spans="1:36" s="173" customFormat="1" ht="15">
      <c r="A278" s="118"/>
      <c r="B278" s="143"/>
      <c r="C278" s="143"/>
      <c r="D278" s="112"/>
      <c r="E278" s="112"/>
      <c r="F278" s="112"/>
      <c r="G278" s="112"/>
      <c r="H278" s="106"/>
      <c r="I278" s="106"/>
      <c r="K278" s="106"/>
      <c r="M278" s="122"/>
      <c r="O278" s="122"/>
      <c r="Q278" s="106"/>
      <c r="S278" s="122"/>
      <c r="U278" s="122"/>
      <c r="V278" s="181">
        <f>V277/V50</f>
        <v>1.0166101818718201</v>
      </c>
      <c r="W278" s="181" t="e">
        <f>W277/W50</f>
        <v>#DIV/0!</v>
      </c>
      <c r="X278" s="181">
        <f>X277/X50</f>
        <v>1.0435368401338216</v>
      </c>
      <c r="Y278" s="122"/>
      <c r="Z278" s="181">
        <f>Z277/Z50</f>
        <v>0.93121007540423839</v>
      </c>
      <c r="AA278" s="122"/>
      <c r="AB278" s="181">
        <f>AB277/AB50</f>
        <v>0.96088056053658655</v>
      </c>
      <c r="AC278" s="106"/>
      <c r="AD278" s="181">
        <f>AD277/AD50</f>
        <v>1.0287496074839753</v>
      </c>
      <c r="AE278" s="122"/>
      <c r="AF278" s="181">
        <f>AF277/AF50</f>
        <v>0.86426323745946254</v>
      </c>
      <c r="AG278" s="122"/>
      <c r="AH278" s="181">
        <f>AH277/AH50</f>
        <v>0.94302927887332222</v>
      </c>
      <c r="AJ278" s="106"/>
    </row>
    <row r="279" spans="1:36" s="173" customFormat="1" ht="15">
      <c r="A279" s="118"/>
      <c r="B279" s="143"/>
      <c r="C279" s="143"/>
      <c r="D279" s="113"/>
      <c r="E279" s="113"/>
      <c r="F279" s="111"/>
      <c r="G279" s="113"/>
      <c r="H279" s="106"/>
      <c r="I279" s="106"/>
      <c r="K279" s="106"/>
      <c r="M279" s="122"/>
      <c r="O279" s="122"/>
      <c r="Q279" s="106"/>
      <c r="S279" s="122"/>
      <c r="U279" s="122"/>
      <c r="W279" s="106"/>
      <c r="Y279" s="122"/>
      <c r="AA279" s="122"/>
      <c r="AC279" s="106"/>
      <c r="AE279" s="122"/>
      <c r="AG279" s="122"/>
      <c r="AJ279" s="106"/>
    </row>
    <row r="280" spans="1:36" s="173" customFormat="1" ht="15">
      <c r="A280" s="118"/>
      <c r="B280" s="143"/>
      <c r="C280" s="143"/>
      <c r="D280" s="113"/>
      <c r="E280" s="113"/>
      <c r="F280" s="113"/>
      <c r="G280" s="113"/>
      <c r="H280" s="106"/>
      <c r="I280" s="106"/>
      <c r="K280" s="106"/>
      <c r="M280" s="122"/>
      <c r="O280" s="122"/>
      <c r="Q280" s="106"/>
      <c r="S280" s="122"/>
      <c r="U280" s="122"/>
      <c r="W280" s="106"/>
      <c r="Y280" s="122"/>
      <c r="AA280" s="122"/>
      <c r="AC280" s="106"/>
      <c r="AE280" s="122"/>
      <c r="AG280" s="122"/>
      <c r="AJ280" s="106"/>
    </row>
    <row r="281" spans="1:36" s="173" customFormat="1" ht="15">
      <c r="A281" s="154"/>
      <c r="B281" s="154"/>
      <c r="C281" s="154"/>
      <c r="D281" s="154"/>
      <c r="E281" s="154"/>
      <c r="F281" s="154"/>
      <c r="G281" s="154"/>
      <c r="H281" s="106"/>
      <c r="I281" s="106"/>
      <c r="K281" s="106"/>
      <c r="M281" s="122"/>
      <c r="O281" s="122"/>
      <c r="Q281" s="106"/>
      <c r="S281" s="122"/>
      <c r="U281" s="122"/>
      <c r="W281" s="106"/>
      <c r="Y281" s="122"/>
      <c r="AA281" s="122"/>
      <c r="AC281" s="106"/>
      <c r="AE281" s="122"/>
      <c r="AG281" s="122"/>
      <c r="AJ281" s="106"/>
    </row>
    <row r="282" spans="1:36" s="173" customFormat="1" ht="15">
      <c r="A282" s="118"/>
      <c r="B282" s="143"/>
      <c r="C282" s="143"/>
      <c r="D282" s="112"/>
      <c r="E282" s="112"/>
      <c r="F282" s="112"/>
      <c r="G282" s="112"/>
      <c r="H282" s="106"/>
      <c r="I282" s="106"/>
      <c r="K282" s="106"/>
      <c r="M282" s="122"/>
      <c r="O282" s="122"/>
      <c r="Q282" s="106"/>
      <c r="S282" s="122"/>
      <c r="U282" s="122"/>
      <c r="W282" s="106"/>
      <c r="Y282" s="122"/>
      <c r="AA282" s="122"/>
      <c r="AC282" s="106"/>
      <c r="AE282" s="122"/>
      <c r="AG282" s="122"/>
      <c r="AJ282" s="106"/>
    </row>
    <row r="283" spans="1:36" s="173" customFormat="1" ht="15">
      <c r="A283" s="118"/>
      <c r="B283" s="143"/>
      <c r="C283" s="143"/>
      <c r="D283" s="113"/>
      <c r="E283" s="113"/>
      <c r="F283" s="112"/>
      <c r="G283" s="113"/>
      <c r="H283" s="106"/>
      <c r="I283" s="106"/>
      <c r="K283" s="106"/>
      <c r="M283" s="122"/>
      <c r="O283" s="122"/>
      <c r="Q283" s="106"/>
      <c r="S283" s="122"/>
      <c r="U283" s="122"/>
      <c r="W283" s="106"/>
      <c r="Y283" s="122"/>
      <c r="AA283" s="122"/>
      <c r="AC283" s="106"/>
      <c r="AE283" s="122"/>
      <c r="AG283" s="122"/>
      <c r="AJ283" s="106"/>
    </row>
    <row r="284" spans="1:36" s="173" customFormat="1" ht="15">
      <c r="A284" s="118"/>
      <c r="B284" s="106"/>
      <c r="C284" s="106"/>
      <c r="D284" s="113"/>
      <c r="E284" s="113"/>
      <c r="F284" s="113"/>
      <c r="G284" s="113"/>
      <c r="H284" s="106"/>
      <c r="I284" s="106"/>
      <c r="K284" s="106"/>
      <c r="M284" s="122"/>
      <c r="O284" s="122"/>
      <c r="Q284" s="106"/>
      <c r="S284" s="122"/>
      <c r="U284" s="122"/>
      <c r="W284" s="106"/>
      <c r="Y284" s="122"/>
      <c r="AA284" s="122"/>
      <c r="AC284" s="106"/>
      <c r="AE284" s="122"/>
      <c r="AG284" s="122"/>
      <c r="AJ284" s="106"/>
    </row>
    <row r="285" spans="1:36" s="173" customFormat="1" ht="15">
      <c r="A285" s="118"/>
      <c r="B285" s="106"/>
      <c r="C285" s="106"/>
      <c r="D285" s="113"/>
      <c r="E285" s="150"/>
      <c r="F285" s="113"/>
      <c r="G285" s="113"/>
      <c r="H285" s="106"/>
      <c r="I285" s="106"/>
      <c r="K285" s="106"/>
      <c r="M285" s="122"/>
      <c r="O285" s="122"/>
      <c r="Q285" s="106"/>
      <c r="S285" s="122"/>
      <c r="U285" s="122"/>
      <c r="W285" s="106"/>
      <c r="Y285" s="122"/>
      <c r="AA285" s="122"/>
      <c r="AC285" s="106"/>
      <c r="AE285" s="122"/>
      <c r="AG285" s="122"/>
      <c r="AJ285" s="106"/>
    </row>
    <row r="286" spans="1:36" s="173" customFormat="1" ht="15">
      <c r="A286" s="118"/>
      <c r="B286" s="106"/>
      <c r="C286" s="106"/>
      <c r="D286" s="113"/>
      <c r="E286" s="113"/>
      <c r="F286" s="113"/>
      <c r="G286" s="113"/>
      <c r="H286" s="106"/>
      <c r="I286" s="106"/>
      <c r="K286" s="106"/>
      <c r="M286" s="122"/>
      <c r="O286" s="122"/>
      <c r="Q286" s="106"/>
      <c r="S286" s="122"/>
      <c r="U286" s="122"/>
      <c r="W286" s="106"/>
      <c r="Y286" s="122"/>
      <c r="AA286" s="122"/>
      <c r="AC286" s="106"/>
      <c r="AE286" s="122"/>
      <c r="AG286" s="122"/>
      <c r="AJ286" s="106"/>
    </row>
    <row r="287" spans="1:36" s="173" customFormat="1" ht="15">
      <c r="A287" s="154"/>
      <c r="B287" s="154"/>
      <c r="C287" s="154"/>
      <c r="D287" s="154"/>
      <c r="E287" s="154"/>
      <c r="F287" s="154"/>
      <c r="G287" s="154"/>
      <c r="H287" s="106"/>
      <c r="I287" s="106"/>
      <c r="K287" s="106"/>
      <c r="M287" s="122"/>
      <c r="O287" s="122"/>
      <c r="Q287" s="106"/>
      <c r="S287" s="122"/>
      <c r="U287" s="122"/>
      <c r="W287" s="106"/>
      <c r="Y287" s="122"/>
      <c r="AA287" s="122"/>
      <c r="AC287" s="106"/>
      <c r="AE287" s="122"/>
      <c r="AG287" s="122"/>
      <c r="AJ287" s="106"/>
    </row>
    <row r="288" spans="1:36" s="173" customFormat="1" ht="15">
      <c r="A288" s="118"/>
      <c r="B288" s="143"/>
      <c r="C288" s="143"/>
      <c r="D288" s="112"/>
      <c r="E288" s="112"/>
      <c r="F288" s="112"/>
      <c r="G288" s="112"/>
      <c r="H288" s="106"/>
      <c r="I288" s="106"/>
      <c r="K288" s="106"/>
      <c r="M288" s="122"/>
      <c r="O288" s="122"/>
      <c r="Q288" s="106"/>
      <c r="S288" s="122"/>
      <c r="U288" s="122"/>
      <c r="W288" s="106"/>
      <c r="Y288" s="122"/>
      <c r="AA288" s="122"/>
      <c r="AC288" s="106"/>
      <c r="AE288" s="122"/>
      <c r="AG288" s="122"/>
      <c r="AJ288" s="106"/>
    </row>
    <row r="289" spans="1:36" s="173" customFormat="1" ht="15">
      <c r="A289" s="118"/>
      <c r="B289" s="143"/>
      <c r="C289" s="143"/>
      <c r="D289" s="113"/>
      <c r="E289" s="113"/>
      <c r="F289" s="111"/>
      <c r="G289" s="113"/>
      <c r="H289" s="106"/>
      <c r="I289" s="106"/>
      <c r="K289" s="106"/>
      <c r="M289" s="122"/>
      <c r="O289" s="122"/>
      <c r="Q289" s="106"/>
      <c r="S289" s="122"/>
      <c r="U289" s="122"/>
      <c r="W289" s="106"/>
      <c r="Y289" s="122"/>
      <c r="AA289" s="122"/>
      <c r="AC289" s="106"/>
      <c r="AE289" s="122"/>
      <c r="AG289" s="122"/>
      <c r="AJ289" s="106"/>
    </row>
    <row r="290" spans="1:36" s="173" customFormat="1" ht="15">
      <c r="A290" s="118"/>
      <c r="B290" s="106"/>
      <c r="C290" s="106"/>
      <c r="D290" s="113"/>
      <c r="E290" s="113"/>
      <c r="F290" s="113"/>
      <c r="G290" s="113"/>
      <c r="H290" s="106"/>
      <c r="I290" s="106"/>
      <c r="K290" s="106"/>
      <c r="M290" s="122"/>
      <c r="O290" s="122"/>
      <c r="Q290" s="106"/>
      <c r="S290" s="122"/>
      <c r="U290" s="122"/>
      <c r="W290" s="106"/>
      <c r="Y290" s="122"/>
      <c r="AA290" s="122"/>
      <c r="AC290" s="106"/>
      <c r="AE290" s="122"/>
      <c r="AG290" s="122"/>
      <c r="AJ290" s="106"/>
    </row>
    <row r="291" spans="1:36" s="173" customFormat="1" ht="15">
      <c r="A291" s="118"/>
      <c r="B291" s="143"/>
      <c r="C291" s="143"/>
      <c r="D291" s="113"/>
      <c r="E291" s="150"/>
      <c r="F291" s="113"/>
      <c r="G291" s="113"/>
      <c r="H291" s="106"/>
      <c r="I291" s="106"/>
      <c r="K291" s="106"/>
      <c r="M291" s="122"/>
      <c r="O291" s="122"/>
      <c r="Q291" s="106"/>
      <c r="S291" s="122"/>
      <c r="U291" s="122"/>
      <c r="W291" s="106"/>
      <c r="Y291" s="122"/>
      <c r="AA291" s="122"/>
      <c r="AC291" s="106"/>
      <c r="AE291" s="122"/>
      <c r="AG291" s="122"/>
      <c r="AJ291" s="106"/>
    </row>
    <row r="292" spans="1:36" s="173" customFormat="1" ht="15">
      <c r="A292" s="118"/>
      <c r="B292" s="106"/>
      <c r="C292" s="106"/>
      <c r="D292" s="106"/>
      <c r="E292" s="106"/>
      <c r="F292" s="106"/>
      <c r="G292" s="106"/>
      <c r="H292" s="106"/>
      <c r="I292" s="106"/>
      <c r="K292" s="106"/>
      <c r="M292" s="122"/>
      <c r="O292" s="122"/>
      <c r="Q292" s="106"/>
      <c r="S292" s="122"/>
      <c r="U292" s="122"/>
      <c r="W292" s="106"/>
      <c r="Y292" s="122"/>
      <c r="AA292" s="122"/>
      <c r="AC292" s="106"/>
      <c r="AE292" s="122"/>
      <c r="AG292" s="122"/>
      <c r="AJ292" s="106"/>
    </row>
    <row r="293" spans="1:36" s="173" customFormat="1" ht="15">
      <c r="A293" s="154"/>
      <c r="B293" s="154"/>
      <c r="C293" s="154"/>
      <c r="D293" s="154"/>
      <c r="E293" s="154"/>
      <c r="F293" s="154"/>
      <c r="G293" s="154"/>
      <c r="H293" s="106"/>
      <c r="I293" s="106"/>
      <c r="K293" s="106"/>
      <c r="M293" s="122"/>
      <c r="O293" s="122"/>
      <c r="Q293" s="106"/>
      <c r="S293" s="122"/>
      <c r="U293" s="122"/>
      <c r="W293" s="106"/>
      <c r="Y293" s="122"/>
      <c r="AA293" s="122"/>
      <c r="AC293" s="106"/>
      <c r="AE293" s="122"/>
      <c r="AG293" s="122"/>
      <c r="AJ293" s="106"/>
    </row>
    <row r="294" spans="1:36" s="173" customFormat="1" ht="15">
      <c r="A294" s="118"/>
      <c r="B294" s="143"/>
      <c r="C294" s="143"/>
      <c r="D294" s="112"/>
      <c r="E294" s="112"/>
      <c r="F294" s="112"/>
      <c r="G294" s="112"/>
      <c r="H294" s="106"/>
      <c r="I294" s="106"/>
      <c r="K294" s="106"/>
      <c r="M294" s="122"/>
      <c r="O294" s="122"/>
      <c r="Q294" s="106"/>
      <c r="S294" s="122"/>
      <c r="U294" s="122"/>
      <c r="W294" s="106"/>
      <c r="Y294" s="122"/>
      <c r="AA294" s="122"/>
      <c r="AC294" s="106"/>
      <c r="AE294" s="122"/>
      <c r="AG294" s="122"/>
      <c r="AJ294" s="106"/>
    </row>
    <row r="295" spans="1:36" s="173" customFormat="1" ht="15">
      <c r="A295" s="106"/>
      <c r="B295" s="143"/>
      <c r="C295" s="143"/>
      <c r="D295" s="113"/>
      <c r="E295" s="113"/>
      <c r="F295" s="111"/>
      <c r="G295" s="113"/>
      <c r="H295" s="106"/>
      <c r="I295" s="106"/>
      <c r="K295" s="106"/>
      <c r="M295" s="122"/>
      <c r="O295" s="122"/>
      <c r="Q295" s="106"/>
      <c r="S295" s="122"/>
      <c r="U295" s="122"/>
      <c r="W295" s="106"/>
      <c r="Y295" s="122"/>
      <c r="AA295" s="122"/>
      <c r="AC295" s="106"/>
      <c r="AE295" s="122"/>
      <c r="AG295" s="122"/>
      <c r="AJ295" s="106"/>
    </row>
    <row r="296" spans="1:36" s="173" customFormat="1" ht="15">
      <c r="A296" s="106"/>
      <c r="B296" s="143"/>
      <c r="C296" s="143"/>
      <c r="D296" s="113"/>
      <c r="E296" s="113"/>
      <c r="F296" s="113"/>
      <c r="G296" s="113"/>
      <c r="H296" s="106"/>
      <c r="I296" s="106"/>
      <c r="K296" s="106"/>
      <c r="M296" s="122"/>
      <c r="O296" s="122"/>
      <c r="Q296" s="106"/>
      <c r="S296" s="122"/>
      <c r="U296" s="122"/>
      <c r="W296" s="106"/>
      <c r="Y296" s="122"/>
      <c r="AA296" s="122"/>
      <c r="AC296" s="106"/>
      <c r="AE296" s="122"/>
      <c r="AG296" s="122"/>
      <c r="AJ296" s="106"/>
    </row>
    <row r="297" spans="1:36" s="173" customFormat="1" ht="15">
      <c r="A297" s="106"/>
      <c r="B297" s="106"/>
      <c r="C297" s="106"/>
      <c r="D297" s="113"/>
      <c r="E297" s="150"/>
      <c r="F297" s="113"/>
      <c r="G297" s="113"/>
      <c r="H297" s="106"/>
      <c r="I297" s="106"/>
      <c r="K297" s="106"/>
      <c r="M297" s="122"/>
      <c r="O297" s="122"/>
      <c r="Q297" s="106"/>
      <c r="S297" s="122"/>
      <c r="U297" s="122"/>
      <c r="W297" s="106"/>
      <c r="Y297" s="122"/>
      <c r="AA297" s="122"/>
      <c r="AC297" s="106"/>
      <c r="AE297" s="122"/>
      <c r="AG297" s="122"/>
      <c r="AJ297" s="106"/>
    </row>
    <row r="298" spans="1:36" s="173" customFormat="1" ht="15">
      <c r="A298" s="106"/>
      <c r="B298" s="143"/>
      <c r="C298" s="143"/>
      <c r="D298" s="113"/>
      <c r="E298" s="113"/>
      <c r="F298" s="113"/>
      <c r="G298" s="113"/>
      <c r="H298" s="106"/>
      <c r="I298" s="106"/>
      <c r="K298" s="106"/>
      <c r="M298" s="122"/>
      <c r="O298" s="122"/>
      <c r="Q298" s="106"/>
      <c r="S298" s="122"/>
      <c r="U298" s="122"/>
      <c r="W298" s="106"/>
      <c r="Y298" s="122"/>
      <c r="AA298" s="122"/>
      <c r="AC298" s="106"/>
      <c r="AE298" s="122"/>
      <c r="AG298" s="122"/>
      <c r="AJ298" s="106"/>
    </row>
    <row r="299" spans="1:36" s="173" customFormat="1" ht="15">
      <c r="A299" s="118"/>
      <c r="B299" s="182"/>
      <c r="C299" s="118"/>
      <c r="D299" s="118"/>
      <c r="E299" s="118"/>
      <c r="F299" s="118"/>
      <c r="G299" s="118"/>
      <c r="H299" s="106"/>
      <c r="I299" s="106"/>
      <c r="K299" s="106"/>
      <c r="M299" s="122"/>
      <c r="O299" s="122"/>
      <c r="Q299" s="106"/>
      <c r="S299" s="122"/>
      <c r="U299" s="122"/>
      <c r="W299" s="106"/>
      <c r="Y299" s="122"/>
      <c r="AA299" s="122"/>
      <c r="AC299" s="106"/>
      <c r="AE299" s="122"/>
      <c r="AG299" s="122"/>
      <c r="AJ299" s="106"/>
    </row>
    <row r="300" spans="1:36" s="173" customFormat="1" ht="15">
      <c r="A300" s="118"/>
      <c r="B300" s="143"/>
      <c r="C300" s="143"/>
      <c r="D300" s="112"/>
      <c r="E300" s="112"/>
      <c r="F300" s="112"/>
      <c r="G300" s="112"/>
      <c r="H300" s="106"/>
      <c r="I300" s="106"/>
      <c r="K300" s="106"/>
      <c r="M300" s="122"/>
      <c r="O300" s="122"/>
      <c r="Q300" s="106"/>
      <c r="S300" s="122"/>
      <c r="U300" s="122"/>
      <c r="W300" s="106"/>
      <c r="Y300" s="122"/>
      <c r="AA300" s="122"/>
      <c r="AC300" s="106"/>
      <c r="AE300" s="122"/>
      <c r="AG300" s="122"/>
      <c r="AJ300" s="106"/>
    </row>
    <row r="301" spans="1:36" s="173" customFormat="1" ht="15">
      <c r="A301" s="118"/>
      <c r="B301" s="143"/>
      <c r="C301" s="143"/>
      <c r="D301" s="113"/>
      <c r="E301" s="113"/>
      <c r="F301" s="111"/>
      <c r="G301" s="113"/>
      <c r="H301" s="106"/>
      <c r="I301" s="106"/>
      <c r="K301" s="106"/>
      <c r="M301" s="122"/>
      <c r="O301" s="122"/>
      <c r="Q301" s="106"/>
      <c r="S301" s="122"/>
      <c r="U301" s="122"/>
      <c r="W301" s="106"/>
      <c r="Y301" s="122"/>
      <c r="AA301" s="122"/>
      <c r="AC301" s="106"/>
      <c r="AE301" s="122"/>
      <c r="AG301" s="122"/>
      <c r="AJ301" s="106"/>
    </row>
    <row r="302" spans="1:36" s="173" customFormat="1" ht="15">
      <c r="A302" s="106"/>
      <c r="B302" s="143"/>
      <c r="C302" s="143"/>
      <c r="D302" s="113"/>
      <c r="E302" s="113"/>
      <c r="F302" s="113"/>
      <c r="G302" s="113"/>
      <c r="H302" s="106"/>
      <c r="I302" s="106"/>
      <c r="K302" s="106"/>
      <c r="M302" s="122"/>
      <c r="O302" s="122"/>
      <c r="Q302" s="106"/>
      <c r="S302" s="122"/>
      <c r="U302" s="122"/>
      <c r="W302" s="106"/>
      <c r="Y302" s="122"/>
      <c r="AA302" s="122"/>
      <c r="AC302" s="106"/>
      <c r="AE302" s="122"/>
      <c r="AG302" s="122"/>
      <c r="AJ302" s="106"/>
    </row>
    <row r="303" spans="1:36" s="173" customFormat="1" ht="15">
      <c r="A303" s="106"/>
      <c r="B303" s="106"/>
      <c r="C303" s="106"/>
      <c r="D303" s="113"/>
      <c r="E303" s="150"/>
      <c r="F303" s="113"/>
      <c r="G303" s="113"/>
      <c r="H303" s="106"/>
      <c r="I303" s="106"/>
      <c r="K303" s="106"/>
      <c r="M303" s="122"/>
      <c r="O303" s="122"/>
      <c r="Q303" s="106"/>
      <c r="S303" s="122"/>
      <c r="U303" s="122"/>
      <c r="W303" s="106"/>
      <c r="Y303" s="122"/>
      <c r="AA303" s="122"/>
      <c r="AC303" s="106"/>
      <c r="AE303" s="122"/>
      <c r="AG303" s="122"/>
      <c r="AJ303" s="106"/>
    </row>
    <row r="304" spans="1:36" s="173" customFormat="1" ht="15">
      <c r="A304" s="106"/>
      <c r="B304" s="106"/>
      <c r="C304" s="106"/>
      <c r="D304" s="106"/>
      <c r="E304" s="106"/>
      <c r="F304" s="106"/>
      <c r="G304" s="106"/>
      <c r="H304" s="106"/>
      <c r="I304" s="106"/>
      <c r="K304" s="106"/>
      <c r="M304" s="122"/>
      <c r="O304" s="122"/>
      <c r="Q304" s="106"/>
      <c r="S304" s="122"/>
      <c r="U304" s="122"/>
      <c r="W304" s="106"/>
      <c r="Y304" s="122"/>
      <c r="AA304" s="122"/>
      <c r="AC304" s="106"/>
      <c r="AE304" s="122"/>
      <c r="AG304" s="122"/>
      <c r="AJ304" s="106"/>
    </row>
    <row r="305" spans="2:36" s="173" customFormat="1" ht="15">
      <c r="B305" s="106"/>
      <c r="D305" s="106"/>
      <c r="E305" s="106"/>
      <c r="F305" s="106"/>
      <c r="G305" s="106"/>
      <c r="H305" s="106"/>
      <c r="I305" s="106"/>
      <c r="K305" s="106"/>
      <c r="M305" s="122"/>
      <c r="O305" s="122"/>
      <c r="Q305" s="106"/>
      <c r="S305" s="122"/>
      <c r="U305" s="122"/>
      <c r="W305" s="106"/>
      <c r="Y305" s="122"/>
      <c r="AA305" s="122"/>
      <c r="AC305" s="106"/>
      <c r="AE305" s="122"/>
      <c r="AG305" s="122"/>
      <c r="AJ305" s="106"/>
    </row>
    <row r="306" spans="2:36" s="173" customFormat="1" ht="15">
      <c r="B306" s="106"/>
      <c r="D306" s="106"/>
      <c r="E306" s="106"/>
      <c r="F306" s="106"/>
      <c r="G306" s="106"/>
      <c r="H306" s="106"/>
      <c r="I306" s="106"/>
      <c r="K306" s="106"/>
      <c r="M306" s="122"/>
      <c r="O306" s="122"/>
      <c r="Q306" s="106"/>
      <c r="S306" s="122"/>
      <c r="U306" s="122"/>
      <c r="W306" s="106"/>
      <c r="Y306" s="122"/>
      <c r="AA306" s="122"/>
      <c r="AC306" s="106"/>
      <c r="AE306" s="122"/>
      <c r="AG306" s="122"/>
      <c r="AJ306" s="106"/>
    </row>
    <row r="307" spans="2:36" s="173" customFormat="1" ht="15">
      <c r="B307" s="106"/>
      <c r="D307" s="106"/>
      <c r="E307" s="106"/>
      <c r="F307" s="106"/>
      <c r="G307" s="106"/>
      <c r="H307" s="106"/>
      <c r="I307" s="106"/>
      <c r="K307" s="106"/>
      <c r="M307" s="122"/>
      <c r="O307" s="122"/>
      <c r="Q307" s="106"/>
      <c r="S307" s="122"/>
      <c r="U307" s="122"/>
      <c r="W307" s="106"/>
      <c r="Y307" s="122"/>
      <c r="AA307" s="122"/>
      <c r="AC307" s="106"/>
      <c r="AE307" s="122"/>
      <c r="AG307" s="122"/>
      <c r="AJ307" s="106"/>
    </row>
    <row r="308" spans="2:36" s="173" customFormat="1" ht="15">
      <c r="B308" s="106"/>
      <c r="D308" s="106"/>
      <c r="E308" s="106"/>
      <c r="F308" s="106"/>
      <c r="G308" s="106"/>
      <c r="H308" s="106"/>
      <c r="I308" s="106"/>
      <c r="K308" s="106"/>
      <c r="M308" s="122"/>
      <c r="O308" s="122"/>
      <c r="Q308" s="106"/>
      <c r="S308" s="122"/>
      <c r="U308" s="122"/>
      <c r="W308" s="106"/>
      <c r="Y308" s="122"/>
      <c r="AA308" s="122"/>
      <c r="AC308" s="106"/>
      <c r="AE308" s="122"/>
      <c r="AG308" s="122"/>
      <c r="AJ308" s="106"/>
    </row>
    <row r="309" spans="2:36" s="173" customFormat="1" ht="15">
      <c r="B309" s="106"/>
      <c r="D309" s="106"/>
      <c r="E309" s="106"/>
      <c r="F309" s="106"/>
      <c r="G309" s="106"/>
      <c r="H309" s="106"/>
      <c r="I309" s="106"/>
      <c r="K309" s="106"/>
      <c r="M309" s="122"/>
      <c r="O309" s="122"/>
      <c r="Q309" s="106"/>
      <c r="S309" s="122"/>
      <c r="U309" s="122"/>
      <c r="W309" s="106"/>
      <c r="Y309" s="122"/>
      <c r="AA309" s="122"/>
      <c r="AC309" s="106"/>
      <c r="AE309" s="122"/>
      <c r="AG309" s="122"/>
      <c r="AJ309" s="106"/>
    </row>
    <row r="310" spans="2:36" s="173" customFormat="1" ht="15">
      <c r="B310" s="106"/>
      <c r="D310" s="106"/>
      <c r="E310" s="106"/>
      <c r="F310" s="106"/>
      <c r="G310" s="106"/>
      <c r="H310" s="106"/>
      <c r="I310" s="106"/>
      <c r="K310" s="106"/>
      <c r="M310" s="122"/>
      <c r="O310" s="122"/>
      <c r="Q310" s="106"/>
      <c r="S310" s="122"/>
      <c r="U310" s="122"/>
      <c r="W310" s="106"/>
      <c r="Y310" s="122"/>
      <c r="AA310" s="122"/>
      <c r="AC310" s="106"/>
      <c r="AE310" s="122"/>
      <c r="AG310" s="122"/>
      <c r="AJ310" s="106"/>
    </row>
    <row r="311" spans="2:36" s="173" customFormat="1" ht="15">
      <c r="B311" s="106"/>
      <c r="D311" s="106"/>
      <c r="E311" s="106"/>
      <c r="F311" s="106"/>
      <c r="G311" s="106"/>
      <c r="H311" s="106"/>
      <c r="I311" s="106"/>
      <c r="K311" s="106"/>
      <c r="M311" s="122"/>
      <c r="O311" s="122"/>
      <c r="Q311" s="106"/>
      <c r="S311" s="122"/>
      <c r="U311" s="122"/>
      <c r="W311" s="106"/>
      <c r="Y311" s="122"/>
      <c r="AA311" s="122"/>
      <c r="AC311" s="106"/>
      <c r="AE311" s="122"/>
      <c r="AG311" s="122"/>
      <c r="AJ311" s="106"/>
    </row>
    <row r="312" spans="2:36" s="173" customFormat="1" ht="15">
      <c r="D312" s="106"/>
      <c r="E312" s="106"/>
      <c r="F312" s="106"/>
      <c r="G312" s="106"/>
      <c r="H312" s="106"/>
      <c r="I312" s="106"/>
      <c r="K312" s="106"/>
      <c r="M312" s="122"/>
      <c r="O312" s="122"/>
      <c r="Q312" s="106"/>
      <c r="S312" s="122"/>
      <c r="U312" s="122"/>
      <c r="W312" s="106"/>
      <c r="Y312" s="122"/>
      <c r="AA312" s="122"/>
      <c r="AC312" s="106"/>
      <c r="AE312" s="122"/>
      <c r="AG312" s="122"/>
      <c r="AJ312" s="106"/>
    </row>
    <row r="313" spans="2:36" s="173" customFormat="1" ht="15">
      <c r="D313" s="106"/>
      <c r="E313" s="106"/>
      <c r="F313" s="106"/>
      <c r="G313" s="106"/>
      <c r="H313" s="106"/>
      <c r="I313" s="106"/>
      <c r="K313" s="106"/>
      <c r="M313" s="122"/>
      <c r="O313" s="122"/>
      <c r="Q313" s="106"/>
      <c r="S313" s="122"/>
      <c r="U313" s="122"/>
      <c r="W313" s="106"/>
      <c r="Y313" s="122"/>
      <c r="AA313" s="122"/>
      <c r="AC313" s="106"/>
      <c r="AE313" s="122"/>
      <c r="AG313" s="122"/>
      <c r="AJ313" s="106"/>
    </row>
    <row r="314" spans="2:36" s="173" customFormat="1" ht="15">
      <c r="D314" s="106"/>
      <c r="E314" s="106"/>
      <c r="F314" s="106"/>
      <c r="G314" s="106"/>
      <c r="H314" s="106"/>
      <c r="I314" s="106"/>
      <c r="K314" s="106"/>
      <c r="M314" s="122"/>
      <c r="O314" s="122"/>
      <c r="Q314" s="106"/>
      <c r="S314" s="122"/>
      <c r="U314" s="122"/>
      <c r="W314" s="106"/>
      <c r="Y314" s="122"/>
      <c r="AA314" s="122"/>
      <c r="AC314" s="106"/>
      <c r="AE314" s="122"/>
      <c r="AG314" s="122"/>
      <c r="AJ314" s="106"/>
    </row>
    <row r="315" spans="2:36" s="173" customFormat="1" ht="15">
      <c r="D315" s="106"/>
      <c r="E315" s="106"/>
      <c r="F315" s="106"/>
      <c r="G315" s="106"/>
      <c r="H315" s="106"/>
      <c r="I315" s="106"/>
      <c r="K315" s="106"/>
      <c r="M315" s="122"/>
      <c r="O315" s="122"/>
      <c r="Q315" s="106"/>
      <c r="S315" s="122"/>
      <c r="U315" s="122"/>
      <c r="W315" s="106"/>
      <c r="Y315" s="122"/>
      <c r="AA315" s="122"/>
      <c r="AC315" s="106"/>
      <c r="AE315" s="122"/>
      <c r="AG315" s="122"/>
      <c r="AJ315" s="106"/>
    </row>
    <row r="316" spans="2:36" s="173" customFormat="1" ht="15">
      <c r="D316" s="106"/>
      <c r="E316" s="106"/>
      <c r="F316" s="106"/>
      <c r="G316" s="106"/>
      <c r="H316" s="106"/>
      <c r="I316" s="106"/>
      <c r="K316" s="106"/>
      <c r="M316" s="122"/>
      <c r="O316" s="122"/>
      <c r="Q316" s="106"/>
      <c r="S316" s="122"/>
      <c r="U316" s="122"/>
      <c r="W316" s="106"/>
      <c r="Y316" s="122"/>
      <c r="AA316" s="122"/>
      <c r="AC316" s="106"/>
      <c r="AE316" s="122"/>
      <c r="AG316" s="122"/>
      <c r="AJ316" s="106"/>
    </row>
    <row r="317" spans="2:36" s="173" customFormat="1" ht="15">
      <c r="D317" s="106"/>
      <c r="E317" s="106"/>
      <c r="F317" s="106"/>
      <c r="G317" s="106"/>
      <c r="H317" s="106"/>
      <c r="I317" s="106"/>
      <c r="K317" s="106"/>
      <c r="M317" s="122"/>
      <c r="O317" s="122"/>
      <c r="Q317" s="106"/>
      <c r="S317" s="122"/>
      <c r="U317" s="122"/>
      <c r="W317" s="106"/>
      <c r="Y317" s="122"/>
      <c r="AA317" s="122"/>
      <c r="AC317" s="106"/>
      <c r="AE317" s="122"/>
      <c r="AG317" s="122"/>
      <c r="AJ317" s="106"/>
    </row>
    <row r="318" spans="2:36" s="173" customFormat="1" ht="15">
      <c r="D318" s="106"/>
      <c r="E318" s="106"/>
      <c r="F318" s="106"/>
      <c r="G318" s="106"/>
      <c r="H318" s="106"/>
      <c r="I318" s="106"/>
      <c r="K318" s="106"/>
      <c r="M318" s="122"/>
      <c r="O318" s="122"/>
      <c r="Q318" s="106"/>
      <c r="S318" s="122"/>
      <c r="U318" s="122"/>
      <c r="W318" s="106"/>
      <c r="Y318" s="122"/>
      <c r="AA318" s="122"/>
      <c r="AC318" s="106"/>
      <c r="AE318" s="122"/>
      <c r="AG318" s="122"/>
      <c r="AJ318" s="106"/>
    </row>
    <row r="319" spans="2:36" s="173" customFormat="1" ht="15">
      <c r="D319" s="106"/>
      <c r="E319" s="106"/>
      <c r="F319" s="106"/>
      <c r="G319" s="106"/>
      <c r="H319" s="106"/>
      <c r="I319" s="106"/>
      <c r="K319" s="106"/>
      <c r="M319" s="122"/>
      <c r="O319" s="122"/>
      <c r="Q319" s="106"/>
      <c r="S319" s="122"/>
      <c r="U319" s="122"/>
      <c r="W319" s="106"/>
      <c r="Y319" s="122"/>
      <c r="AA319" s="122"/>
      <c r="AC319" s="106"/>
      <c r="AE319" s="122"/>
      <c r="AG319" s="122"/>
      <c r="AJ319" s="106"/>
    </row>
    <row r="320" spans="2:36" s="173" customFormat="1" ht="15">
      <c r="D320" s="106"/>
      <c r="E320" s="106"/>
      <c r="F320" s="106"/>
      <c r="G320" s="106"/>
      <c r="H320" s="106"/>
      <c r="I320" s="106"/>
      <c r="K320" s="106"/>
      <c r="M320" s="122"/>
      <c r="O320" s="122"/>
      <c r="Q320" s="106"/>
      <c r="S320" s="122"/>
      <c r="U320" s="122"/>
      <c r="W320" s="106"/>
      <c r="Y320" s="122"/>
      <c r="AA320" s="122"/>
      <c r="AC320" s="106"/>
      <c r="AE320" s="122"/>
      <c r="AG320" s="122"/>
      <c r="AJ320" s="106"/>
    </row>
    <row r="321" spans="4:36" s="173" customFormat="1" ht="15">
      <c r="D321" s="106"/>
      <c r="E321" s="106"/>
      <c r="F321" s="106"/>
      <c r="G321" s="106"/>
      <c r="H321" s="106"/>
      <c r="I321" s="106"/>
      <c r="K321" s="106"/>
      <c r="M321" s="122"/>
      <c r="O321" s="122"/>
      <c r="Q321" s="106"/>
      <c r="S321" s="122"/>
      <c r="U321" s="122"/>
      <c r="W321" s="106"/>
      <c r="Y321" s="122"/>
      <c r="AA321" s="122"/>
      <c r="AC321" s="106"/>
      <c r="AE321" s="122"/>
      <c r="AG321" s="122"/>
      <c r="AJ321" s="106"/>
    </row>
    <row r="322" spans="4:36" s="173" customFormat="1" ht="15">
      <c r="D322" s="106"/>
      <c r="E322" s="106"/>
      <c r="F322" s="106"/>
      <c r="G322" s="106"/>
      <c r="H322" s="106"/>
      <c r="I322" s="106"/>
      <c r="K322" s="106"/>
      <c r="M322" s="122"/>
      <c r="O322" s="122"/>
      <c r="Q322" s="106"/>
      <c r="S322" s="122"/>
      <c r="U322" s="122"/>
      <c r="W322" s="106"/>
      <c r="Y322" s="122"/>
      <c r="AA322" s="122"/>
      <c r="AC322" s="106"/>
      <c r="AE322" s="122"/>
      <c r="AG322" s="122"/>
      <c r="AJ322" s="106"/>
    </row>
    <row r="323" spans="4:36" s="173" customFormat="1" ht="15">
      <c r="D323" s="106"/>
      <c r="E323" s="106"/>
      <c r="F323" s="106"/>
      <c r="G323" s="106"/>
      <c r="H323" s="106"/>
      <c r="I323" s="106"/>
      <c r="K323" s="106"/>
      <c r="M323" s="122"/>
      <c r="O323" s="122"/>
      <c r="Q323" s="106"/>
      <c r="S323" s="122"/>
      <c r="U323" s="122"/>
      <c r="W323" s="106"/>
      <c r="Y323" s="122"/>
      <c r="AA323" s="122"/>
      <c r="AC323" s="106"/>
      <c r="AE323" s="122"/>
      <c r="AG323" s="122"/>
      <c r="AJ323" s="106"/>
    </row>
    <row r="324" spans="4:36" s="173" customFormat="1" ht="15">
      <c r="D324" s="106"/>
      <c r="E324" s="106"/>
      <c r="F324" s="106"/>
      <c r="G324" s="106"/>
      <c r="H324" s="106"/>
      <c r="I324" s="106"/>
      <c r="K324" s="106"/>
      <c r="M324" s="122"/>
      <c r="O324" s="122"/>
      <c r="Q324" s="106"/>
      <c r="S324" s="122"/>
      <c r="U324" s="122"/>
      <c r="W324" s="106"/>
      <c r="Y324" s="122"/>
      <c r="AA324" s="122"/>
      <c r="AC324" s="106"/>
      <c r="AE324" s="122"/>
      <c r="AG324" s="122"/>
      <c r="AJ324" s="106"/>
    </row>
    <row r="325" spans="4:36" s="173" customFormat="1" ht="15">
      <c r="D325" s="106"/>
      <c r="E325" s="106"/>
      <c r="F325" s="106"/>
      <c r="G325" s="106"/>
      <c r="H325" s="106"/>
      <c r="I325" s="106"/>
      <c r="K325" s="106"/>
      <c r="M325" s="122"/>
      <c r="O325" s="122"/>
      <c r="Q325" s="106"/>
      <c r="S325" s="122"/>
      <c r="U325" s="122"/>
      <c r="W325" s="106"/>
      <c r="Y325" s="122"/>
      <c r="AA325" s="122"/>
      <c r="AC325" s="106"/>
      <c r="AE325" s="122"/>
      <c r="AG325" s="122"/>
      <c r="AJ325" s="106"/>
    </row>
    <row r="326" spans="4:36" s="173" customFormat="1" ht="15">
      <c r="D326" s="106"/>
      <c r="E326" s="106"/>
      <c r="F326" s="106"/>
      <c r="G326" s="106"/>
      <c r="H326" s="106"/>
      <c r="I326" s="106"/>
      <c r="K326" s="106"/>
      <c r="M326" s="122"/>
      <c r="O326" s="122"/>
      <c r="Q326" s="106"/>
      <c r="S326" s="122"/>
      <c r="U326" s="122"/>
      <c r="W326" s="106"/>
      <c r="Y326" s="122"/>
      <c r="AA326" s="122"/>
      <c r="AC326" s="106"/>
      <c r="AE326" s="122"/>
      <c r="AG326" s="122"/>
      <c r="AJ326" s="106"/>
    </row>
    <row r="327" spans="4:36" s="173" customFormat="1" ht="15">
      <c r="D327" s="106"/>
      <c r="E327" s="106"/>
      <c r="F327" s="106"/>
      <c r="G327" s="106"/>
      <c r="H327" s="106"/>
      <c r="I327" s="106"/>
      <c r="K327" s="106"/>
      <c r="M327" s="122"/>
      <c r="O327" s="122"/>
      <c r="Q327" s="106"/>
      <c r="S327" s="122"/>
      <c r="U327" s="122"/>
      <c r="W327" s="106"/>
      <c r="Y327" s="122"/>
      <c r="AA327" s="122"/>
      <c r="AC327" s="106"/>
      <c r="AE327" s="122"/>
      <c r="AG327" s="122"/>
      <c r="AJ327" s="106"/>
    </row>
    <row r="328" spans="4:36" s="173" customFormat="1" ht="15">
      <c r="D328" s="106"/>
      <c r="E328" s="106"/>
      <c r="F328" s="106"/>
      <c r="G328" s="106"/>
      <c r="H328" s="106"/>
      <c r="I328" s="106"/>
      <c r="K328" s="106"/>
      <c r="M328" s="122"/>
      <c r="O328" s="122"/>
      <c r="Q328" s="106"/>
      <c r="S328" s="122"/>
      <c r="U328" s="122"/>
      <c r="W328" s="106"/>
      <c r="Y328" s="122"/>
      <c r="AA328" s="122"/>
      <c r="AC328" s="106"/>
      <c r="AE328" s="122"/>
      <c r="AG328" s="122"/>
      <c r="AJ328" s="106"/>
    </row>
    <row r="329" spans="4:36" s="173" customFormat="1" ht="15">
      <c r="D329" s="106"/>
      <c r="E329" s="106"/>
      <c r="F329" s="106"/>
      <c r="G329" s="106"/>
      <c r="H329" s="106"/>
      <c r="I329" s="106"/>
      <c r="K329" s="106"/>
      <c r="M329" s="122"/>
      <c r="O329" s="122"/>
      <c r="Q329" s="106"/>
      <c r="S329" s="122"/>
      <c r="U329" s="122"/>
      <c r="W329" s="106"/>
      <c r="Y329" s="122"/>
      <c r="AA329" s="122"/>
      <c r="AC329" s="106"/>
      <c r="AE329" s="122"/>
      <c r="AG329" s="122"/>
      <c r="AJ329" s="106"/>
    </row>
    <row r="330" spans="4:36" s="173" customFormat="1" ht="15">
      <c r="D330" s="106"/>
      <c r="E330" s="106"/>
      <c r="F330" s="106"/>
      <c r="G330" s="106"/>
      <c r="H330" s="106"/>
      <c r="I330" s="106"/>
      <c r="K330" s="106"/>
      <c r="M330" s="122"/>
      <c r="O330" s="122"/>
      <c r="Q330" s="106"/>
      <c r="S330" s="122"/>
      <c r="U330" s="122"/>
      <c r="W330" s="106"/>
      <c r="Y330" s="122"/>
      <c r="AA330" s="122"/>
      <c r="AC330" s="106"/>
      <c r="AE330" s="122"/>
      <c r="AG330" s="122"/>
      <c r="AJ330" s="106"/>
    </row>
    <row r="331" spans="4:36" s="173" customFormat="1" ht="15">
      <c r="D331" s="106"/>
      <c r="E331" s="106"/>
      <c r="F331" s="106"/>
      <c r="G331" s="106"/>
      <c r="H331" s="106"/>
      <c r="I331" s="106"/>
      <c r="K331" s="106"/>
      <c r="M331" s="122"/>
      <c r="O331" s="122"/>
      <c r="Q331" s="106"/>
      <c r="S331" s="122"/>
      <c r="U331" s="122"/>
      <c r="W331" s="106"/>
      <c r="Y331" s="122"/>
      <c r="AA331" s="122"/>
      <c r="AC331" s="106"/>
      <c r="AE331" s="122"/>
      <c r="AG331" s="122"/>
      <c r="AJ331" s="106"/>
    </row>
    <row r="332" spans="4:36" s="173" customFormat="1" ht="15">
      <c r="D332" s="106"/>
      <c r="E332" s="106"/>
      <c r="F332" s="106"/>
      <c r="G332" s="106"/>
      <c r="H332" s="106"/>
      <c r="I332" s="106"/>
      <c r="K332" s="106"/>
      <c r="M332" s="122"/>
      <c r="O332" s="122"/>
      <c r="Q332" s="106"/>
      <c r="S332" s="122"/>
      <c r="U332" s="122"/>
      <c r="W332" s="106"/>
      <c r="Y332" s="122"/>
      <c r="AA332" s="122"/>
      <c r="AC332" s="106"/>
      <c r="AE332" s="122"/>
      <c r="AG332" s="122"/>
      <c r="AJ332" s="106"/>
    </row>
    <row r="333" spans="4:36" s="173" customFormat="1" ht="15">
      <c r="D333" s="106"/>
      <c r="E333" s="106"/>
      <c r="F333" s="106"/>
      <c r="G333" s="106"/>
      <c r="H333" s="106"/>
      <c r="I333" s="106"/>
      <c r="K333" s="106"/>
      <c r="M333" s="122"/>
      <c r="O333" s="122"/>
      <c r="Q333" s="106"/>
      <c r="S333" s="122"/>
      <c r="U333" s="122"/>
      <c r="W333" s="106"/>
      <c r="Y333" s="122"/>
      <c r="AA333" s="122"/>
      <c r="AC333" s="106"/>
      <c r="AE333" s="122"/>
      <c r="AG333" s="122"/>
      <c r="AJ333" s="106"/>
    </row>
    <row r="334" spans="4:36" s="173" customFormat="1" ht="15">
      <c r="D334" s="106"/>
      <c r="E334" s="106"/>
      <c r="F334" s="106"/>
      <c r="G334" s="106"/>
      <c r="H334" s="106"/>
      <c r="I334" s="106"/>
      <c r="K334" s="106"/>
      <c r="M334" s="122"/>
      <c r="O334" s="122"/>
      <c r="Q334" s="106"/>
      <c r="S334" s="122"/>
      <c r="U334" s="122"/>
      <c r="W334" s="106"/>
      <c r="Y334" s="122"/>
      <c r="AA334" s="122"/>
      <c r="AC334" s="106"/>
      <c r="AE334" s="122"/>
      <c r="AG334" s="122"/>
      <c r="AJ334" s="106"/>
    </row>
    <row r="335" spans="4:36" s="173" customFormat="1" ht="15">
      <c r="D335" s="106"/>
      <c r="E335" s="106"/>
      <c r="F335" s="106"/>
      <c r="G335" s="106"/>
      <c r="H335" s="106"/>
      <c r="I335" s="106"/>
      <c r="K335" s="106"/>
      <c r="M335" s="122"/>
      <c r="O335" s="122"/>
      <c r="Q335" s="106"/>
      <c r="S335" s="122"/>
      <c r="U335" s="122"/>
      <c r="W335" s="106"/>
      <c r="Y335" s="122"/>
      <c r="AA335" s="122"/>
      <c r="AC335" s="106"/>
      <c r="AE335" s="122"/>
      <c r="AG335" s="122"/>
      <c r="AJ335" s="106"/>
    </row>
    <row r="336" spans="4:36" s="173" customFormat="1" ht="15">
      <c r="D336" s="106"/>
      <c r="E336" s="106"/>
      <c r="F336" s="106"/>
      <c r="G336" s="106"/>
      <c r="H336" s="106"/>
      <c r="I336" s="106"/>
      <c r="K336" s="106"/>
      <c r="M336" s="122"/>
      <c r="O336" s="122"/>
      <c r="Q336" s="106"/>
      <c r="S336" s="122"/>
      <c r="U336" s="122"/>
      <c r="W336" s="106"/>
      <c r="Y336" s="122"/>
      <c r="AA336" s="122"/>
      <c r="AC336" s="106"/>
      <c r="AE336" s="122"/>
      <c r="AG336" s="122"/>
      <c r="AJ336" s="106"/>
    </row>
    <row r="337" spans="4:36" s="173" customFormat="1" ht="15">
      <c r="D337" s="106"/>
      <c r="E337" s="106"/>
      <c r="F337" s="106"/>
      <c r="G337" s="106"/>
      <c r="H337" s="106"/>
      <c r="I337" s="106"/>
      <c r="K337" s="106"/>
      <c r="M337" s="122"/>
      <c r="O337" s="122"/>
      <c r="Q337" s="106"/>
      <c r="S337" s="122"/>
      <c r="U337" s="122"/>
      <c r="W337" s="106"/>
      <c r="Y337" s="122"/>
      <c r="AA337" s="122"/>
      <c r="AC337" s="106"/>
      <c r="AE337" s="122"/>
      <c r="AG337" s="122"/>
      <c r="AJ337" s="106"/>
    </row>
    <row r="338" spans="4:36" s="173" customFormat="1" ht="15">
      <c r="D338" s="106"/>
      <c r="E338" s="106"/>
      <c r="F338" s="106"/>
      <c r="G338" s="106"/>
      <c r="H338" s="106"/>
      <c r="I338" s="106"/>
      <c r="K338" s="106"/>
      <c r="M338" s="122"/>
      <c r="O338" s="122"/>
      <c r="Q338" s="106"/>
      <c r="S338" s="122"/>
      <c r="U338" s="122"/>
      <c r="W338" s="106"/>
      <c r="Y338" s="122"/>
      <c r="AA338" s="122"/>
      <c r="AC338" s="106"/>
      <c r="AE338" s="122"/>
      <c r="AG338" s="122"/>
      <c r="AJ338" s="106"/>
    </row>
    <row r="339" spans="4:36" s="173" customFormat="1" ht="15">
      <c r="D339" s="106"/>
      <c r="E339" s="106"/>
      <c r="F339" s="106"/>
      <c r="G339" s="106"/>
      <c r="H339" s="106"/>
      <c r="I339" s="106"/>
      <c r="K339" s="106"/>
      <c r="M339" s="122"/>
      <c r="O339" s="122"/>
      <c r="Q339" s="106"/>
      <c r="S339" s="122"/>
      <c r="U339" s="122"/>
      <c r="W339" s="106"/>
      <c r="Y339" s="122"/>
      <c r="AA339" s="122"/>
      <c r="AC339" s="106"/>
      <c r="AE339" s="122"/>
      <c r="AG339" s="122"/>
      <c r="AJ339" s="106"/>
    </row>
    <row r="340" spans="4:36" s="173" customFormat="1" ht="15">
      <c r="D340" s="106"/>
      <c r="E340" s="106"/>
      <c r="F340" s="106"/>
      <c r="G340" s="106"/>
      <c r="H340" s="106"/>
      <c r="I340" s="106"/>
      <c r="K340" s="106"/>
      <c r="M340" s="122"/>
      <c r="O340" s="122"/>
      <c r="Q340" s="106"/>
      <c r="S340" s="122"/>
      <c r="U340" s="122"/>
      <c r="W340" s="106"/>
      <c r="Y340" s="122"/>
      <c r="AA340" s="122"/>
      <c r="AC340" s="106"/>
      <c r="AE340" s="122"/>
      <c r="AG340" s="122"/>
      <c r="AJ340" s="106"/>
    </row>
    <row r="341" spans="4:36" s="173" customFormat="1" ht="15">
      <c r="D341" s="106"/>
      <c r="E341" s="106"/>
      <c r="F341" s="106"/>
      <c r="G341" s="106"/>
      <c r="H341" s="106"/>
      <c r="I341" s="106"/>
      <c r="K341" s="106"/>
      <c r="M341" s="122"/>
      <c r="O341" s="122"/>
      <c r="Q341" s="106"/>
      <c r="S341" s="122"/>
      <c r="U341" s="122"/>
      <c r="W341" s="106"/>
      <c r="Y341" s="122"/>
      <c r="AA341" s="122"/>
      <c r="AC341" s="106"/>
      <c r="AE341" s="122"/>
      <c r="AG341" s="122"/>
      <c r="AJ341" s="106"/>
    </row>
    <row r="342" spans="4:36" s="173" customFormat="1" ht="15">
      <c r="D342" s="106"/>
      <c r="E342" s="106"/>
      <c r="F342" s="106"/>
      <c r="G342" s="106"/>
      <c r="H342" s="106"/>
      <c r="I342" s="106"/>
      <c r="K342" s="106"/>
      <c r="M342" s="122"/>
      <c r="O342" s="122"/>
      <c r="Q342" s="106"/>
      <c r="S342" s="122"/>
      <c r="U342" s="122"/>
      <c r="W342" s="106"/>
      <c r="Y342" s="122"/>
      <c r="AA342" s="122"/>
      <c r="AC342" s="106"/>
      <c r="AE342" s="122"/>
      <c r="AG342" s="122"/>
      <c r="AJ342" s="106"/>
    </row>
    <row r="343" spans="4:36" s="173" customFormat="1" ht="15">
      <c r="D343" s="106"/>
      <c r="E343" s="106"/>
      <c r="F343" s="106"/>
      <c r="G343" s="106"/>
      <c r="H343" s="106"/>
      <c r="I343" s="106"/>
      <c r="K343" s="106"/>
      <c r="M343" s="122"/>
      <c r="O343" s="122"/>
      <c r="Q343" s="106"/>
      <c r="S343" s="122"/>
      <c r="U343" s="122"/>
      <c r="W343" s="106"/>
      <c r="Y343" s="122"/>
      <c r="AA343" s="122"/>
      <c r="AC343" s="106"/>
      <c r="AE343" s="122"/>
      <c r="AG343" s="122"/>
      <c r="AJ343" s="106"/>
    </row>
    <row r="344" spans="4:36" s="173" customFormat="1" ht="15">
      <c r="D344" s="106"/>
      <c r="E344" s="106"/>
      <c r="F344" s="106"/>
      <c r="G344" s="106"/>
      <c r="H344" s="106"/>
      <c r="I344" s="106"/>
      <c r="K344" s="106"/>
      <c r="M344" s="122"/>
      <c r="O344" s="122"/>
      <c r="Q344" s="106"/>
      <c r="S344" s="122"/>
      <c r="U344" s="122"/>
      <c r="W344" s="106"/>
      <c r="Y344" s="122"/>
      <c r="AA344" s="122"/>
      <c r="AC344" s="106"/>
      <c r="AE344" s="122"/>
      <c r="AG344" s="122"/>
      <c r="AJ344" s="106"/>
    </row>
    <row r="345" spans="4:36" s="173" customFormat="1" ht="15">
      <c r="D345" s="106"/>
      <c r="E345" s="106"/>
      <c r="F345" s="106"/>
      <c r="G345" s="106"/>
      <c r="H345" s="106"/>
      <c r="I345" s="106"/>
      <c r="K345" s="106"/>
      <c r="M345" s="122"/>
      <c r="O345" s="122"/>
      <c r="Q345" s="106"/>
      <c r="S345" s="122"/>
      <c r="U345" s="122"/>
      <c r="W345" s="106"/>
      <c r="Y345" s="122"/>
      <c r="AA345" s="122"/>
      <c r="AC345" s="106"/>
      <c r="AE345" s="122"/>
      <c r="AG345" s="122"/>
      <c r="AJ345" s="106"/>
    </row>
    <row r="346" spans="4:36" s="173" customFormat="1" ht="15">
      <c r="D346" s="106"/>
      <c r="E346" s="106"/>
      <c r="F346" s="106"/>
      <c r="G346" s="106"/>
      <c r="H346" s="106"/>
      <c r="I346" s="106"/>
      <c r="K346" s="106"/>
      <c r="M346" s="122"/>
      <c r="O346" s="122"/>
      <c r="Q346" s="106"/>
      <c r="S346" s="122"/>
      <c r="U346" s="122"/>
      <c r="W346" s="106"/>
      <c r="Y346" s="122"/>
      <c r="AA346" s="122"/>
      <c r="AC346" s="106"/>
      <c r="AE346" s="122"/>
      <c r="AG346" s="122"/>
      <c r="AJ346" s="106"/>
    </row>
    <row r="347" spans="4:36" s="173" customFormat="1" ht="15">
      <c r="D347" s="106"/>
      <c r="E347" s="106"/>
      <c r="F347" s="106"/>
      <c r="G347" s="106"/>
      <c r="H347" s="106"/>
      <c r="I347" s="106"/>
      <c r="K347" s="106"/>
      <c r="M347" s="122"/>
      <c r="O347" s="122"/>
      <c r="Q347" s="106"/>
      <c r="S347" s="122"/>
      <c r="U347" s="122"/>
      <c r="W347" s="106"/>
      <c r="Y347" s="122"/>
      <c r="AA347" s="122"/>
      <c r="AC347" s="106"/>
      <c r="AE347" s="122"/>
      <c r="AG347" s="122"/>
      <c r="AJ347" s="106"/>
    </row>
    <row r="348" spans="4:36" s="173" customFormat="1" ht="15">
      <c r="D348" s="106"/>
      <c r="E348" s="106"/>
      <c r="F348" s="106"/>
      <c r="G348" s="106"/>
      <c r="H348" s="106"/>
      <c r="I348" s="106"/>
      <c r="K348" s="106"/>
      <c r="M348" s="122"/>
      <c r="O348" s="122"/>
      <c r="Q348" s="106"/>
      <c r="S348" s="122"/>
      <c r="U348" s="122"/>
      <c r="W348" s="106"/>
      <c r="Y348" s="122"/>
      <c r="AA348" s="122"/>
      <c r="AC348" s="106"/>
      <c r="AE348" s="122"/>
      <c r="AG348" s="122"/>
      <c r="AJ348" s="106"/>
    </row>
    <row r="349" spans="4:36" s="173" customFormat="1" ht="15">
      <c r="D349" s="106"/>
      <c r="E349" s="106"/>
      <c r="F349" s="106"/>
      <c r="G349" s="106"/>
      <c r="H349" s="106"/>
      <c r="I349" s="106"/>
      <c r="K349" s="106"/>
      <c r="M349" s="122"/>
      <c r="O349" s="122"/>
      <c r="Q349" s="106"/>
      <c r="S349" s="122"/>
      <c r="U349" s="122"/>
      <c r="W349" s="106"/>
      <c r="Y349" s="122"/>
      <c r="AA349" s="122"/>
      <c r="AC349" s="106"/>
      <c r="AE349" s="122"/>
      <c r="AG349" s="122"/>
      <c r="AJ349" s="106"/>
    </row>
    <row r="350" spans="4:36" s="173" customFormat="1" ht="15">
      <c r="D350" s="106"/>
      <c r="E350" s="106"/>
      <c r="F350" s="106"/>
      <c r="G350" s="106"/>
      <c r="H350" s="106"/>
      <c r="I350" s="106"/>
      <c r="K350" s="106"/>
      <c r="M350" s="122"/>
      <c r="O350" s="122"/>
      <c r="Q350" s="106"/>
      <c r="S350" s="122"/>
      <c r="U350" s="122"/>
      <c r="W350" s="106"/>
      <c r="Y350" s="122"/>
      <c r="AA350" s="122"/>
      <c r="AC350" s="106"/>
      <c r="AE350" s="122"/>
      <c r="AG350" s="122"/>
      <c r="AJ350" s="106"/>
    </row>
    <row r="351" spans="4:36" s="173" customFormat="1" ht="15">
      <c r="D351" s="106"/>
      <c r="E351" s="106"/>
      <c r="F351" s="106"/>
      <c r="G351" s="106"/>
      <c r="H351" s="106"/>
      <c r="I351" s="106"/>
      <c r="K351" s="106"/>
      <c r="M351" s="122"/>
      <c r="O351" s="122"/>
      <c r="Q351" s="106"/>
      <c r="S351" s="122"/>
      <c r="U351" s="122"/>
      <c r="W351" s="106"/>
      <c r="Y351" s="122"/>
      <c r="AA351" s="122"/>
      <c r="AC351" s="106"/>
      <c r="AE351" s="122"/>
      <c r="AG351" s="122"/>
      <c r="AJ351" s="106"/>
    </row>
    <row r="352" spans="4:36" s="173" customFormat="1" ht="15">
      <c r="D352" s="106"/>
      <c r="E352" s="106"/>
      <c r="F352" s="106"/>
      <c r="G352" s="106"/>
      <c r="H352" s="106"/>
      <c r="I352" s="106"/>
      <c r="K352" s="106"/>
      <c r="M352" s="122"/>
      <c r="O352" s="122"/>
      <c r="Q352" s="106"/>
      <c r="S352" s="122"/>
      <c r="U352" s="122"/>
      <c r="W352" s="106"/>
      <c r="Y352" s="122"/>
      <c r="AA352" s="122"/>
      <c r="AC352" s="106"/>
      <c r="AE352" s="122"/>
      <c r="AG352" s="122"/>
      <c r="AJ352" s="106"/>
    </row>
    <row r="353" spans="4:36" s="173" customFormat="1" ht="15">
      <c r="D353" s="106"/>
      <c r="E353" s="106"/>
      <c r="F353" s="106"/>
      <c r="G353" s="106"/>
      <c r="H353" s="106"/>
      <c r="I353" s="106"/>
      <c r="K353" s="106"/>
      <c r="M353" s="122"/>
      <c r="O353" s="122"/>
      <c r="Q353" s="106"/>
      <c r="S353" s="122"/>
      <c r="U353" s="122"/>
      <c r="W353" s="106"/>
      <c r="Y353" s="122"/>
      <c r="AA353" s="122"/>
      <c r="AC353" s="106"/>
      <c r="AE353" s="122"/>
      <c r="AG353" s="122"/>
      <c r="AJ353" s="106"/>
    </row>
    <row r="354" spans="4:36" s="173" customFormat="1" ht="15">
      <c r="D354" s="106"/>
      <c r="E354" s="106"/>
      <c r="F354" s="106"/>
      <c r="G354" s="106"/>
      <c r="H354" s="106"/>
      <c r="I354" s="106"/>
      <c r="K354" s="106"/>
      <c r="M354" s="122"/>
      <c r="O354" s="122"/>
      <c r="Q354" s="106"/>
      <c r="S354" s="122"/>
      <c r="U354" s="122"/>
      <c r="W354" s="106"/>
      <c r="Y354" s="122"/>
      <c r="AA354" s="122"/>
      <c r="AC354" s="106"/>
      <c r="AE354" s="122"/>
      <c r="AG354" s="122"/>
      <c r="AJ354" s="106"/>
    </row>
    <row r="355" spans="4:36" s="173" customFormat="1" ht="15">
      <c r="D355" s="106"/>
      <c r="E355" s="106"/>
      <c r="F355" s="106"/>
      <c r="G355" s="106"/>
      <c r="H355" s="106"/>
      <c r="I355" s="106"/>
      <c r="K355" s="106"/>
      <c r="M355" s="122"/>
      <c r="O355" s="122"/>
      <c r="Q355" s="106"/>
      <c r="S355" s="122"/>
      <c r="U355" s="122"/>
      <c r="W355" s="106"/>
      <c r="Y355" s="122"/>
      <c r="AA355" s="122"/>
      <c r="AC355" s="106"/>
      <c r="AE355" s="122"/>
      <c r="AG355" s="122"/>
      <c r="AJ355" s="106"/>
    </row>
    <row r="356" spans="4:36" s="173" customFormat="1" ht="15">
      <c r="D356" s="106"/>
      <c r="E356" s="106"/>
      <c r="F356" s="106"/>
      <c r="G356" s="106"/>
      <c r="H356" s="106"/>
      <c r="I356" s="106"/>
      <c r="K356" s="106"/>
      <c r="M356" s="122"/>
      <c r="O356" s="122"/>
      <c r="Q356" s="106"/>
      <c r="S356" s="122"/>
      <c r="U356" s="122"/>
      <c r="W356" s="106"/>
      <c r="Y356" s="122"/>
      <c r="AA356" s="122"/>
      <c r="AC356" s="106"/>
      <c r="AE356" s="122"/>
      <c r="AG356" s="122"/>
      <c r="AJ356" s="106"/>
    </row>
    <row r="357" spans="4:36" s="173" customFormat="1" ht="15">
      <c r="D357" s="106"/>
      <c r="E357" s="106"/>
      <c r="F357" s="106"/>
      <c r="G357" s="106"/>
      <c r="H357" s="106"/>
      <c r="I357" s="106"/>
      <c r="K357" s="106"/>
      <c r="M357" s="122"/>
      <c r="O357" s="122"/>
      <c r="Q357" s="106"/>
      <c r="S357" s="122"/>
      <c r="U357" s="122"/>
      <c r="W357" s="106"/>
      <c r="Y357" s="122"/>
      <c r="AA357" s="122"/>
      <c r="AC357" s="106"/>
      <c r="AE357" s="122"/>
      <c r="AG357" s="122"/>
      <c r="AJ357" s="106"/>
    </row>
    <row r="358" spans="4:36" s="173" customFormat="1" ht="15">
      <c r="D358" s="106"/>
      <c r="E358" s="106"/>
      <c r="F358" s="106"/>
      <c r="G358" s="106"/>
      <c r="H358" s="106"/>
      <c r="I358" s="106"/>
      <c r="K358" s="106"/>
      <c r="M358" s="122"/>
      <c r="O358" s="122"/>
      <c r="Q358" s="106"/>
      <c r="S358" s="122"/>
      <c r="U358" s="122"/>
      <c r="W358" s="106"/>
      <c r="Y358" s="122"/>
      <c r="AA358" s="122"/>
      <c r="AC358" s="106"/>
      <c r="AE358" s="122"/>
      <c r="AG358" s="122"/>
      <c r="AJ358" s="106"/>
    </row>
    <row r="359" spans="4:36" s="173" customFormat="1" ht="15">
      <c r="D359" s="106"/>
      <c r="E359" s="106"/>
      <c r="F359" s="106"/>
      <c r="G359" s="106"/>
      <c r="H359" s="106"/>
      <c r="I359" s="106"/>
      <c r="K359" s="106"/>
      <c r="M359" s="122"/>
      <c r="O359" s="122"/>
      <c r="Q359" s="106"/>
      <c r="S359" s="122"/>
      <c r="U359" s="122"/>
      <c r="W359" s="106"/>
      <c r="Y359" s="122"/>
      <c r="AA359" s="122"/>
      <c r="AC359" s="106"/>
      <c r="AE359" s="122"/>
      <c r="AG359" s="122"/>
      <c r="AJ359" s="106"/>
    </row>
    <row r="360" spans="4:36" s="173" customFormat="1" ht="15">
      <c r="D360" s="106"/>
      <c r="E360" s="106"/>
      <c r="F360" s="106"/>
      <c r="G360" s="106"/>
      <c r="H360" s="106"/>
      <c r="I360" s="106"/>
      <c r="K360" s="106"/>
      <c r="M360" s="122"/>
      <c r="O360" s="122"/>
      <c r="Q360" s="106"/>
      <c r="S360" s="122"/>
      <c r="U360" s="122"/>
      <c r="W360" s="106"/>
      <c r="Y360" s="122"/>
      <c r="AA360" s="122"/>
      <c r="AC360" s="106"/>
      <c r="AE360" s="122"/>
      <c r="AG360" s="122"/>
      <c r="AJ360" s="106"/>
    </row>
    <row r="361" spans="4:36" s="173" customFormat="1" ht="15">
      <c r="D361" s="106"/>
      <c r="E361" s="106"/>
      <c r="F361" s="106"/>
      <c r="G361" s="106"/>
      <c r="H361" s="106"/>
      <c r="I361" s="106"/>
      <c r="K361" s="106"/>
      <c r="M361" s="122"/>
      <c r="O361" s="122"/>
      <c r="Q361" s="106"/>
      <c r="S361" s="122"/>
      <c r="U361" s="122"/>
      <c r="W361" s="106"/>
      <c r="Y361" s="122"/>
      <c r="AA361" s="122"/>
      <c r="AC361" s="106"/>
      <c r="AE361" s="122"/>
      <c r="AG361" s="122"/>
      <c r="AJ361" s="106"/>
    </row>
    <row r="362" spans="4:36" s="173" customFormat="1" ht="15">
      <c r="D362" s="106"/>
      <c r="E362" s="106"/>
      <c r="F362" s="106"/>
      <c r="G362" s="106"/>
      <c r="H362" s="106"/>
      <c r="I362" s="106"/>
      <c r="K362" s="106"/>
      <c r="M362" s="122"/>
      <c r="O362" s="122"/>
      <c r="Q362" s="106"/>
      <c r="S362" s="122"/>
      <c r="U362" s="122"/>
      <c r="W362" s="106"/>
      <c r="Y362" s="122"/>
      <c r="AA362" s="122"/>
      <c r="AC362" s="106"/>
      <c r="AE362" s="122"/>
      <c r="AG362" s="122"/>
      <c r="AJ362" s="106"/>
    </row>
    <row r="363" spans="4:36" s="173" customFormat="1" ht="15">
      <c r="D363" s="106"/>
      <c r="E363" s="106"/>
      <c r="F363" s="106"/>
      <c r="G363" s="106"/>
      <c r="H363" s="106"/>
      <c r="I363" s="106"/>
      <c r="K363" s="106"/>
      <c r="M363" s="122"/>
      <c r="O363" s="122"/>
      <c r="Q363" s="106"/>
      <c r="S363" s="122"/>
      <c r="U363" s="122"/>
      <c r="W363" s="106"/>
      <c r="Y363" s="122"/>
      <c r="AA363" s="122"/>
      <c r="AC363" s="106"/>
      <c r="AE363" s="122"/>
      <c r="AG363" s="122"/>
      <c r="AJ363" s="106"/>
    </row>
    <row r="364" spans="4:36" s="173" customFormat="1" ht="15">
      <c r="D364" s="106"/>
      <c r="E364" s="106"/>
      <c r="F364" s="106"/>
      <c r="G364" s="106"/>
      <c r="H364" s="106"/>
      <c r="I364" s="106"/>
      <c r="K364" s="106"/>
      <c r="M364" s="122"/>
      <c r="O364" s="122"/>
      <c r="Q364" s="106"/>
      <c r="S364" s="122"/>
      <c r="U364" s="122"/>
      <c r="W364" s="106"/>
      <c r="Y364" s="122"/>
      <c r="AA364" s="122"/>
      <c r="AC364" s="106"/>
      <c r="AE364" s="122"/>
      <c r="AG364" s="122"/>
      <c r="AJ364" s="106"/>
    </row>
    <row r="365" spans="4:36" s="173" customFormat="1" ht="15">
      <c r="D365" s="106"/>
      <c r="E365" s="106"/>
      <c r="F365" s="106"/>
      <c r="G365" s="106"/>
      <c r="H365" s="106"/>
      <c r="I365" s="106"/>
      <c r="K365" s="106"/>
      <c r="M365" s="122"/>
      <c r="O365" s="122"/>
      <c r="Q365" s="106"/>
      <c r="S365" s="122"/>
      <c r="U365" s="122"/>
      <c r="W365" s="106"/>
      <c r="Y365" s="122"/>
      <c r="AA365" s="122"/>
      <c r="AC365" s="106"/>
      <c r="AE365" s="122"/>
      <c r="AG365" s="122"/>
      <c r="AJ365" s="106"/>
    </row>
    <row r="366" spans="4:36" s="173" customFormat="1" ht="15">
      <c r="D366" s="106"/>
      <c r="E366" s="106"/>
      <c r="F366" s="106"/>
      <c r="G366" s="106"/>
      <c r="H366" s="106"/>
      <c r="I366" s="106"/>
      <c r="K366" s="106"/>
      <c r="M366" s="122"/>
      <c r="O366" s="122"/>
      <c r="Q366" s="106"/>
      <c r="S366" s="122"/>
      <c r="U366" s="122"/>
      <c r="W366" s="106"/>
      <c r="Y366" s="122"/>
      <c r="AA366" s="122"/>
      <c r="AC366" s="106"/>
      <c r="AE366" s="122"/>
      <c r="AG366" s="122"/>
      <c r="AJ366" s="106"/>
    </row>
    <row r="367" spans="4:36" s="173" customFormat="1" ht="15">
      <c r="D367" s="106"/>
      <c r="E367" s="106"/>
      <c r="F367" s="106"/>
      <c r="G367" s="106"/>
      <c r="H367" s="106"/>
      <c r="I367" s="106"/>
      <c r="K367" s="106"/>
      <c r="M367" s="122"/>
      <c r="O367" s="122"/>
      <c r="Q367" s="106"/>
      <c r="S367" s="122"/>
      <c r="U367" s="122"/>
      <c r="W367" s="106"/>
      <c r="Y367" s="122"/>
      <c r="AA367" s="122"/>
      <c r="AC367" s="106"/>
      <c r="AE367" s="122"/>
      <c r="AG367" s="122"/>
      <c r="AJ367" s="106"/>
    </row>
    <row r="368" spans="4:36" s="173" customFormat="1" ht="15">
      <c r="D368" s="106"/>
      <c r="E368" s="106"/>
      <c r="F368" s="106"/>
      <c r="G368" s="106"/>
      <c r="H368" s="106"/>
      <c r="I368" s="106"/>
      <c r="K368" s="106"/>
      <c r="M368" s="122"/>
      <c r="O368" s="122"/>
      <c r="Q368" s="106"/>
      <c r="S368" s="122"/>
      <c r="U368" s="122"/>
      <c r="W368" s="106"/>
      <c r="Y368" s="122"/>
      <c r="AA368" s="122"/>
      <c r="AC368" s="106"/>
      <c r="AE368" s="122"/>
      <c r="AG368" s="122"/>
      <c r="AJ368" s="106"/>
    </row>
    <row r="369" spans="4:36" s="173" customFormat="1" ht="15">
      <c r="D369" s="106"/>
      <c r="E369" s="106"/>
      <c r="F369" s="106"/>
      <c r="G369" s="106"/>
      <c r="H369" s="106"/>
      <c r="I369" s="106"/>
      <c r="K369" s="106"/>
      <c r="M369" s="122"/>
      <c r="O369" s="122"/>
      <c r="Q369" s="106"/>
      <c r="S369" s="122"/>
      <c r="U369" s="122"/>
      <c r="W369" s="106"/>
      <c r="Y369" s="122"/>
      <c r="AA369" s="122"/>
      <c r="AC369" s="106"/>
      <c r="AE369" s="122"/>
      <c r="AG369" s="122"/>
      <c r="AJ369" s="106"/>
    </row>
    <row r="370" spans="4:36" s="173" customFormat="1" ht="15">
      <c r="D370" s="106"/>
      <c r="E370" s="106"/>
      <c r="F370" s="106"/>
      <c r="G370" s="106"/>
      <c r="H370" s="106"/>
      <c r="I370" s="106"/>
      <c r="K370" s="106"/>
      <c r="M370" s="122"/>
      <c r="O370" s="122"/>
      <c r="Q370" s="106"/>
      <c r="S370" s="122"/>
      <c r="U370" s="122"/>
      <c r="W370" s="106"/>
      <c r="Y370" s="122"/>
      <c r="AA370" s="122"/>
      <c r="AC370" s="106"/>
      <c r="AE370" s="122"/>
      <c r="AG370" s="122"/>
      <c r="AJ370" s="106"/>
    </row>
    <row r="371" spans="4:36" s="173" customFormat="1" ht="15">
      <c r="D371" s="106"/>
      <c r="E371" s="106"/>
      <c r="F371" s="106"/>
      <c r="G371" s="106"/>
      <c r="H371" s="106"/>
      <c r="I371" s="106"/>
      <c r="K371" s="106"/>
      <c r="M371" s="122"/>
      <c r="O371" s="122"/>
      <c r="Q371" s="106"/>
      <c r="S371" s="122"/>
      <c r="U371" s="122"/>
      <c r="W371" s="106"/>
      <c r="Y371" s="122"/>
      <c r="AA371" s="122"/>
      <c r="AC371" s="106"/>
      <c r="AE371" s="122"/>
      <c r="AG371" s="122"/>
      <c r="AJ371" s="106"/>
    </row>
    <row r="372" spans="4:36" s="173" customFormat="1" ht="15">
      <c r="D372" s="106"/>
      <c r="E372" s="106"/>
      <c r="F372" s="106"/>
      <c r="G372" s="106"/>
      <c r="H372" s="106"/>
      <c r="I372" s="106"/>
      <c r="K372" s="106"/>
      <c r="M372" s="122"/>
      <c r="O372" s="122"/>
      <c r="Q372" s="106"/>
      <c r="S372" s="122"/>
      <c r="U372" s="122"/>
      <c r="W372" s="106"/>
      <c r="Y372" s="122"/>
      <c r="AA372" s="122"/>
      <c r="AC372" s="106"/>
      <c r="AE372" s="122"/>
      <c r="AG372" s="122"/>
      <c r="AJ372" s="106"/>
    </row>
    <row r="373" spans="4:36" s="173" customFormat="1" ht="15">
      <c r="D373" s="106"/>
      <c r="E373" s="106"/>
      <c r="F373" s="106"/>
      <c r="G373" s="106"/>
      <c r="H373" s="106"/>
      <c r="I373" s="106"/>
      <c r="K373" s="106"/>
      <c r="M373" s="122"/>
      <c r="O373" s="122"/>
      <c r="Q373" s="106"/>
      <c r="S373" s="122"/>
      <c r="U373" s="122"/>
      <c r="W373" s="106"/>
      <c r="Y373" s="122"/>
      <c r="AA373" s="122"/>
      <c r="AC373" s="106"/>
      <c r="AE373" s="122"/>
      <c r="AG373" s="122"/>
      <c r="AJ373" s="106"/>
    </row>
    <row r="374" spans="4:36" s="173" customFormat="1" ht="15">
      <c r="D374" s="106"/>
      <c r="E374" s="106"/>
      <c r="F374" s="106"/>
      <c r="G374" s="106"/>
      <c r="H374" s="106"/>
      <c r="I374" s="106"/>
      <c r="K374" s="106"/>
      <c r="M374" s="122"/>
      <c r="O374" s="122"/>
      <c r="Q374" s="106"/>
      <c r="S374" s="122"/>
      <c r="U374" s="122"/>
      <c r="W374" s="106"/>
      <c r="Y374" s="122"/>
      <c r="AA374" s="122"/>
      <c r="AC374" s="106"/>
      <c r="AE374" s="122"/>
      <c r="AG374" s="122"/>
      <c r="AJ374" s="106"/>
    </row>
    <row r="375" spans="4:36" s="173" customFormat="1" ht="15">
      <c r="D375" s="106"/>
      <c r="E375" s="106"/>
      <c r="F375" s="106"/>
      <c r="G375" s="106"/>
      <c r="H375" s="106"/>
      <c r="I375" s="106"/>
      <c r="K375" s="106"/>
      <c r="M375" s="122"/>
      <c r="O375" s="122"/>
      <c r="Q375" s="106"/>
      <c r="S375" s="122"/>
      <c r="U375" s="122"/>
      <c r="W375" s="106"/>
      <c r="Y375" s="122"/>
      <c r="AA375" s="122"/>
      <c r="AC375" s="106"/>
      <c r="AE375" s="122"/>
      <c r="AG375" s="122"/>
      <c r="AJ375" s="106"/>
    </row>
    <row r="376" spans="4:36" s="173" customFormat="1" ht="15">
      <c r="D376" s="106"/>
      <c r="E376" s="106"/>
      <c r="F376" s="106"/>
      <c r="G376" s="106"/>
      <c r="H376" s="106"/>
      <c r="I376" s="106"/>
      <c r="K376" s="106"/>
      <c r="M376" s="122"/>
      <c r="O376" s="122"/>
      <c r="Q376" s="106"/>
      <c r="S376" s="122"/>
      <c r="U376" s="122"/>
      <c r="W376" s="106"/>
      <c r="Y376" s="122"/>
      <c r="AA376" s="122"/>
      <c r="AC376" s="106"/>
      <c r="AE376" s="122"/>
      <c r="AG376" s="122"/>
      <c r="AJ376" s="106"/>
    </row>
    <row r="377" spans="4:36" s="173" customFormat="1" ht="15">
      <c r="D377" s="106"/>
      <c r="E377" s="106"/>
      <c r="F377" s="106"/>
      <c r="G377" s="106"/>
      <c r="H377" s="106"/>
      <c r="I377" s="106"/>
      <c r="K377" s="106"/>
      <c r="M377" s="122"/>
      <c r="O377" s="122"/>
      <c r="Q377" s="106"/>
      <c r="S377" s="122"/>
      <c r="U377" s="122"/>
      <c r="W377" s="106"/>
      <c r="Y377" s="122"/>
      <c r="AA377" s="122"/>
      <c r="AC377" s="106"/>
      <c r="AE377" s="122"/>
      <c r="AG377" s="122"/>
      <c r="AJ377" s="106"/>
    </row>
    <row r="378" spans="4:36" s="173" customFormat="1" ht="15">
      <c r="D378" s="106"/>
      <c r="E378" s="106"/>
      <c r="F378" s="106"/>
      <c r="G378" s="106"/>
      <c r="H378" s="106"/>
      <c r="I378" s="106"/>
      <c r="K378" s="106"/>
      <c r="M378" s="122"/>
      <c r="O378" s="122"/>
      <c r="Q378" s="106"/>
      <c r="S378" s="122"/>
      <c r="U378" s="122"/>
      <c r="W378" s="106"/>
      <c r="Y378" s="122"/>
      <c r="AA378" s="122"/>
      <c r="AC378" s="106"/>
      <c r="AE378" s="122"/>
      <c r="AG378" s="122"/>
      <c r="AJ378" s="106"/>
    </row>
    <row r="379" spans="4:36" s="173" customFormat="1" ht="15">
      <c r="D379" s="106"/>
      <c r="E379" s="106"/>
      <c r="F379" s="106"/>
      <c r="G379" s="106"/>
      <c r="H379" s="106"/>
      <c r="I379" s="106"/>
      <c r="K379" s="106"/>
      <c r="M379" s="122"/>
      <c r="O379" s="122"/>
      <c r="Q379" s="106"/>
      <c r="S379" s="122"/>
      <c r="U379" s="122"/>
      <c r="W379" s="106"/>
      <c r="Y379" s="122"/>
      <c r="AA379" s="122"/>
      <c r="AC379" s="106"/>
      <c r="AE379" s="122"/>
      <c r="AG379" s="122"/>
      <c r="AJ379" s="106"/>
    </row>
    <row r="380" spans="4:36" s="173" customFormat="1" ht="15">
      <c r="D380" s="106"/>
      <c r="E380" s="106"/>
      <c r="F380" s="106"/>
      <c r="G380" s="106"/>
      <c r="H380" s="106"/>
      <c r="I380" s="106"/>
      <c r="K380" s="106"/>
      <c r="M380" s="122"/>
      <c r="O380" s="122"/>
      <c r="Q380" s="106"/>
      <c r="S380" s="122"/>
      <c r="U380" s="122"/>
      <c r="W380" s="106"/>
      <c r="Y380" s="122"/>
      <c r="AA380" s="122"/>
      <c r="AC380" s="106"/>
      <c r="AE380" s="122"/>
      <c r="AG380" s="122"/>
      <c r="AJ380" s="106"/>
    </row>
    <row r="381" spans="4:36" s="173" customFormat="1" ht="15">
      <c r="D381" s="106"/>
      <c r="E381" s="106"/>
      <c r="F381" s="106"/>
      <c r="G381" s="106"/>
      <c r="H381" s="106"/>
      <c r="I381" s="106"/>
      <c r="K381" s="106"/>
      <c r="M381" s="122"/>
      <c r="O381" s="122"/>
      <c r="Q381" s="106"/>
      <c r="S381" s="122"/>
      <c r="U381" s="122"/>
      <c r="W381" s="106"/>
      <c r="Y381" s="122"/>
      <c r="AA381" s="122"/>
      <c r="AC381" s="106"/>
      <c r="AE381" s="122"/>
      <c r="AG381" s="122"/>
      <c r="AJ381" s="106"/>
    </row>
    <row r="382" spans="4:36" s="173" customFormat="1" ht="15">
      <c r="D382" s="106"/>
      <c r="E382" s="106"/>
      <c r="F382" s="106"/>
      <c r="G382" s="106"/>
      <c r="H382" s="106"/>
      <c r="I382" s="106"/>
      <c r="K382" s="106"/>
      <c r="M382" s="122"/>
      <c r="O382" s="122"/>
      <c r="Q382" s="106"/>
      <c r="S382" s="122"/>
      <c r="U382" s="122"/>
      <c r="W382" s="106"/>
      <c r="Y382" s="122"/>
      <c r="AA382" s="122"/>
      <c r="AC382" s="106"/>
      <c r="AE382" s="122"/>
      <c r="AG382" s="122"/>
      <c r="AJ382" s="106"/>
    </row>
    <row r="383" spans="4:36" s="173" customFormat="1" ht="15">
      <c r="D383" s="106"/>
      <c r="E383" s="106"/>
      <c r="F383" s="106"/>
      <c r="G383" s="106"/>
      <c r="H383" s="106"/>
      <c r="I383" s="106"/>
      <c r="K383" s="106"/>
      <c r="M383" s="122"/>
      <c r="O383" s="122"/>
      <c r="Q383" s="106"/>
      <c r="S383" s="122"/>
      <c r="U383" s="122"/>
      <c r="W383" s="106"/>
      <c r="Y383" s="122"/>
      <c r="AA383" s="122"/>
      <c r="AC383" s="106"/>
      <c r="AE383" s="122"/>
      <c r="AG383" s="122"/>
      <c r="AJ383" s="106"/>
    </row>
    <row r="384" spans="4:36" s="173" customFormat="1" ht="15">
      <c r="D384" s="106"/>
      <c r="E384" s="106"/>
      <c r="F384" s="106"/>
      <c r="G384" s="106"/>
      <c r="H384" s="106"/>
      <c r="I384" s="106"/>
      <c r="K384" s="106"/>
      <c r="M384" s="122"/>
      <c r="O384" s="122"/>
      <c r="Q384" s="106"/>
      <c r="S384" s="122"/>
      <c r="U384" s="122"/>
      <c r="W384" s="106"/>
      <c r="Y384" s="122"/>
      <c r="AA384" s="122"/>
      <c r="AC384" s="106"/>
      <c r="AE384" s="122"/>
      <c r="AG384" s="122"/>
      <c r="AJ384" s="106"/>
    </row>
    <row r="385" spans="4:36" s="173" customFormat="1" ht="15">
      <c r="D385" s="106"/>
      <c r="E385" s="106"/>
      <c r="F385" s="106"/>
      <c r="G385" s="106"/>
      <c r="H385" s="106"/>
      <c r="I385" s="106"/>
      <c r="K385" s="106"/>
      <c r="M385" s="122"/>
      <c r="O385" s="122"/>
      <c r="Q385" s="106"/>
      <c r="S385" s="122"/>
      <c r="U385" s="122"/>
      <c r="W385" s="106"/>
      <c r="Y385" s="122"/>
      <c r="AA385" s="122"/>
      <c r="AC385" s="106"/>
      <c r="AE385" s="122"/>
      <c r="AG385" s="122"/>
      <c r="AJ385" s="106"/>
    </row>
    <row r="386" spans="4:36" s="173" customFormat="1" ht="15">
      <c r="D386" s="106"/>
      <c r="E386" s="106"/>
      <c r="F386" s="106"/>
      <c r="G386" s="106"/>
      <c r="H386" s="106"/>
      <c r="I386" s="106"/>
      <c r="K386" s="106"/>
      <c r="M386" s="122"/>
      <c r="O386" s="122"/>
      <c r="Q386" s="106"/>
      <c r="S386" s="122"/>
      <c r="U386" s="122"/>
      <c r="W386" s="106"/>
      <c r="Y386" s="122"/>
      <c r="AA386" s="122"/>
      <c r="AC386" s="106"/>
      <c r="AE386" s="122"/>
      <c r="AG386" s="122"/>
      <c r="AJ386" s="106"/>
    </row>
    <row r="387" spans="4:36" s="173" customFormat="1" ht="15">
      <c r="D387" s="106"/>
      <c r="E387" s="106"/>
      <c r="F387" s="106"/>
      <c r="G387" s="106"/>
      <c r="H387" s="106"/>
      <c r="I387" s="106"/>
      <c r="K387" s="106"/>
      <c r="M387" s="122"/>
      <c r="O387" s="122"/>
      <c r="Q387" s="106"/>
      <c r="S387" s="122"/>
      <c r="U387" s="122"/>
      <c r="W387" s="106"/>
      <c r="Y387" s="122"/>
      <c r="AA387" s="122"/>
      <c r="AC387" s="106"/>
      <c r="AE387" s="122"/>
      <c r="AG387" s="122"/>
      <c r="AJ387" s="106"/>
    </row>
    <row r="388" spans="4:36" s="173" customFormat="1" ht="15">
      <c r="D388" s="106"/>
      <c r="E388" s="106"/>
      <c r="F388" s="106"/>
      <c r="G388" s="106"/>
      <c r="H388" s="106"/>
      <c r="I388" s="106"/>
      <c r="K388" s="106"/>
      <c r="M388" s="122"/>
      <c r="O388" s="122"/>
      <c r="Q388" s="106"/>
      <c r="S388" s="122"/>
      <c r="U388" s="122"/>
      <c r="W388" s="106"/>
      <c r="Y388" s="122"/>
      <c r="AA388" s="122"/>
      <c r="AC388" s="106"/>
      <c r="AE388" s="122"/>
      <c r="AG388" s="122"/>
      <c r="AJ388" s="106"/>
    </row>
    <row r="389" spans="4:36" s="173" customFormat="1" ht="15">
      <c r="D389" s="106"/>
      <c r="E389" s="106"/>
      <c r="F389" s="106"/>
      <c r="G389" s="106"/>
      <c r="H389" s="106"/>
      <c r="I389" s="106"/>
      <c r="K389" s="106"/>
      <c r="M389" s="122"/>
      <c r="O389" s="122"/>
      <c r="Q389" s="106"/>
      <c r="S389" s="122"/>
      <c r="U389" s="122"/>
      <c r="W389" s="106"/>
      <c r="Y389" s="122"/>
      <c r="AA389" s="122"/>
      <c r="AC389" s="106"/>
      <c r="AE389" s="122"/>
      <c r="AG389" s="122"/>
      <c r="AJ389" s="106"/>
    </row>
    <row r="390" spans="4:36" s="173" customFormat="1" ht="15">
      <c r="D390" s="106"/>
      <c r="E390" s="106"/>
      <c r="F390" s="106"/>
      <c r="G390" s="106"/>
      <c r="H390" s="106"/>
      <c r="I390" s="106"/>
      <c r="K390" s="106"/>
      <c r="M390" s="122"/>
      <c r="O390" s="122"/>
      <c r="Q390" s="106"/>
      <c r="S390" s="122"/>
      <c r="U390" s="122"/>
      <c r="W390" s="106"/>
      <c r="Y390" s="122"/>
      <c r="AA390" s="122"/>
      <c r="AC390" s="106"/>
      <c r="AE390" s="122"/>
      <c r="AG390" s="122"/>
      <c r="AJ390" s="106"/>
    </row>
    <row r="391" spans="4:36" s="173" customFormat="1" ht="15">
      <c r="D391" s="106"/>
      <c r="E391" s="106"/>
      <c r="F391" s="106"/>
      <c r="G391" s="106"/>
      <c r="H391" s="106"/>
      <c r="I391" s="106"/>
      <c r="K391" s="106"/>
      <c r="M391" s="122"/>
      <c r="O391" s="122"/>
      <c r="Q391" s="106"/>
      <c r="S391" s="122"/>
      <c r="U391" s="122"/>
      <c r="W391" s="106"/>
      <c r="Y391" s="122"/>
      <c r="AA391" s="122"/>
      <c r="AC391" s="106"/>
      <c r="AE391" s="122"/>
      <c r="AG391" s="122"/>
      <c r="AJ391" s="106"/>
    </row>
    <row r="392" spans="4:36" s="173" customFormat="1" ht="15">
      <c r="D392" s="106"/>
      <c r="E392" s="106"/>
      <c r="F392" s="106"/>
      <c r="G392" s="106"/>
      <c r="H392" s="106"/>
      <c r="I392" s="106"/>
      <c r="K392" s="106"/>
      <c r="M392" s="122"/>
      <c r="O392" s="122"/>
      <c r="Q392" s="106"/>
      <c r="S392" s="122"/>
      <c r="U392" s="122"/>
      <c r="W392" s="106"/>
      <c r="Y392" s="122"/>
      <c r="AA392" s="122"/>
      <c r="AC392" s="106"/>
      <c r="AE392" s="122"/>
      <c r="AG392" s="122"/>
      <c r="AJ392" s="106"/>
    </row>
    <row r="393" spans="4:36" s="173" customFormat="1" ht="15">
      <c r="D393" s="106"/>
      <c r="E393" s="106"/>
      <c r="F393" s="106"/>
      <c r="G393" s="106"/>
      <c r="H393" s="106"/>
      <c r="I393" s="106"/>
      <c r="K393" s="106"/>
      <c r="M393" s="122"/>
      <c r="O393" s="122"/>
      <c r="Q393" s="106"/>
      <c r="S393" s="122"/>
      <c r="U393" s="122"/>
      <c r="W393" s="106"/>
      <c r="Y393" s="122"/>
      <c r="AA393" s="122"/>
      <c r="AC393" s="106"/>
      <c r="AE393" s="122"/>
      <c r="AG393" s="122"/>
      <c r="AJ393" s="106"/>
    </row>
    <row r="394" spans="4:36" s="173" customFormat="1" ht="15">
      <c r="D394" s="106"/>
      <c r="E394" s="106"/>
      <c r="F394" s="106"/>
      <c r="G394" s="106"/>
      <c r="H394" s="106"/>
      <c r="I394" s="106"/>
      <c r="K394" s="106"/>
      <c r="M394" s="122"/>
      <c r="O394" s="122"/>
      <c r="Q394" s="106"/>
      <c r="S394" s="122"/>
      <c r="U394" s="122"/>
      <c r="W394" s="106"/>
      <c r="Y394" s="122"/>
      <c r="AA394" s="122"/>
      <c r="AC394" s="106"/>
      <c r="AE394" s="122"/>
      <c r="AG394" s="122"/>
      <c r="AJ394" s="106"/>
    </row>
    <row r="395" spans="4:36" s="173" customFormat="1" ht="15">
      <c r="D395" s="106"/>
      <c r="E395" s="106"/>
      <c r="F395" s="106"/>
      <c r="G395" s="106"/>
      <c r="H395" s="106"/>
      <c r="I395" s="106"/>
      <c r="K395" s="106"/>
      <c r="M395" s="122"/>
      <c r="O395" s="122"/>
      <c r="Q395" s="106"/>
      <c r="S395" s="122"/>
      <c r="U395" s="122"/>
      <c r="W395" s="106"/>
      <c r="Y395" s="122"/>
      <c r="AA395" s="122"/>
      <c r="AC395" s="106"/>
      <c r="AE395" s="122"/>
      <c r="AG395" s="122"/>
      <c r="AJ395" s="106"/>
    </row>
    <row r="396" spans="4:36" s="173" customFormat="1" ht="15">
      <c r="D396" s="106"/>
      <c r="E396" s="106"/>
      <c r="F396" s="106"/>
      <c r="G396" s="106"/>
      <c r="H396" s="106"/>
      <c r="I396" s="106"/>
      <c r="K396" s="106"/>
      <c r="M396" s="122"/>
      <c r="O396" s="122"/>
      <c r="Q396" s="106"/>
      <c r="S396" s="122"/>
      <c r="U396" s="122"/>
      <c r="W396" s="106"/>
      <c r="Y396" s="122"/>
      <c r="AA396" s="122"/>
      <c r="AC396" s="106"/>
      <c r="AE396" s="122"/>
      <c r="AG396" s="122"/>
      <c r="AJ396" s="106"/>
    </row>
    <row r="397" spans="4:36" s="173" customFormat="1" ht="15">
      <c r="D397" s="106"/>
      <c r="E397" s="106"/>
      <c r="F397" s="106"/>
      <c r="G397" s="106"/>
      <c r="H397" s="106"/>
      <c r="I397" s="106"/>
      <c r="K397" s="106"/>
      <c r="M397" s="122"/>
      <c r="O397" s="122"/>
      <c r="Q397" s="106"/>
      <c r="S397" s="122"/>
      <c r="U397" s="122"/>
      <c r="W397" s="106"/>
      <c r="Y397" s="122"/>
      <c r="AA397" s="122"/>
      <c r="AC397" s="106"/>
      <c r="AE397" s="122"/>
      <c r="AG397" s="122"/>
      <c r="AJ397" s="106"/>
    </row>
    <row r="398" spans="4:36" s="173" customFormat="1" ht="15">
      <c r="D398" s="106"/>
      <c r="E398" s="106"/>
      <c r="F398" s="106"/>
      <c r="G398" s="106"/>
      <c r="H398" s="106"/>
      <c r="I398" s="106"/>
      <c r="K398" s="106"/>
      <c r="M398" s="122"/>
      <c r="O398" s="122"/>
      <c r="Q398" s="106"/>
      <c r="S398" s="122"/>
      <c r="U398" s="122"/>
      <c r="W398" s="106"/>
      <c r="Y398" s="122"/>
      <c r="AA398" s="122"/>
      <c r="AC398" s="106"/>
      <c r="AE398" s="122"/>
      <c r="AG398" s="122"/>
      <c r="AJ398" s="106"/>
    </row>
    <row r="399" spans="4:36" s="173" customFormat="1" ht="15">
      <c r="D399" s="106"/>
      <c r="E399" s="106"/>
      <c r="F399" s="106"/>
      <c r="G399" s="106"/>
      <c r="H399" s="106"/>
      <c r="I399" s="106"/>
      <c r="K399" s="106"/>
      <c r="M399" s="122"/>
      <c r="O399" s="122"/>
      <c r="Q399" s="106"/>
      <c r="S399" s="122"/>
      <c r="U399" s="122"/>
      <c r="W399" s="106"/>
      <c r="Y399" s="122"/>
      <c r="AA399" s="122"/>
      <c r="AC399" s="106"/>
      <c r="AE399" s="122"/>
      <c r="AG399" s="122"/>
      <c r="AJ399" s="106"/>
    </row>
    <row r="400" spans="4:36" s="173" customFormat="1" ht="15">
      <c r="D400" s="106"/>
      <c r="E400" s="106"/>
      <c r="F400" s="106"/>
      <c r="G400" s="106"/>
      <c r="H400" s="106"/>
      <c r="I400" s="106"/>
      <c r="K400" s="106"/>
      <c r="M400" s="122"/>
      <c r="O400" s="122"/>
      <c r="Q400" s="106"/>
      <c r="S400" s="122"/>
      <c r="U400" s="122"/>
      <c r="W400" s="106"/>
      <c r="Y400" s="122"/>
      <c r="AA400" s="122"/>
      <c r="AC400" s="106"/>
      <c r="AE400" s="122"/>
      <c r="AG400" s="122"/>
      <c r="AJ400" s="106"/>
    </row>
    <row r="401" spans="4:36" s="173" customFormat="1" ht="15">
      <c r="D401" s="106"/>
      <c r="E401" s="106"/>
      <c r="F401" s="106"/>
      <c r="G401" s="106"/>
      <c r="H401" s="106"/>
      <c r="I401" s="106"/>
      <c r="K401" s="106"/>
      <c r="M401" s="122"/>
      <c r="O401" s="122"/>
      <c r="Q401" s="106"/>
      <c r="S401" s="122"/>
      <c r="U401" s="122"/>
      <c r="W401" s="106"/>
      <c r="Y401" s="122"/>
      <c r="AA401" s="122"/>
      <c r="AC401" s="106"/>
      <c r="AE401" s="122"/>
      <c r="AG401" s="122"/>
      <c r="AJ401" s="106"/>
    </row>
    <row r="402" spans="4:36" s="173" customFormat="1" ht="15">
      <c r="D402" s="106"/>
      <c r="E402" s="106"/>
      <c r="F402" s="106"/>
      <c r="G402" s="106"/>
      <c r="H402" s="106"/>
      <c r="I402" s="106"/>
      <c r="K402" s="106"/>
      <c r="M402" s="122"/>
      <c r="O402" s="122"/>
      <c r="Q402" s="106"/>
      <c r="S402" s="122"/>
      <c r="U402" s="122"/>
      <c r="W402" s="106"/>
      <c r="Y402" s="122"/>
      <c r="AA402" s="122"/>
      <c r="AC402" s="106"/>
      <c r="AE402" s="122"/>
      <c r="AG402" s="122"/>
      <c r="AJ402" s="106"/>
    </row>
    <row r="403" spans="4:36" s="173" customFormat="1" ht="15">
      <c r="D403" s="106"/>
      <c r="E403" s="106"/>
      <c r="F403" s="106"/>
      <c r="G403" s="106"/>
      <c r="H403" s="106"/>
      <c r="I403" s="106"/>
      <c r="K403" s="106"/>
      <c r="M403" s="122"/>
      <c r="O403" s="122"/>
      <c r="Q403" s="106"/>
      <c r="S403" s="122"/>
      <c r="U403" s="122"/>
      <c r="W403" s="106"/>
      <c r="Y403" s="122"/>
      <c r="AA403" s="122"/>
      <c r="AC403" s="106"/>
      <c r="AE403" s="122"/>
      <c r="AG403" s="122"/>
      <c r="AJ403" s="106"/>
    </row>
    <row r="404" spans="4:36" s="173" customFormat="1" ht="15">
      <c r="D404" s="106"/>
      <c r="E404" s="106"/>
      <c r="F404" s="106"/>
      <c r="G404" s="106"/>
      <c r="H404" s="106"/>
      <c r="I404" s="106"/>
      <c r="K404" s="106"/>
      <c r="M404" s="122"/>
      <c r="O404" s="122"/>
      <c r="Q404" s="106"/>
      <c r="S404" s="122"/>
      <c r="U404" s="122"/>
      <c r="W404" s="106"/>
      <c r="Y404" s="122"/>
      <c r="AA404" s="122"/>
      <c r="AC404" s="106"/>
      <c r="AE404" s="122"/>
      <c r="AG404" s="122"/>
      <c r="AJ404" s="106"/>
    </row>
    <row r="405" spans="4:36" s="173" customFormat="1" ht="15">
      <c r="D405" s="106"/>
      <c r="E405" s="106"/>
      <c r="F405" s="106"/>
      <c r="G405" s="106"/>
      <c r="H405" s="106"/>
      <c r="I405" s="106"/>
      <c r="K405" s="106"/>
      <c r="M405" s="122"/>
      <c r="O405" s="122"/>
      <c r="Q405" s="106"/>
      <c r="S405" s="122"/>
      <c r="U405" s="122"/>
      <c r="W405" s="106"/>
      <c r="Y405" s="122"/>
      <c r="AA405" s="122"/>
      <c r="AC405" s="106"/>
      <c r="AE405" s="122"/>
      <c r="AG405" s="122"/>
      <c r="AJ405" s="106"/>
    </row>
    <row r="406" spans="4:36" s="173" customFormat="1" ht="15">
      <c r="D406" s="106"/>
      <c r="E406" s="106"/>
      <c r="F406" s="106"/>
      <c r="G406" s="106"/>
      <c r="H406" s="106"/>
      <c r="I406" s="106"/>
      <c r="K406" s="106"/>
      <c r="M406" s="122"/>
      <c r="O406" s="122"/>
      <c r="Q406" s="106"/>
      <c r="S406" s="122"/>
      <c r="U406" s="122"/>
      <c r="W406" s="106"/>
      <c r="Y406" s="122"/>
      <c r="AA406" s="122"/>
      <c r="AC406" s="106"/>
      <c r="AE406" s="122"/>
      <c r="AG406" s="122"/>
      <c r="AJ406" s="106"/>
    </row>
    <row r="407" spans="4:36" s="173" customFormat="1" ht="15">
      <c r="D407" s="106"/>
      <c r="E407" s="106"/>
      <c r="F407" s="106"/>
      <c r="G407" s="106"/>
      <c r="H407" s="106"/>
      <c r="I407" s="106"/>
      <c r="K407" s="106"/>
      <c r="M407" s="122"/>
      <c r="O407" s="122"/>
      <c r="Q407" s="106"/>
      <c r="S407" s="122"/>
      <c r="U407" s="122"/>
      <c r="W407" s="106"/>
      <c r="Y407" s="122"/>
      <c r="AA407" s="122"/>
      <c r="AC407" s="106"/>
      <c r="AE407" s="122"/>
      <c r="AG407" s="122"/>
      <c r="AJ407" s="106"/>
    </row>
    <row r="408" spans="4:36" s="173" customFormat="1" ht="15">
      <c r="D408" s="106"/>
      <c r="E408" s="106"/>
      <c r="F408" s="106"/>
      <c r="G408" s="106"/>
      <c r="H408" s="106"/>
      <c r="I408" s="106"/>
      <c r="K408" s="106"/>
      <c r="M408" s="122"/>
      <c r="O408" s="122"/>
      <c r="Q408" s="106"/>
      <c r="S408" s="122"/>
      <c r="U408" s="122"/>
      <c r="W408" s="106"/>
      <c r="Y408" s="122"/>
      <c r="AA408" s="122"/>
      <c r="AC408" s="106"/>
      <c r="AE408" s="122"/>
      <c r="AG408" s="122"/>
      <c r="AJ408" s="106"/>
    </row>
    <row r="409" spans="4:36" s="173" customFormat="1" ht="15">
      <c r="D409" s="106"/>
      <c r="E409" s="106"/>
      <c r="F409" s="106"/>
      <c r="G409" s="106"/>
      <c r="H409" s="106"/>
      <c r="I409" s="106"/>
      <c r="K409" s="106"/>
      <c r="M409" s="122"/>
      <c r="O409" s="122"/>
      <c r="Q409" s="106"/>
      <c r="S409" s="122"/>
      <c r="U409" s="122"/>
      <c r="W409" s="106"/>
      <c r="Y409" s="122"/>
      <c r="AA409" s="122"/>
      <c r="AC409" s="106"/>
      <c r="AE409" s="122"/>
      <c r="AG409" s="122"/>
      <c r="AJ409" s="106"/>
    </row>
    <row r="410" spans="4:36" s="173" customFormat="1" ht="15">
      <c r="D410" s="106"/>
      <c r="E410" s="106"/>
      <c r="F410" s="106"/>
      <c r="G410" s="106"/>
      <c r="H410" s="106"/>
      <c r="I410" s="106"/>
      <c r="K410" s="106"/>
      <c r="M410" s="122"/>
      <c r="O410" s="122"/>
      <c r="Q410" s="106"/>
      <c r="S410" s="122"/>
      <c r="U410" s="122"/>
      <c r="W410" s="106"/>
      <c r="Y410" s="122"/>
      <c r="AA410" s="122"/>
      <c r="AC410" s="106"/>
      <c r="AE410" s="122"/>
      <c r="AG410" s="122"/>
      <c r="AJ410" s="106"/>
    </row>
    <row r="411" spans="4:36" s="173" customFormat="1" ht="15">
      <c r="D411" s="106"/>
      <c r="E411" s="106"/>
      <c r="F411" s="106"/>
      <c r="G411" s="106"/>
      <c r="H411" s="106"/>
      <c r="I411" s="106"/>
      <c r="K411" s="106"/>
      <c r="M411" s="122"/>
      <c r="O411" s="122"/>
      <c r="Q411" s="106"/>
      <c r="S411" s="122"/>
      <c r="U411" s="122"/>
      <c r="W411" s="106"/>
      <c r="Y411" s="122"/>
      <c r="AA411" s="122"/>
      <c r="AC411" s="106"/>
      <c r="AE411" s="122"/>
      <c r="AG411" s="122"/>
      <c r="AJ411" s="106"/>
    </row>
    <row r="412" spans="4:36" s="173" customFormat="1" ht="15">
      <c r="D412" s="106"/>
      <c r="E412" s="106"/>
      <c r="F412" s="106"/>
      <c r="G412" s="106"/>
      <c r="H412" s="106"/>
      <c r="I412" s="106"/>
      <c r="K412" s="106"/>
      <c r="M412" s="122"/>
      <c r="O412" s="122"/>
      <c r="Q412" s="106"/>
      <c r="S412" s="122"/>
      <c r="U412" s="122"/>
      <c r="W412" s="106"/>
      <c r="Y412" s="122"/>
      <c r="AA412" s="122"/>
      <c r="AC412" s="106"/>
      <c r="AE412" s="122"/>
      <c r="AG412" s="122"/>
      <c r="AJ412" s="106"/>
    </row>
    <row r="413" spans="4:36" s="173" customFormat="1" ht="15">
      <c r="D413" s="106"/>
      <c r="E413" s="106"/>
      <c r="F413" s="106"/>
      <c r="G413" s="106"/>
      <c r="H413" s="106"/>
      <c r="I413" s="106"/>
      <c r="K413" s="106"/>
      <c r="M413" s="122"/>
      <c r="O413" s="122"/>
      <c r="Q413" s="106"/>
      <c r="S413" s="122"/>
      <c r="U413" s="122"/>
      <c r="W413" s="106"/>
      <c r="Y413" s="122"/>
      <c r="AA413" s="122"/>
      <c r="AC413" s="106"/>
      <c r="AE413" s="122"/>
      <c r="AG413" s="122"/>
      <c r="AJ413" s="106"/>
    </row>
    <row r="414" spans="4:36" s="173" customFormat="1" ht="15">
      <c r="D414" s="106"/>
      <c r="E414" s="106"/>
      <c r="F414" s="106"/>
      <c r="G414" s="106"/>
      <c r="H414" s="106"/>
      <c r="I414" s="106"/>
      <c r="K414" s="106"/>
      <c r="M414" s="122"/>
      <c r="O414" s="122"/>
      <c r="Q414" s="106"/>
      <c r="S414" s="122"/>
      <c r="U414" s="122"/>
      <c r="W414" s="106"/>
      <c r="Y414" s="122"/>
      <c r="AA414" s="122"/>
      <c r="AC414" s="106"/>
      <c r="AE414" s="122"/>
      <c r="AG414" s="122"/>
      <c r="AJ414" s="106"/>
    </row>
    <row r="415" spans="4:36" s="173" customFormat="1" ht="15">
      <c r="D415" s="106"/>
      <c r="E415" s="106"/>
      <c r="F415" s="106"/>
      <c r="G415" s="106"/>
      <c r="H415" s="106"/>
      <c r="I415" s="106"/>
      <c r="K415" s="106"/>
      <c r="M415" s="122"/>
      <c r="O415" s="122"/>
      <c r="Q415" s="106"/>
      <c r="S415" s="122"/>
      <c r="U415" s="122"/>
      <c r="W415" s="106"/>
      <c r="Y415" s="122"/>
      <c r="AA415" s="122"/>
      <c r="AC415" s="106"/>
      <c r="AE415" s="122"/>
      <c r="AG415" s="122"/>
      <c r="AJ415" s="106"/>
    </row>
    <row r="416" spans="4:36" s="173" customFormat="1" ht="15">
      <c r="D416" s="106"/>
      <c r="E416" s="106"/>
      <c r="F416" s="106"/>
      <c r="G416" s="106"/>
      <c r="H416" s="106"/>
      <c r="I416" s="106"/>
      <c r="K416" s="106"/>
      <c r="M416" s="122"/>
      <c r="O416" s="122"/>
      <c r="Q416" s="106"/>
      <c r="S416" s="122"/>
      <c r="U416" s="122"/>
      <c r="W416" s="106"/>
      <c r="Y416" s="122"/>
      <c r="AA416" s="122"/>
      <c r="AC416" s="106"/>
      <c r="AE416" s="122"/>
      <c r="AG416" s="122"/>
      <c r="AJ416" s="106"/>
    </row>
    <row r="417" spans="4:36" s="173" customFormat="1" ht="15">
      <c r="D417" s="106"/>
      <c r="E417" s="106"/>
      <c r="F417" s="106"/>
      <c r="G417" s="106"/>
      <c r="H417" s="106"/>
      <c r="I417" s="106"/>
      <c r="K417" s="106"/>
      <c r="M417" s="122"/>
      <c r="O417" s="122"/>
      <c r="Q417" s="106"/>
      <c r="S417" s="122"/>
      <c r="U417" s="122"/>
      <c r="W417" s="106"/>
      <c r="Y417" s="122"/>
      <c r="AA417" s="122"/>
      <c r="AC417" s="106"/>
      <c r="AE417" s="122"/>
      <c r="AG417" s="122"/>
      <c r="AJ417" s="106"/>
    </row>
    <row r="418" spans="4:36" s="173" customFormat="1" ht="15">
      <c r="D418" s="106"/>
      <c r="E418" s="106"/>
      <c r="F418" s="106"/>
      <c r="G418" s="106"/>
      <c r="H418" s="106"/>
      <c r="I418" s="106"/>
      <c r="K418" s="106"/>
      <c r="M418" s="122"/>
      <c r="O418" s="122"/>
      <c r="Q418" s="106"/>
      <c r="S418" s="122"/>
      <c r="U418" s="122"/>
      <c r="W418" s="106"/>
      <c r="Y418" s="122"/>
      <c r="AA418" s="122"/>
      <c r="AC418" s="106"/>
      <c r="AE418" s="122"/>
      <c r="AG418" s="122"/>
      <c r="AJ418" s="106"/>
    </row>
    <row r="419" spans="4:36" s="173" customFormat="1" ht="15">
      <c r="D419" s="106"/>
      <c r="E419" s="106"/>
      <c r="F419" s="106"/>
      <c r="G419" s="106"/>
      <c r="H419" s="106"/>
      <c r="I419" s="106"/>
      <c r="K419" s="106"/>
      <c r="M419" s="122"/>
      <c r="O419" s="122"/>
      <c r="Q419" s="106"/>
      <c r="S419" s="122"/>
      <c r="U419" s="122"/>
      <c r="W419" s="106"/>
      <c r="Y419" s="122"/>
      <c r="AA419" s="122"/>
      <c r="AC419" s="106"/>
      <c r="AE419" s="122"/>
      <c r="AG419" s="122"/>
      <c r="AJ419" s="106"/>
    </row>
    <row r="420" spans="4:36" s="173" customFormat="1" ht="15">
      <c r="D420" s="106"/>
      <c r="E420" s="106"/>
      <c r="F420" s="106"/>
      <c r="G420" s="106"/>
      <c r="H420" s="106"/>
      <c r="I420" s="106"/>
      <c r="K420" s="106"/>
      <c r="M420" s="122"/>
      <c r="O420" s="122"/>
      <c r="Q420" s="106"/>
      <c r="S420" s="122"/>
      <c r="U420" s="122"/>
      <c r="W420" s="106"/>
      <c r="Y420" s="122"/>
      <c r="AA420" s="122"/>
      <c r="AC420" s="106"/>
      <c r="AE420" s="122"/>
      <c r="AG420" s="122"/>
      <c r="AJ420" s="106"/>
    </row>
    <row r="421" spans="4:36" s="173" customFormat="1" ht="15">
      <c r="D421" s="106"/>
      <c r="E421" s="106"/>
      <c r="F421" s="106"/>
      <c r="G421" s="106"/>
      <c r="H421" s="106"/>
      <c r="I421" s="106"/>
      <c r="K421" s="106"/>
      <c r="M421" s="122"/>
      <c r="O421" s="122"/>
      <c r="Q421" s="106"/>
      <c r="S421" s="122"/>
      <c r="U421" s="122"/>
      <c r="W421" s="106"/>
      <c r="Y421" s="122"/>
      <c r="AA421" s="122"/>
      <c r="AC421" s="106"/>
      <c r="AE421" s="122"/>
      <c r="AG421" s="122"/>
      <c r="AJ421" s="106"/>
    </row>
    <row r="422" spans="4:36" s="173" customFormat="1" ht="15">
      <c r="D422" s="106"/>
      <c r="E422" s="106"/>
      <c r="F422" s="106"/>
      <c r="G422" s="106"/>
      <c r="H422" s="106"/>
      <c r="I422" s="106"/>
      <c r="K422" s="106"/>
      <c r="M422" s="122"/>
      <c r="O422" s="122"/>
      <c r="Q422" s="106"/>
      <c r="S422" s="122"/>
      <c r="U422" s="122"/>
      <c r="W422" s="106"/>
      <c r="Y422" s="122"/>
      <c r="AA422" s="122"/>
      <c r="AC422" s="106"/>
      <c r="AE422" s="122"/>
      <c r="AG422" s="122"/>
      <c r="AJ422" s="106"/>
    </row>
    <row r="423" spans="4:36" s="173" customFormat="1" ht="15">
      <c r="D423" s="106"/>
      <c r="E423" s="106"/>
      <c r="F423" s="106"/>
      <c r="G423" s="106"/>
      <c r="H423" s="106"/>
      <c r="I423" s="106"/>
      <c r="K423" s="106"/>
      <c r="M423" s="122"/>
      <c r="O423" s="122"/>
      <c r="Q423" s="106"/>
      <c r="S423" s="122"/>
      <c r="U423" s="122"/>
      <c r="W423" s="106"/>
      <c r="Y423" s="122"/>
      <c r="AA423" s="122"/>
      <c r="AC423" s="106"/>
      <c r="AE423" s="122"/>
      <c r="AG423" s="122"/>
      <c r="AJ423" s="106"/>
    </row>
    <row r="424" spans="4:36" s="173" customFormat="1" ht="15">
      <c r="D424" s="106"/>
      <c r="E424" s="106"/>
      <c r="F424" s="106"/>
      <c r="G424" s="106"/>
      <c r="H424" s="106"/>
      <c r="I424" s="106"/>
      <c r="K424" s="106"/>
      <c r="M424" s="122"/>
      <c r="O424" s="122"/>
      <c r="Q424" s="106"/>
      <c r="S424" s="122"/>
      <c r="U424" s="122"/>
      <c r="W424" s="106"/>
      <c r="Y424" s="122"/>
      <c r="AA424" s="122"/>
      <c r="AC424" s="106"/>
      <c r="AE424" s="122"/>
      <c r="AG424" s="122"/>
      <c r="AJ424" s="106"/>
    </row>
    <row r="425" spans="4:36" s="173" customFormat="1" ht="15">
      <c r="D425" s="106"/>
      <c r="E425" s="106"/>
      <c r="F425" s="106"/>
      <c r="G425" s="106"/>
      <c r="H425" s="106"/>
      <c r="I425" s="106"/>
      <c r="K425" s="106"/>
      <c r="M425" s="122"/>
      <c r="O425" s="122"/>
      <c r="Q425" s="106"/>
      <c r="S425" s="122"/>
      <c r="U425" s="122"/>
      <c r="W425" s="106"/>
      <c r="Y425" s="122"/>
      <c r="AA425" s="122"/>
      <c r="AC425" s="106"/>
      <c r="AE425" s="122"/>
      <c r="AG425" s="122"/>
      <c r="AJ425" s="106"/>
    </row>
    <row r="426" spans="4:36" s="173" customFormat="1" ht="15">
      <c r="D426" s="106"/>
      <c r="E426" s="106"/>
      <c r="F426" s="106"/>
      <c r="G426" s="106"/>
      <c r="H426" s="106"/>
      <c r="I426" s="106"/>
      <c r="K426" s="106"/>
      <c r="M426" s="122"/>
      <c r="O426" s="122"/>
      <c r="Q426" s="106"/>
      <c r="S426" s="122"/>
      <c r="U426" s="122"/>
      <c r="W426" s="106"/>
      <c r="Y426" s="122"/>
      <c r="AA426" s="122"/>
      <c r="AC426" s="106"/>
      <c r="AE426" s="122"/>
      <c r="AG426" s="122"/>
      <c r="AJ426" s="106"/>
    </row>
    <row r="427" spans="4:36" s="173" customFormat="1" ht="15">
      <c r="D427" s="106"/>
      <c r="E427" s="106"/>
      <c r="F427" s="106"/>
      <c r="G427" s="106"/>
      <c r="H427" s="106"/>
      <c r="I427" s="106"/>
      <c r="K427" s="106"/>
      <c r="M427" s="122"/>
      <c r="O427" s="122"/>
      <c r="Q427" s="106"/>
      <c r="S427" s="122"/>
      <c r="U427" s="122"/>
      <c r="W427" s="106"/>
      <c r="Y427" s="122"/>
      <c r="AA427" s="122"/>
      <c r="AC427" s="106"/>
      <c r="AE427" s="122"/>
      <c r="AG427" s="122"/>
      <c r="AJ427" s="106"/>
    </row>
    <row r="428" spans="4:36" s="173" customFormat="1" ht="15">
      <c r="D428" s="106"/>
      <c r="E428" s="106"/>
      <c r="F428" s="106"/>
      <c r="G428" s="106"/>
      <c r="H428" s="106"/>
      <c r="I428" s="106"/>
      <c r="K428" s="106"/>
      <c r="M428" s="122"/>
      <c r="O428" s="122"/>
      <c r="Q428" s="106"/>
      <c r="S428" s="122"/>
      <c r="U428" s="122"/>
      <c r="W428" s="106"/>
      <c r="Y428" s="122"/>
      <c r="AA428" s="122"/>
      <c r="AC428" s="106"/>
      <c r="AE428" s="122"/>
      <c r="AG428" s="122"/>
      <c r="AJ428" s="106"/>
    </row>
    <row r="429" spans="4:36" s="173" customFormat="1" ht="15">
      <c r="D429" s="106"/>
      <c r="E429" s="106"/>
      <c r="F429" s="106"/>
      <c r="G429" s="106"/>
      <c r="H429" s="106"/>
      <c r="I429" s="106"/>
      <c r="K429" s="106"/>
      <c r="M429" s="122"/>
      <c r="O429" s="122"/>
      <c r="Q429" s="106"/>
      <c r="S429" s="122"/>
      <c r="U429" s="122"/>
      <c r="W429" s="106"/>
      <c r="Y429" s="122"/>
      <c r="AA429" s="122"/>
      <c r="AC429" s="106"/>
      <c r="AE429" s="122"/>
      <c r="AG429" s="122"/>
      <c r="AJ429" s="106"/>
    </row>
    <row r="430" spans="4:36" s="173" customFormat="1" ht="15">
      <c r="D430" s="106"/>
      <c r="E430" s="106"/>
      <c r="F430" s="106"/>
      <c r="G430" s="106"/>
      <c r="H430" s="106"/>
      <c r="I430" s="106"/>
      <c r="K430" s="106"/>
      <c r="M430" s="122"/>
      <c r="O430" s="122"/>
      <c r="Q430" s="106"/>
      <c r="S430" s="122"/>
      <c r="U430" s="122"/>
      <c r="W430" s="106"/>
      <c r="Y430" s="122"/>
      <c r="AA430" s="122"/>
      <c r="AC430" s="106"/>
      <c r="AE430" s="122"/>
      <c r="AG430" s="122"/>
      <c r="AJ430" s="106"/>
    </row>
    <row r="431" spans="4:36" s="173" customFormat="1" ht="15">
      <c r="D431" s="106"/>
      <c r="E431" s="106"/>
      <c r="F431" s="106"/>
      <c r="G431" s="106"/>
      <c r="H431" s="106"/>
      <c r="I431" s="106"/>
      <c r="K431" s="106"/>
      <c r="M431" s="122"/>
      <c r="O431" s="122"/>
      <c r="Q431" s="106"/>
      <c r="S431" s="122"/>
      <c r="U431" s="122"/>
      <c r="W431" s="106"/>
      <c r="Y431" s="122"/>
      <c r="AA431" s="122"/>
      <c r="AC431" s="106"/>
      <c r="AE431" s="122"/>
      <c r="AG431" s="122"/>
      <c r="AJ431" s="106"/>
    </row>
    <row r="432" spans="4:36" s="173" customFormat="1" ht="15">
      <c r="D432" s="106"/>
      <c r="E432" s="106"/>
      <c r="F432" s="106"/>
      <c r="G432" s="106"/>
      <c r="H432" s="106"/>
      <c r="I432" s="106"/>
      <c r="K432" s="106"/>
      <c r="M432" s="122"/>
      <c r="O432" s="122"/>
      <c r="Q432" s="106"/>
      <c r="S432" s="122"/>
      <c r="U432" s="122"/>
      <c r="W432" s="106"/>
      <c r="Y432" s="122"/>
      <c r="AA432" s="122"/>
      <c r="AC432" s="106"/>
      <c r="AE432" s="122"/>
      <c r="AG432" s="122"/>
      <c r="AJ432" s="106"/>
    </row>
    <row r="433" spans="4:36" s="173" customFormat="1" ht="15">
      <c r="D433" s="106"/>
      <c r="E433" s="106"/>
      <c r="F433" s="106"/>
      <c r="G433" s="106"/>
      <c r="H433" s="106"/>
      <c r="I433" s="106"/>
      <c r="K433" s="106"/>
      <c r="M433" s="122"/>
      <c r="O433" s="122"/>
      <c r="Q433" s="106"/>
      <c r="S433" s="122"/>
      <c r="U433" s="122"/>
      <c r="W433" s="106"/>
      <c r="Y433" s="122"/>
      <c r="AA433" s="122"/>
      <c r="AC433" s="106"/>
      <c r="AE433" s="122"/>
      <c r="AG433" s="122"/>
      <c r="AJ433" s="106"/>
    </row>
    <row r="434" spans="4:36" s="173" customFormat="1" ht="15">
      <c r="D434" s="106"/>
      <c r="E434" s="106"/>
      <c r="F434" s="106"/>
      <c r="G434" s="106"/>
      <c r="H434" s="106"/>
      <c r="I434" s="106"/>
      <c r="K434" s="106"/>
      <c r="M434" s="122"/>
      <c r="O434" s="122"/>
      <c r="Q434" s="106"/>
      <c r="S434" s="122"/>
      <c r="U434" s="122"/>
      <c r="W434" s="106"/>
      <c r="Y434" s="122"/>
      <c r="AA434" s="122"/>
      <c r="AC434" s="106"/>
      <c r="AE434" s="122"/>
      <c r="AG434" s="122"/>
      <c r="AJ434" s="106"/>
    </row>
    <row r="435" spans="4:36" s="173" customFormat="1" ht="15">
      <c r="D435" s="106"/>
      <c r="E435" s="106"/>
      <c r="F435" s="106"/>
      <c r="G435" s="106"/>
      <c r="H435" s="106"/>
      <c r="I435" s="106"/>
      <c r="K435" s="106"/>
      <c r="M435" s="122"/>
      <c r="O435" s="122"/>
      <c r="Q435" s="106"/>
      <c r="S435" s="122"/>
      <c r="U435" s="122"/>
      <c r="W435" s="106"/>
      <c r="Y435" s="122"/>
      <c r="AA435" s="122"/>
      <c r="AC435" s="106"/>
      <c r="AE435" s="122"/>
      <c r="AG435" s="122"/>
      <c r="AJ435" s="106"/>
    </row>
    <row r="436" spans="4:36" s="173" customFormat="1" ht="15">
      <c r="D436" s="106"/>
      <c r="E436" s="106"/>
      <c r="F436" s="106"/>
      <c r="G436" s="106"/>
      <c r="H436" s="106"/>
      <c r="I436" s="106"/>
      <c r="K436" s="106"/>
      <c r="M436" s="122"/>
      <c r="O436" s="122"/>
      <c r="Q436" s="106"/>
      <c r="S436" s="122"/>
      <c r="U436" s="122"/>
      <c r="W436" s="106"/>
      <c r="Y436" s="122"/>
      <c r="AA436" s="122"/>
      <c r="AC436" s="106"/>
      <c r="AE436" s="122"/>
      <c r="AG436" s="122"/>
      <c r="AJ436" s="106"/>
    </row>
    <row r="437" spans="4:36" s="173" customFormat="1" ht="15">
      <c r="D437" s="106"/>
      <c r="E437" s="106"/>
      <c r="F437" s="106"/>
      <c r="G437" s="106"/>
      <c r="H437" s="106"/>
      <c r="I437" s="106"/>
      <c r="K437" s="106"/>
      <c r="M437" s="122"/>
      <c r="O437" s="122"/>
      <c r="Q437" s="106"/>
      <c r="S437" s="122"/>
      <c r="U437" s="122"/>
      <c r="W437" s="106"/>
      <c r="Y437" s="122"/>
      <c r="AA437" s="122"/>
      <c r="AC437" s="106"/>
      <c r="AE437" s="122"/>
      <c r="AG437" s="122"/>
      <c r="AJ437" s="106"/>
    </row>
    <row r="438" spans="4:36" s="173" customFormat="1" ht="15">
      <c r="D438" s="106"/>
      <c r="E438" s="106"/>
      <c r="F438" s="106"/>
      <c r="G438" s="106"/>
      <c r="H438" s="106"/>
      <c r="I438" s="106"/>
      <c r="K438" s="106"/>
      <c r="M438" s="122"/>
      <c r="O438" s="122"/>
      <c r="Q438" s="106"/>
      <c r="S438" s="122"/>
      <c r="U438" s="122"/>
      <c r="W438" s="106"/>
      <c r="Y438" s="122"/>
      <c r="AA438" s="122"/>
      <c r="AC438" s="106"/>
      <c r="AE438" s="122"/>
      <c r="AG438" s="122"/>
      <c r="AJ438" s="106"/>
    </row>
    <row r="439" spans="4:36" s="173" customFormat="1" ht="15">
      <c r="D439" s="106"/>
      <c r="E439" s="106"/>
      <c r="F439" s="106"/>
      <c r="G439" s="106"/>
      <c r="H439" s="106"/>
      <c r="I439" s="106"/>
      <c r="K439" s="106"/>
      <c r="M439" s="122"/>
      <c r="O439" s="122"/>
      <c r="Q439" s="106"/>
      <c r="S439" s="122"/>
      <c r="U439" s="122"/>
      <c r="W439" s="106"/>
      <c r="Y439" s="122"/>
      <c r="AA439" s="122"/>
      <c r="AC439" s="106"/>
      <c r="AE439" s="122"/>
      <c r="AG439" s="122"/>
      <c r="AJ439" s="106"/>
    </row>
    <row r="440" spans="4:36" s="173" customFormat="1" ht="15">
      <c r="D440" s="106"/>
      <c r="E440" s="106"/>
      <c r="F440" s="106"/>
      <c r="G440" s="106"/>
      <c r="H440" s="106"/>
      <c r="I440" s="106"/>
      <c r="K440" s="106"/>
      <c r="M440" s="122"/>
      <c r="O440" s="122"/>
      <c r="Q440" s="106"/>
      <c r="S440" s="122"/>
      <c r="U440" s="122"/>
      <c r="W440" s="106"/>
      <c r="Y440" s="122"/>
      <c r="AA440" s="122"/>
      <c r="AC440" s="106"/>
      <c r="AE440" s="122"/>
      <c r="AG440" s="122"/>
      <c r="AJ440" s="106"/>
    </row>
    <row r="441" spans="4:36" s="173" customFormat="1" ht="15">
      <c r="D441" s="106"/>
      <c r="E441" s="106"/>
      <c r="F441" s="106"/>
      <c r="G441" s="106"/>
      <c r="H441" s="106"/>
      <c r="I441" s="106"/>
      <c r="K441" s="106"/>
      <c r="M441" s="122"/>
      <c r="O441" s="122"/>
      <c r="Q441" s="106"/>
      <c r="S441" s="122"/>
      <c r="U441" s="122"/>
      <c r="W441" s="106"/>
      <c r="Y441" s="122"/>
      <c r="AA441" s="122"/>
      <c r="AC441" s="106"/>
      <c r="AE441" s="122"/>
      <c r="AG441" s="122"/>
      <c r="AJ441" s="106"/>
    </row>
    <row r="442" spans="4:36" s="173" customFormat="1" ht="15">
      <c r="D442" s="106"/>
      <c r="E442" s="106"/>
      <c r="F442" s="106"/>
      <c r="G442" s="106"/>
      <c r="H442" s="106"/>
      <c r="I442" s="106"/>
      <c r="K442" s="106"/>
      <c r="M442" s="122"/>
      <c r="O442" s="122"/>
      <c r="Q442" s="106"/>
      <c r="S442" s="122"/>
      <c r="U442" s="122"/>
      <c r="W442" s="106"/>
      <c r="Y442" s="122"/>
      <c r="AA442" s="122"/>
      <c r="AC442" s="106"/>
      <c r="AE442" s="122"/>
      <c r="AG442" s="122"/>
      <c r="AJ442" s="106"/>
    </row>
    <row r="443" spans="4:36" s="173" customFormat="1" ht="15">
      <c r="D443" s="106"/>
      <c r="E443" s="106"/>
      <c r="F443" s="106"/>
      <c r="G443" s="106"/>
      <c r="H443" s="106"/>
      <c r="I443" s="106"/>
      <c r="K443" s="106"/>
      <c r="M443" s="122"/>
      <c r="O443" s="122"/>
      <c r="Q443" s="106"/>
      <c r="S443" s="122"/>
      <c r="U443" s="122"/>
      <c r="W443" s="106"/>
      <c r="Y443" s="122"/>
      <c r="AA443" s="122"/>
      <c r="AC443" s="106"/>
      <c r="AE443" s="122"/>
      <c r="AG443" s="122"/>
      <c r="AJ443" s="106"/>
    </row>
    <row r="444" spans="4:36" s="173" customFormat="1" ht="15">
      <c r="D444" s="106"/>
      <c r="E444" s="106"/>
      <c r="F444" s="106"/>
      <c r="G444" s="106"/>
      <c r="H444" s="106"/>
      <c r="I444" s="106"/>
      <c r="K444" s="106"/>
      <c r="M444" s="122"/>
      <c r="O444" s="122"/>
      <c r="Q444" s="106"/>
      <c r="S444" s="122"/>
      <c r="U444" s="122"/>
      <c r="W444" s="106"/>
      <c r="Y444" s="122"/>
      <c r="AA444" s="122"/>
      <c r="AC444" s="106"/>
      <c r="AE444" s="122"/>
      <c r="AG444" s="122"/>
      <c r="AJ444" s="106"/>
    </row>
    <row r="445" spans="4:36" s="173" customFormat="1" ht="15">
      <c r="D445" s="106"/>
      <c r="E445" s="106"/>
      <c r="F445" s="106"/>
      <c r="G445" s="106"/>
      <c r="H445" s="106"/>
      <c r="I445" s="106"/>
      <c r="K445" s="106"/>
      <c r="M445" s="122"/>
      <c r="O445" s="122"/>
      <c r="Q445" s="106"/>
      <c r="S445" s="122"/>
      <c r="U445" s="122"/>
      <c r="W445" s="106"/>
      <c r="Y445" s="122"/>
      <c r="AA445" s="122"/>
      <c r="AC445" s="106"/>
      <c r="AE445" s="122"/>
      <c r="AG445" s="122"/>
      <c r="AJ445" s="106"/>
    </row>
    <row r="446" spans="4:36" s="173" customFormat="1" ht="15">
      <c r="D446" s="106"/>
      <c r="E446" s="106"/>
      <c r="F446" s="106"/>
      <c r="G446" s="106"/>
      <c r="H446" s="106"/>
      <c r="I446" s="106"/>
      <c r="K446" s="106"/>
      <c r="M446" s="122"/>
      <c r="O446" s="122"/>
      <c r="Q446" s="106"/>
      <c r="S446" s="122"/>
      <c r="U446" s="122"/>
      <c r="W446" s="106"/>
      <c r="Y446" s="122"/>
      <c r="AA446" s="122"/>
      <c r="AC446" s="106"/>
      <c r="AE446" s="122"/>
      <c r="AG446" s="122"/>
      <c r="AJ446" s="106"/>
    </row>
    <row r="447" spans="4:36" s="173" customFormat="1" ht="15">
      <c r="D447" s="106"/>
      <c r="E447" s="106"/>
      <c r="F447" s="106"/>
      <c r="G447" s="106"/>
      <c r="H447" s="106"/>
      <c r="I447" s="106"/>
      <c r="K447" s="106"/>
      <c r="M447" s="122"/>
      <c r="O447" s="122"/>
      <c r="Q447" s="106"/>
      <c r="S447" s="122"/>
      <c r="U447" s="122"/>
      <c r="W447" s="106"/>
      <c r="Y447" s="122"/>
      <c r="AA447" s="122"/>
      <c r="AC447" s="106"/>
      <c r="AE447" s="122"/>
      <c r="AG447" s="122"/>
      <c r="AJ447" s="106"/>
    </row>
    <row r="448" spans="4:36" s="173" customFormat="1" ht="15">
      <c r="D448" s="106"/>
      <c r="E448" s="106"/>
      <c r="F448" s="106"/>
      <c r="G448" s="106"/>
      <c r="H448" s="106"/>
      <c r="I448" s="106"/>
      <c r="K448" s="106"/>
      <c r="M448" s="122"/>
      <c r="O448" s="122"/>
      <c r="Q448" s="106"/>
      <c r="S448" s="122"/>
      <c r="U448" s="122"/>
      <c r="W448" s="106"/>
      <c r="Y448" s="122"/>
      <c r="AA448" s="122"/>
      <c r="AC448" s="106"/>
      <c r="AE448" s="122"/>
      <c r="AG448" s="122"/>
      <c r="AJ448" s="106"/>
    </row>
    <row r="449" spans="4:36" s="173" customFormat="1" ht="15">
      <c r="D449" s="106"/>
      <c r="E449" s="106"/>
      <c r="F449" s="106"/>
      <c r="G449" s="106"/>
      <c r="H449" s="106"/>
      <c r="I449" s="106"/>
      <c r="K449" s="106"/>
      <c r="M449" s="122"/>
      <c r="O449" s="122"/>
      <c r="Q449" s="106"/>
      <c r="S449" s="122"/>
      <c r="U449" s="122"/>
      <c r="W449" s="106"/>
      <c r="Y449" s="122"/>
      <c r="AA449" s="122"/>
      <c r="AC449" s="106"/>
      <c r="AE449" s="122"/>
      <c r="AG449" s="122"/>
      <c r="AJ449" s="106"/>
    </row>
    <row r="450" spans="4:36" s="173" customFormat="1" ht="15">
      <c r="D450" s="106"/>
      <c r="E450" s="106"/>
      <c r="F450" s="106"/>
      <c r="G450" s="106"/>
      <c r="H450" s="106"/>
      <c r="I450" s="106"/>
      <c r="K450" s="106"/>
      <c r="M450" s="122"/>
      <c r="O450" s="122"/>
      <c r="Q450" s="106"/>
      <c r="S450" s="122"/>
      <c r="U450" s="122"/>
      <c r="W450" s="106"/>
      <c r="Y450" s="122"/>
      <c r="AA450" s="122"/>
      <c r="AC450" s="106"/>
      <c r="AE450" s="122"/>
      <c r="AG450" s="122"/>
      <c r="AJ450" s="106"/>
    </row>
    <row r="451" spans="4:36" s="173" customFormat="1" ht="15">
      <c r="D451" s="106"/>
      <c r="E451" s="106"/>
      <c r="F451" s="106"/>
      <c r="G451" s="106"/>
      <c r="H451" s="106"/>
      <c r="I451" s="106"/>
      <c r="K451" s="106"/>
      <c r="M451" s="122"/>
      <c r="O451" s="122"/>
      <c r="Q451" s="106"/>
      <c r="S451" s="122"/>
      <c r="U451" s="122"/>
      <c r="W451" s="106"/>
      <c r="Y451" s="122"/>
      <c r="AA451" s="122"/>
      <c r="AC451" s="106"/>
      <c r="AE451" s="122"/>
      <c r="AG451" s="122"/>
      <c r="AJ451" s="106"/>
    </row>
    <row r="452" spans="4:36" s="173" customFormat="1" ht="15">
      <c r="D452" s="106"/>
      <c r="E452" s="106"/>
      <c r="F452" s="106"/>
      <c r="G452" s="106"/>
      <c r="H452" s="106"/>
      <c r="I452" s="106"/>
      <c r="K452" s="106"/>
      <c r="M452" s="122"/>
      <c r="O452" s="122"/>
      <c r="Q452" s="106"/>
      <c r="S452" s="122"/>
      <c r="U452" s="122"/>
      <c r="W452" s="106"/>
      <c r="Y452" s="122"/>
      <c r="AA452" s="122"/>
      <c r="AC452" s="106"/>
      <c r="AE452" s="122"/>
      <c r="AG452" s="122"/>
      <c r="AJ452" s="106"/>
    </row>
    <row r="453" spans="4:36" s="173" customFormat="1" ht="15">
      <c r="D453" s="106"/>
      <c r="E453" s="106"/>
      <c r="F453" s="106"/>
      <c r="G453" s="106"/>
      <c r="H453" s="106"/>
      <c r="I453" s="106"/>
      <c r="K453" s="106"/>
      <c r="M453" s="122"/>
      <c r="O453" s="122"/>
      <c r="Q453" s="106"/>
      <c r="S453" s="122"/>
      <c r="U453" s="122"/>
      <c r="W453" s="106"/>
      <c r="Y453" s="122"/>
      <c r="AA453" s="122"/>
      <c r="AC453" s="106"/>
      <c r="AE453" s="122"/>
      <c r="AG453" s="122"/>
      <c r="AJ453" s="106"/>
    </row>
    <row r="454" spans="4:36" s="173" customFormat="1" ht="15">
      <c r="D454" s="106"/>
      <c r="E454" s="106"/>
      <c r="F454" s="106"/>
      <c r="G454" s="106"/>
      <c r="H454" s="106"/>
      <c r="I454" s="106"/>
      <c r="K454" s="106"/>
      <c r="M454" s="122"/>
      <c r="O454" s="122"/>
      <c r="Q454" s="106"/>
      <c r="S454" s="122"/>
      <c r="U454" s="122"/>
      <c r="W454" s="106"/>
      <c r="Y454" s="122"/>
      <c r="AA454" s="122"/>
      <c r="AC454" s="106"/>
      <c r="AE454" s="122"/>
      <c r="AG454" s="122"/>
      <c r="AJ454" s="106"/>
    </row>
    <row r="455" spans="4:36" s="173" customFormat="1" ht="15">
      <c r="D455" s="106"/>
      <c r="E455" s="106"/>
      <c r="F455" s="106"/>
      <c r="G455" s="106"/>
      <c r="H455" s="106"/>
      <c r="I455" s="106"/>
      <c r="K455" s="106"/>
      <c r="M455" s="122"/>
      <c r="O455" s="122"/>
      <c r="Q455" s="106"/>
      <c r="S455" s="122"/>
      <c r="U455" s="122"/>
      <c r="W455" s="106"/>
      <c r="Y455" s="122"/>
      <c r="AA455" s="122"/>
      <c r="AC455" s="106"/>
      <c r="AE455" s="122"/>
      <c r="AG455" s="122"/>
      <c r="AJ455" s="106"/>
    </row>
    <row r="456" spans="4:36" s="173" customFormat="1" ht="15">
      <c r="D456" s="106"/>
      <c r="E456" s="106"/>
      <c r="F456" s="106"/>
      <c r="G456" s="106"/>
      <c r="H456" s="106"/>
      <c r="I456" s="106"/>
      <c r="K456" s="106"/>
      <c r="M456" s="122"/>
      <c r="O456" s="122"/>
      <c r="Q456" s="106"/>
      <c r="S456" s="122"/>
      <c r="U456" s="122"/>
      <c r="W456" s="106"/>
      <c r="Y456" s="122"/>
      <c r="AA456" s="122"/>
      <c r="AC456" s="106"/>
      <c r="AE456" s="122"/>
      <c r="AG456" s="122"/>
      <c r="AJ456" s="106"/>
    </row>
    <row r="457" spans="4:36" s="173" customFormat="1" ht="15">
      <c r="D457" s="106"/>
      <c r="E457" s="106"/>
      <c r="F457" s="106"/>
      <c r="G457" s="106"/>
      <c r="H457" s="106"/>
      <c r="I457" s="106"/>
      <c r="K457" s="106"/>
      <c r="M457" s="122"/>
      <c r="O457" s="122"/>
      <c r="Q457" s="106"/>
      <c r="S457" s="122"/>
      <c r="U457" s="122"/>
      <c r="W457" s="106"/>
      <c r="Y457" s="122"/>
      <c r="AA457" s="122"/>
      <c r="AC457" s="106"/>
      <c r="AE457" s="122"/>
      <c r="AG457" s="122"/>
      <c r="AJ457" s="106"/>
    </row>
    <row r="458" spans="4:36" s="173" customFormat="1" ht="15">
      <c r="D458" s="106"/>
      <c r="E458" s="106"/>
      <c r="F458" s="106"/>
      <c r="G458" s="106"/>
      <c r="H458" s="106"/>
      <c r="I458" s="106"/>
      <c r="K458" s="106"/>
      <c r="M458" s="122"/>
      <c r="O458" s="122"/>
      <c r="Q458" s="106"/>
      <c r="S458" s="122"/>
      <c r="U458" s="122"/>
      <c r="W458" s="106"/>
      <c r="Y458" s="122"/>
      <c r="AA458" s="122"/>
      <c r="AC458" s="106"/>
      <c r="AE458" s="122"/>
      <c r="AG458" s="122"/>
      <c r="AJ458" s="106"/>
    </row>
    <row r="459" spans="4:36" s="173" customFormat="1" ht="15">
      <c r="D459" s="106"/>
      <c r="E459" s="106"/>
      <c r="F459" s="106"/>
      <c r="G459" s="106"/>
      <c r="H459" s="106"/>
      <c r="I459" s="106"/>
      <c r="K459" s="106"/>
      <c r="M459" s="122"/>
      <c r="O459" s="122"/>
      <c r="Q459" s="106"/>
      <c r="S459" s="122"/>
      <c r="U459" s="122"/>
      <c r="W459" s="106"/>
      <c r="Y459" s="122"/>
      <c r="AA459" s="122"/>
      <c r="AC459" s="106"/>
      <c r="AE459" s="122"/>
      <c r="AG459" s="122"/>
      <c r="AJ459" s="106"/>
    </row>
    <row r="460" spans="4:36" s="173" customFormat="1" ht="15">
      <c r="D460" s="106"/>
      <c r="E460" s="106"/>
      <c r="F460" s="106"/>
      <c r="G460" s="106"/>
      <c r="H460" s="106"/>
      <c r="I460" s="106"/>
      <c r="K460" s="106"/>
      <c r="M460" s="122"/>
      <c r="O460" s="122"/>
      <c r="Q460" s="106"/>
      <c r="S460" s="122"/>
      <c r="U460" s="122"/>
      <c r="W460" s="106"/>
      <c r="Y460" s="122"/>
      <c r="AA460" s="122"/>
      <c r="AC460" s="106"/>
      <c r="AE460" s="122"/>
      <c r="AG460" s="122"/>
      <c r="AJ460" s="106"/>
    </row>
    <row r="461" spans="4:36" s="173" customFormat="1" ht="15">
      <c r="D461" s="106"/>
      <c r="E461" s="106"/>
      <c r="F461" s="106"/>
      <c r="G461" s="106"/>
      <c r="H461" s="106"/>
      <c r="I461" s="106"/>
      <c r="K461" s="106"/>
      <c r="M461" s="122"/>
      <c r="O461" s="122"/>
      <c r="Q461" s="106"/>
      <c r="S461" s="122"/>
      <c r="U461" s="122"/>
      <c r="W461" s="106"/>
      <c r="Y461" s="122"/>
      <c r="AA461" s="122"/>
      <c r="AC461" s="106"/>
      <c r="AE461" s="122"/>
      <c r="AG461" s="122"/>
      <c r="AJ461" s="106"/>
    </row>
    <row r="462" spans="4:36" s="173" customFormat="1" ht="15">
      <c r="D462" s="106"/>
      <c r="E462" s="106"/>
      <c r="F462" s="106"/>
      <c r="G462" s="106"/>
      <c r="H462" s="106"/>
      <c r="I462" s="106"/>
      <c r="K462" s="106"/>
      <c r="M462" s="122"/>
      <c r="O462" s="122"/>
      <c r="Q462" s="106"/>
      <c r="S462" s="122"/>
      <c r="U462" s="122"/>
      <c r="W462" s="106"/>
      <c r="Y462" s="122"/>
      <c r="AA462" s="122"/>
      <c r="AC462" s="106"/>
      <c r="AE462" s="122"/>
      <c r="AG462" s="122"/>
      <c r="AJ462" s="106"/>
    </row>
    <row r="463" spans="4:36" s="173" customFormat="1" ht="15">
      <c r="D463" s="106"/>
      <c r="E463" s="106"/>
      <c r="F463" s="106"/>
      <c r="G463" s="106"/>
      <c r="H463" s="106"/>
      <c r="I463" s="106"/>
      <c r="K463" s="106"/>
      <c r="M463" s="122"/>
      <c r="O463" s="122"/>
      <c r="Q463" s="106"/>
      <c r="S463" s="122"/>
      <c r="U463" s="122"/>
      <c r="W463" s="106"/>
      <c r="Y463" s="122"/>
      <c r="AA463" s="122"/>
      <c r="AC463" s="106"/>
      <c r="AE463" s="122"/>
      <c r="AG463" s="122"/>
      <c r="AJ463" s="106"/>
    </row>
    <row r="464" spans="4:36" s="173" customFormat="1" ht="15">
      <c r="D464" s="106"/>
      <c r="E464" s="106"/>
      <c r="F464" s="106"/>
      <c r="G464" s="106"/>
      <c r="H464" s="106"/>
      <c r="I464" s="106"/>
      <c r="K464" s="106"/>
      <c r="M464" s="122"/>
      <c r="O464" s="122"/>
      <c r="Q464" s="106"/>
      <c r="S464" s="122"/>
      <c r="U464" s="122"/>
      <c r="W464" s="106"/>
      <c r="Y464" s="122"/>
      <c r="AA464" s="122"/>
      <c r="AC464" s="106"/>
      <c r="AE464" s="122"/>
      <c r="AG464" s="122"/>
      <c r="AJ464" s="106"/>
    </row>
    <row r="465" spans="1:36" s="173" customFormat="1" ht="15">
      <c r="D465" s="106"/>
      <c r="E465" s="106"/>
      <c r="F465" s="106"/>
      <c r="G465" s="106"/>
      <c r="H465" s="106"/>
      <c r="I465" s="106"/>
      <c r="K465" s="106"/>
      <c r="M465" s="122"/>
      <c r="O465" s="122"/>
      <c r="Q465" s="106"/>
      <c r="S465" s="122"/>
      <c r="U465" s="122"/>
      <c r="W465" s="106"/>
      <c r="Y465" s="122"/>
      <c r="AA465" s="122"/>
      <c r="AC465" s="106"/>
      <c r="AE465" s="122"/>
      <c r="AG465" s="122"/>
      <c r="AJ465" s="106"/>
    </row>
    <row r="466" spans="1:36" s="173" customFormat="1" ht="15">
      <c r="D466" s="106"/>
      <c r="E466" s="106"/>
      <c r="F466" s="106"/>
      <c r="G466" s="106"/>
      <c r="H466" s="106"/>
      <c r="I466" s="106"/>
      <c r="K466" s="106"/>
      <c r="M466" s="122"/>
      <c r="O466" s="122"/>
      <c r="Q466" s="106"/>
      <c r="S466" s="122"/>
      <c r="U466" s="122"/>
      <c r="W466" s="106"/>
      <c r="Y466" s="122"/>
      <c r="AA466" s="122"/>
      <c r="AC466" s="106"/>
      <c r="AE466" s="122"/>
      <c r="AG466" s="122"/>
      <c r="AJ466" s="106"/>
    </row>
    <row r="467" spans="1:36" s="173" customFormat="1" ht="15">
      <c r="D467" s="106"/>
      <c r="E467" s="106"/>
      <c r="F467" s="106"/>
      <c r="G467" s="106"/>
      <c r="H467" s="106"/>
      <c r="I467" s="106"/>
      <c r="K467" s="106"/>
      <c r="M467" s="122"/>
      <c r="O467" s="122"/>
      <c r="Q467" s="106"/>
      <c r="S467" s="122"/>
      <c r="U467" s="122"/>
      <c r="W467" s="106"/>
      <c r="Y467" s="122"/>
      <c r="AA467" s="122"/>
      <c r="AC467" s="106"/>
      <c r="AE467" s="122"/>
      <c r="AG467" s="122"/>
      <c r="AJ467" s="106"/>
    </row>
    <row r="468" spans="1:36" s="173" customFormat="1" ht="15">
      <c r="D468" s="106"/>
      <c r="E468" s="106"/>
      <c r="F468" s="106"/>
      <c r="G468" s="106"/>
      <c r="H468" s="106"/>
      <c r="I468" s="106"/>
      <c r="K468" s="106"/>
      <c r="M468" s="122"/>
      <c r="O468" s="122"/>
      <c r="Q468" s="106"/>
      <c r="S468" s="122"/>
      <c r="U468" s="122"/>
      <c r="W468" s="106"/>
      <c r="Y468" s="122"/>
      <c r="AA468" s="122"/>
      <c r="AC468" s="106"/>
      <c r="AE468" s="122"/>
      <c r="AG468" s="122"/>
      <c r="AJ468" s="106"/>
    </row>
    <row r="469" spans="1:36" s="173" customFormat="1">
      <c r="A469" s="106"/>
      <c r="C469" s="106"/>
      <c r="D469" s="106"/>
      <c r="E469" s="106"/>
      <c r="F469" s="106"/>
      <c r="G469" s="106"/>
      <c r="H469" s="106"/>
      <c r="I469" s="106"/>
      <c r="K469" s="106"/>
      <c r="M469" s="106"/>
      <c r="O469" s="106"/>
      <c r="Q469" s="106"/>
      <c r="S469" s="106"/>
      <c r="U469" s="106"/>
      <c r="W469" s="106"/>
      <c r="Y469" s="106"/>
      <c r="AA469" s="106"/>
      <c r="AC469" s="106"/>
      <c r="AE469" s="106"/>
      <c r="AG469" s="106"/>
      <c r="AI469" s="106"/>
      <c r="AJ469" s="106"/>
    </row>
    <row r="470" spans="1:36" s="173" customFormat="1">
      <c r="A470" s="106"/>
      <c r="C470" s="106"/>
      <c r="D470" s="106"/>
      <c r="E470" s="106"/>
      <c r="F470" s="106"/>
      <c r="G470" s="106"/>
      <c r="H470" s="106"/>
      <c r="I470" s="106"/>
      <c r="K470" s="106"/>
      <c r="M470" s="106"/>
      <c r="O470" s="106"/>
      <c r="Q470" s="106"/>
      <c r="S470" s="106"/>
      <c r="U470" s="106"/>
      <c r="W470" s="106"/>
      <c r="Y470" s="106"/>
      <c r="AA470" s="106"/>
      <c r="AC470" s="106"/>
      <c r="AE470" s="106"/>
      <c r="AG470" s="106"/>
      <c r="AI470" s="106"/>
      <c r="AJ470" s="106"/>
    </row>
    <row r="471" spans="1:36" s="173" customFormat="1">
      <c r="A471" s="106"/>
      <c r="C471" s="106"/>
      <c r="D471" s="106"/>
      <c r="E471" s="106"/>
      <c r="F471" s="106"/>
      <c r="G471" s="106"/>
      <c r="H471" s="106"/>
      <c r="I471" s="106"/>
      <c r="K471" s="106"/>
      <c r="M471" s="106"/>
      <c r="O471" s="106"/>
      <c r="Q471" s="106"/>
      <c r="S471" s="106"/>
      <c r="U471" s="106"/>
      <c r="W471" s="106"/>
      <c r="Y471" s="106"/>
      <c r="AA471" s="106"/>
      <c r="AC471" s="106"/>
      <c r="AE471" s="106"/>
      <c r="AG471" s="106"/>
      <c r="AI471" s="106"/>
      <c r="AJ471" s="106"/>
    </row>
    <row r="472" spans="1:36" s="173" customFormat="1">
      <c r="A472" s="106"/>
      <c r="C472" s="106"/>
      <c r="D472" s="106"/>
      <c r="E472" s="106"/>
      <c r="F472" s="106"/>
      <c r="G472" s="106"/>
      <c r="H472" s="106"/>
      <c r="I472" s="106"/>
      <c r="K472" s="106"/>
      <c r="M472" s="106"/>
      <c r="O472" s="106"/>
      <c r="Q472" s="106"/>
      <c r="S472" s="106"/>
      <c r="U472" s="106"/>
      <c r="W472" s="106"/>
      <c r="Y472" s="106"/>
      <c r="AA472" s="106"/>
      <c r="AC472" s="106"/>
      <c r="AE472" s="106"/>
      <c r="AG472" s="106"/>
      <c r="AI472" s="106"/>
      <c r="AJ472" s="106"/>
    </row>
    <row r="473" spans="1:36" s="173" customFormat="1">
      <c r="A473" s="106"/>
      <c r="C473" s="106"/>
      <c r="D473" s="106"/>
      <c r="E473" s="106"/>
      <c r="F473" s="106"/>
      <c r="G473" s="106"/>
      <c r="H473" s="106"/>
      <c r="I473" s="106"/>
      <c r="K473" s="106"/>
      <c r="M473" s="106"/>
      <c r="O473" s="106"/>
      <c r="Q473" s="106"/>
      <c r="S473" s="106"/>
      <c r="U473" s="106"/>
      <c r="W473" s="106"/>
      <c r="Y473" s="106"/>
      <c r="AA473" s="106"/>
      <c r="AC473" s="106"/>
      <c r="AE473" s="106"/>
      <c r="AG473" s="106"/>
      <c r="AI473" s="106"/>
      <c r="AJ473" s="106"/>
    </row>
    <row r="474" spans="1:36" s="173" customFormat="1">
      <c r="A474" s="106"/>
      <c r="C474" s="106"/>
      <c r="D474" s="106"/>
      <c r="E474" s="106"/>
      <c r="F474" s="106"/>
      <c r="G474" s="106"/>
      <c r="H474" s="106"/>
      <c r="I474" s="106"/>
      <c r="K474" s="106"/>
      <c r="M474" s="106"/>
      <c r="O474" s="106"/>
      <c r="Q474" s="106"/>
      <c r="S474" s="106"/>
      <c r="U474" s="106"/>
      <c r="W474" s="106"/>
      <c r="Y474" s="106"/>
      <c r="AA474" s="106"/>
      <c r="AC474" s="106"/>
      <c r="AE474" s="106"/>
      <c r="AG474" s="106"/>
      <c r="AI474" s="106"/>
      <c r="AJ474" s="106"/>
    </row>
    <row r="475" spans="1:36" s="173" customFormat="1">
      <c r="A475" s="106"/>
      <c r="C475" s="106"/>
      <c r="D475" s="106"/>
      <c r="E475" s="106"/>
      <c r="F475" s="106"/>
      <c r="G475" s="106"/>
      <c r="H475" s="106"/>
      <c r="I475" s="106"/>
      <c r="K475" s="106"/>
      <c r="M475" s="106"/>
      <c r="O475" s="106"/>
      <c r="Q475" s="106"/>
      <c r="S475" s="106"/>
      <c r="U475" s="106"/>
      <c r="W475" s="106"/>
      <c r="Y475" s="106"/>
      <c r="AA475" s="106"/>
      <c r="AC475" s="106"/>
      <c r="AE475" s="106"/>
      <c r="AG475" s="106"/>
      <c r="AI475" s="106"/>
      <c r="AJ475" s="106"/>
    </row>
    <row r="476" spans="1:36" s="173" customFormat="1">
      <c r="A476" s="106"/>
      <c r="C476" s="106"/>
      <c r="D476" s="106"/>
      <c r="E476" s="106"/>
      <c r="F476" s="106"/>
      <c r="G476" s="106"/>
      <c r="H476" s="106"/>
      <c r="I476" s="106"/>
      <c r="K476" s="106"/>
      <c r="M476" s="106"/>
      <c r="O476" s="106"/>
      <c r="Q476" s="106"/>
      <c r="S476" s="106"/>
      <c r="U476" s="106"/>
      <c r="W476" s="106"/>
      <c r="Y476" s="106"/>
      <c r="AA476" s="106"/>
      <c r="AC476" s="106"/>
      <c r="AE476" s="106"/>
      <c r="AG476" s="106"/>
      <c r="AI476" s="106"/>
      <c r="AJ476" s="106"/>
    </row>
    <row r="477" spans="1:36" s="173" customFormat="1">
      <c r="A477" s="106"/>
      <c r="C477" s="106"/>
      <c r="D477" s="106"/>
      <c r="E477" s="106"/>
      <c r="F477" s="106"/>
      <c r="G477" s="106"/>
      <c r="H477" s="106"/>
      <c r="I477" s="106"/>
      <c r="K477" s="106"/>
      <c r="M477" s="106"/>
      <c r="O477" s="106"/>
      <c r="Q477" s="106"/>
      <c r="S477" s="106"/>
      <c r="U477" s="106"/>
      <c r="W477" s="106"/>
      <c r="Y477" s="106"/>
      <c r="AA477" s="106"/>
      <c r="AC477" s="106"/>
      <c r="AE477" s="106"/>
      <c r="AG477" s="106"/>
      <c r="AI477" s="106"/>
      <c r="AJ477" s="106"/>
    </row>
    <row r="478" spans="1:36" s="173" customFormat="1">
      <c r="A478" s="106"/>
      <c r="C478" s="106"/>
      <c r="D478" s="106"/>
      <c r="E478" s="106"/>
      <c r="F478" s="106"/>
      <c r="G478" s="106"/>
      <c r="H478" s="106"/>
      <c r="I478" s="106"/>
      <c r="K478" s="106"/>
      <c r="M478" s="106"/>
      <c r="O478" s="106"/>
      <c r="Q478" s="106"/>
      <c r="S478" s="106"/>
      <c r="U478" s="106"/>
      <c r="W478" s="106"/>
      <c r="Y478" s="106"/>
      <c r="AA478" s="106"/>
      <c r="AC478" s="106"/>
      <c r="AE478" s="106"/>
      <c r="AG478" s="106"/>
      <c r="AI478" s="106"/>
      <c r="AJ478" s="106"/>
    </row>
    <row r="479" spans="1:36" s="173" customFormat="1">
      <c r="A479" s="106"/>
      <c r="C479" s="106"/>
      <c r="D479" s="106"/>
      <c r="E479" s="106"/>
      <c r="F479" s="106"/>
      <c r="G479" s="106"/>
      <c r="H479" s="106"/>
      <c r="I479" s="106"/>
      <c r="K479" s="106"/>
      <c r="M479" s="106"/>
      <c r="O479" s="106"/>
      <c r="Q479" s="106"/>
      <c r="S479" s="106"/>
      <c r="U479" s="106"/>
      <c r="W479" s="106"/>
      <c r="Y479" s="106"/>
      <c r="AA479" s="106"/>
      <c r="AC479" s="106"/>
      <c r="AE479" s="106"/>
      <c r="AG479" s="106"/>
      <c r="AI479" s="106"/>
      <c r="AJ479" s="106"/>
    </row>
    <row r="480" spans="1:36" s="173" customFormat="1">
      <c r="A480" s="106"/>
      <c r="C480" s="106"/>
      <c r="D480" s="106"/>
      <c r="E480" s="106"/>
      <c r="F480" s="106"/>
      <c r="G480" s="106"/>
      <c r="H480" s="106"/>
      <c r="I480" s="106"/>
      <c r="K480" s="106"/>
      <c r="M480" s="106"/>
      <c r="O480" s="106"/>
      <c r="Q480" s="106"/>
      <c r="S480" s="106"/>
      <c r="U480" s="106"/>
      <c r="W480" s="106"/>
      <c r="Y480" s="106"/>
      <c r="AA480" s="106"/>
      <c r="AC480" s="106"/>
      <c r="AE480" s="106"/>
      <c r="AG480" s="106"/>
      <c r="AI480" s="106"/>
      <c r="AJ480" s="106"/>
    </row>
    <row r="481" spans="1:36" s="173" customFormat="1">
      <c r="A481" s="106"/>
      <c r="C481" s="106"/>
      <c r="D481" s="106"/>
      <c r="E481" s="106"/>
      <c r="F481" s="106"/>
      <c r="G481" s="106"/>
      <c r="H481" s="106"/>
      <c r="I481" s="106"/>
      <c r="K481" s="106"/>
      <c r="M481" s="106"/>
      <c r="O481" s="106"/>
      <c r="Q481" s="106"/>
      <c r="S481" s="106"/>
      <c r="U481" s="106"/>
      <c r="W481" s="106"/>
      <c r="Y481" s="106"/>
      <c r="AA481" s="106"/>
      <c r="AC481" s="106"/>
      <c r="AE481" s="106"/>
      <c r="AG481" s="106"/>
      <c r="AI481" s="106"/>
      <c r="AJ481" s="106"/>
    </row>
    <row r="482" spans="1:36" s="173" customFormat="1">
      <c r="A482" s="106"/>
      <c r="C482" s="106"/>
      <c r="D482" s="106"/>
      <c r="E482" s="106"/>
      <c r="F482" s="106"/>
      <c r="G482" s="106"/>
      <c r="H482" s="106"/>
      <c r="I482" s="106"/>
      <c r="K482" s="106"/>
      <c r="M482" s="106"/>
      <c r="O482" s="106"/>
      <c r="Q482" s="106"/>
      <c r="S482" s="106"/>
      <c r="U482" s="106"/>
      <c r="W482" s="106"/>
      <c r="Y482" s="106"/>
      <c r="AA482" s="106"/>
      <c r="AC482" s="106"/>
      <c r="AE482" s="106"/>
      <c r="AG482" s="106"/>
      <c r="AI482" s="106"/>
      <c r="AJ482" s="106"/>
    </row>
    <row r="483" spans="1:36" s="173" customFormat="1">
      <c r="A483" s="106"/>
      <c r="C483" s="106"/>
      <c r="D483" s="106"/>
      <c r="E483" s="106"/>
      <c r="F483" s="106"/>
      <c r="G483" s="106"/>
      <c r="H483" s="106"/>
      <c r="I483" s="106"/>
      <c r="K483" s="106"/>
      <c r="M483" s="106"/>
      <c r="O483" s="106"/>
      <c r="Q483" s="106"/>
      <c r="S483" s="106"/>
      <c r="U483" s="106"/>
      <c r="W483" s="106"/>
      <c r="Y483" s="106"/>
      <c r="AA483" s="106"/>
      <c r="AC483" s="106"/>
      <c r="AE483" s="106"/>
      <c r="AG483" s="106"/>
      <c r="AI483" s="106"/>
      <c r="AJ483" s="106"/>
    </row>
    <row r="484" spans="1:36">
      <c r="B484" s="173"/>
    </row>
    <row r="485" spans="1:36">
      <c r="B485" s="173"/>
    </row>
    <row r="486" spans="1:36">
      <c r="B486" s="173"/>
    </row>
    <row r="487" spans="1:36">
      <c r="B487" s="173"/>
    </row>
    <row r="488" spans="1:36">
      <c r="B488" s="173"/>
    </row>
    <row r="489" spans="1:36">
      <c r="B489" s="173"/>
    </row>
    <row r="490" spans="1:36">
      <c r="B490" s="173"/>
    </row>
    <row r="491" spans="1:36">
      <c r="B491" s="173"/>
    </row>
    <row r="492" spans="1:36">
      <c r="B492" s="173"/>
    </row>
    <row r="493" spans="1:36">
      <c r="B493" s="173"/>
    </row>
    <row r="494" spans="1:36">
      <c r="B494" s="173"/>
    </row>
    <row r="495" spans="1:36">
      <c r="B495" s="173"/>
    </row>
    <row r="496" spans="1:36">
      <c r="B496" s="173"/>
    </row>
    <row r="497" spans="2:2">
      <c r="B497" s="173"/>
    </row>
    <row r="498" spans="2:2">
      <c r="B498" s="173"/>
    </row>
    <row r="499" spans="2:2">
      <c r="B499" s="173"/>
    </row>
    <row r="500" spans="2:2">
      <c r="B500" s="173"/>
    </row>
    <row r="501" spans="2:2">
      <c r="B501" s="173"/>
    </row>
    <row r="502" spans="2:2">
      <c r="B502" s="173"/>
    </row>
    <row r="503" spans="2:2">
      <c r="B503" s="173"/>
    </row>
  </sheetData>
  <pageMargins left="0.25" right="0.25" top="0.27" bottom="0.4" header="0.18" footer="0.25"/>
  <pageSetup scale="48" fitToHeight="3" orientation="landscape" errors="blank" horizontalDpi="4294967292" r:id="rId1"/>
  <headerFooter alignWithMargins="0">
    <oddFooter>&amp;L&amp;F - &amp;A&amp;CPrinted &amp;D - &amp;T&amp;RPage &amp;P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E41"/>
  <sheetViews>
    <sheetView showGridLines="0" view="pageBreakPreview" topLeftCell="B15" zoomScaleNormal="100" zoomScaleSheetLayoutView="100" workbookViewId="0">
      <selection activeCell="G43" sqref="G43"/>
    </sheetView>
  </sheetViews>
  <sheetFormatPr defaultRowHeight="15" outlineLevelRow="1" outlineLevelCol="1"/>
  <cols>
    <col min="1" max="1" width="27.5703125" style="354" hidden="1" customWidth="1" outlineLevel="1"/>
    <col min="2" max="2" width="32.28515625" style="354" customWidth="1" collapsed="1"/>
    <col min="3" max="3" width="1.28515625" style="354" customWidth="1"/>
    <col min="4" max="4" width="16.7109375" style="354" customWidth="1"/>
    <col min="5" max="5" width="1.140625" style="354" customWidth="1"/>
    <col min="6" max="256" width="9.140625" style="354"/>
    <col min="257" max="257" width="0" style="354" hidden="1" customWidth="1"/>
    <col min="258" max="258" width="32.28515625" style="354" customWidth="1"/>
    <col min="259" max="259" width="1.140625" style="354" customWidth="1"/>
    <col min="260" max="260" width="16.7109375" style="354" customWidth="1"/>
    <col min="261" max="261" width="0.7109375" style="354" customWidth="1"/>
    <col min="262" max="512" width="9.140625" style="354"/>
    <col min="513" max="513" width="0" style="354" hidden="1" customWidth="1"/>
    <col min="514" max="514" width="32.28515625" style="354" customWidth="1"/>
    <col min="515" max="515" width="1.140625" style="354" customWidth="1"/>
    <col min="516" max="516" width="16.7109375" style="354" customWidth="1"/>
    <col min="517" max="517" width="0.7109375" style="354" customWidth="1"/>
    <col min="518" max="768" width="9.140625" style="354"/>
    <col min="769" max="769" width="0" style="354" hidden="1" customWidth="1"/>
    <col min="770" max="770" width="32.28515625" style="354" customWidth="1"/>
    <col min="771" max="771" width="1.140625" style="354" customWidth="1"/>
    <col min="772" max="772" width="16.7109375" style="354" customWidth="1"/>
    <col min="773" max="773" width="0.7109375" style="354" customWidth="1"/>
    <col min="774" max="1024" width="9.140625" style="354"/>
    <col min="1025" max="1025" width="0" style="354" hidden="1" customWidth="1"/>
    <col min="1026" max="1026" width="32.28515625" style="354" customWidth="1"/>
    <col min="1027" max="1027" width="1.140625" style="354" customWidth="1"/>
    <col min="1028" max="1028" width="16.7109375" style="354" customWidth="1"/>
    <col min="1029" max="1029" width="0.7109375" style="354" customWidth="1"/>
    <col min="1030" max="1280" width="9.140625" style="354"/>
    <col min="1281" max="1281" width="0" style="354" hidden="1" customWidth="1"/>
    <col min="1282" max="1282" width="32.28515625" style="354" customWidth="1"/>
    <col min="1283" max="1283" width="1.140625" style="354" customWidth="1"/>
    <col min="1284" max="1284" width="16.7109375" style="354" customWidth="1"/>
    <col min="1285" max="1285" width="0.7109375" style="354" customWidth="1"/>
    <col min="1286" max="1536" width="9.140625" style="354"/>
    <col min="1537" max="1537" width="0" style="354" hidden="1" customWidth="1"/>
    <col min="1538" max="1538" width="32.28515625" style="354" customWidth="1"/>
    <col min="1539" max="1539" width="1.140625" style="354" customWidth="1"/>
    <col min="1540" max="1540" width="16.7109375" style="354" customWidth="1"/>
    <col min="1541" max="1541" width="0.7109375" style="354" customWidth="1"/>
    <col min="1542" max="1792" width="9.140625" style="354"/>
    <col min="1793" max="1793" width="0" style="354" hidden="1" customWidth="1"/>
    <col min="1794" max="1794" width="32.28515625" style="354" customWidth="1"/>
    <col min="1795" max="1795" width="1.140625" style="354" customWidth="1"/>
    <col min="1796" max="1796" width="16.7109375" style="354" customWidth="1"/>
    <col min="1797" max="1797" width="0.7109375" style="354" customWidth="1"/>
    <col min="1798" max="2048" width="9.140625" style="354"/>
    <col min="2049" max="2049" width="0" style="354" hidden="1" customWidth="1"/>
    <col min="2050" max="2050" width="32.28515625" style="354" customWidth="1"/>
    <col min="2051" max="2051" width="1.140625" style="354" customWidth="1"/>
    <col min="2052" max="2052" width="16.7109375" style="354" customWidth="1"/>
    <col min="2053" max="2053" width="0.7109375" style="354" customWidth="1"/>
    <col min="2054" max="2304" width="9.140625" style="354"/>
    <col min="2305" max="2305" width="0" style="354" hidden="1" customWidth="1"/>
    <col min="2306" max="2306" width="32.28515625" style="354" customWidth="1"/>
    <col min="2307" max="2307" width="1.140625" style="354" customWidth="1"/>
    <col min="2308" max="2308" width="16.7109375" style="354" customWidth="1"/>
    <col min="2309" max="2309" width="0.7109375" style="354" customWidth="1"/>
    <col min="2310" max="2560" width="9.140625" style="354"/>
    <col min="2561" max="2561" width="0" style="354" hidden="1" customWidth="1"/>
    <col min="2562" max="2562" width="32.28515625" style="354" customWidth="1"/>
    <col min="2563" max="2563" width="1.140625" style="354" customWidth="1"/>
    <col min="2564" max="2564" width="16.7109375" style="354" customWidth="1"/>
    <col min="2565" max="2565" width="0.7109375" style="354" customWidth="1"/>
    <col min="2566" max="2816" width="9.140625" style="354"/>
    <col min="2817" max="2817" width="0" style="354" hidden="1" customWidth="1"/>
    <col min="2818" max="2818" width="32.28515625" style="354" customWidth="1"/>
    <col min="2819" max="2819" width="1.140625" style="354" customWidth="1"/>
    <col min="2820" max="2820" width="16.7109375" style="354" customWidth="1"/>
    <col min="2821" max="2821" width="0.7109375" style="354" customWidth="1"/>
    <col min="2822" max="3072" width="9.140625" style="354"/>
    <col min="3073" max="3073" width="0" style="354" hidden="1" customWidth="1"/>
    <col min="3074" max="3074" width="32.28515625" style="354" customWidth="1"/>
    <col min="3075" max="3075" width="1.140625" style="354" customWidth="1"/>
    <col min="3076" max="3076" width="16.7109375" style="354" customWidth="1"/>
    <col min="3077" max="3077" width="0.7109375" style="354" customWidth="1"/>
    <col min="3078" max="3328" width="9.140625" style="354"/>
    <col min="3329" max="3329" width="0" style="354" hidden="1" customWidth="1"/>
    <col min="3330" max="3330" width="32.28515625" style="354" customWidth="1"/>
    <col min="3331" max="3331" width="1.140625" style="354" customWidth="1"/>
    <col min="3332" max="3332" width="16.7109375" style="354" customWidth="1"/>
    <col min="3333" max="3333" width="0.7109375" style="354" customWidth="1"/>
    <col min="3334" max="3584" width="9.140625" style="354"/>
    <col min="3585" max="3585" width="0" style="354" hidden="1" customWidth="1"/>
    <col min="3586" max="3586" width="32.28515625" style="354" customWidth="1"/>
    <col min="3587" max="3587" width="1.140625" style="354" customWidth="1"/>
    <col min="3588" max="3588" width="16.7109375" style="354" customWidth="1"/>
    <col min="3589" max="3589" width="0.7109375" style="354" customWidth="1"/>
    <col min="3590" max="3840" width="9.140625" style="354"/>
    <col min="3841" max="3841" width="0" style="354" hidden="1" customWidth="1"/>
    <col min="3842" max="3842" width="32.28515625" style="354" customWidth="1"/>
    <col min="3843" max="3843" width="1.140625" style="354" customWidth="1"/>
    <col min="3844" max="3844" width="16.7109375" style="354" customWidth="1"/>
    <col min="3845" max="3845" width="0.7109375" style="354" customWidth="1"/>
    <col min="3846" max="4096" width="9.140625" style="354"/>
    <col min="4097" max="4097" width="0" style="354" hidden="1" customWidth="1"/>
    <col min="4098" max="4098" width="32.28515625" style="354" customWidth="1"/>
    <col min="4099" max="4099" width="1.140625" style="354" customWidth="1"/>
    <col min="4100" max="4100" width="16.7109375" style="354" customWidth="1"/>
    <col min="4101" max="4101" width="0.7109375" style="354" customWidth="1"/>
    <col min="4102" max="4352" width="9.140625" style="354"/>
    <col min="4353" max="4353" width="0" style="354" hidden="1" customWidth="1"/>
    <col min="4354" max="4354" width="32.28515625" style="354" customWidth="1"/>
    <col min="4355" max="4355" width="1.140625" style="354" customWidth="1"/>
    <col min="4356" max="4356" width="16.7109375" style="354" customWidth="1"/>
    <col min="4357" max="4357" width="0.7109375" style="354" customWidth="1"/>
    <col min="4358" max="4608" width="9.140625" style="354"/>
    <col min="4609" max="4609" width="0" style="354" hidden="1" customWidth="1"/>
    <col min="4610" max="4610" width="32.28515625" style="354" customWidth="1"/>
    <col min="4611" max="4611" width="1.140625" style="354" customWidth="1"/>
    <col min="4612" max="4612" width="16.7109375" style="354" customWidth="1"/>
    <col min="4613" max="4613" width="0.7109375" style="354" customWidth="1"/>
    <col min="4614" max="4864" width="9.140625" style="354"/>
    <col min="4865" max="4865" width="0" style="354" hidden="1" customWidth="1"/>
    <col min="4866" max="4866" width="32.28515625" style="354" customWidth="1"/>
    <col min="4867" max="4867" width="1.140625" style="354" customWidth="1"/>
    <col min="4868" max="4868" width="16.7109375" style="354" customWidth="1"/>
    <col min="4869" max="4869" width="0.7109375" style="354" customWidth="1"/>
    <col min="4870" max="5120" width="9.140625" style="354"/>
    <col min="5121" max="5121" width="0" style="354" hidden="1" customWidth="1"/>
    <col min="5122" max="5122" width="32.28515625" style="354" customWidth="1"/>
    <col min="5123" max="5123" width="1.140625" style="354" customWidth="1"/>
    <col min="5124" max="5124" width="16.7109375" style="354" customWidth="1"/>
    <col min="5125" max="5125" width="0.7109375" style="354" customWidth="1"/>
    <col min="5126" max="5376" width="9.140625" style="354"/>
    <col min="5377" max="5377" width="0" style="354" hidden="1" customWidth="1"/>
    <col min="5378" max="5378" width="32.28515625" style="354" customWidth="1"/>
    <col min="5379" max="5379" width="1.140625" style="354" customWidth="1"/>
    <col min="5380" max="5380" width="16.7109375" style="354" customWidth="1"/>
    <col min="5381" max="5381" width="0.7109375" style="354" customWidth="1"/>
    <col min="5382" max="5632" width="9.140625" style="354"/>
    <col min="5633" max="5633" width="0" style="354" hidden="1" customWidth="1"/>
    <col min="5634" max="5634" width="32.28515625" style="354" customWidth="1"/>
    <col min="5635" max="5635" width="1.140625" style="354" customWidth="1"/>
    <col min="5636" max="5636" width="16.7109375" style="354" customWidth="1"/>
    <col min="5637" max="5637" width="0.7109375" style="354" customWidth="1"/>
    <col min="5638" max="5888" width="9.140625" style="354"/>
    <col min="5889" max="5889" width="0" style="354" hidden="1" customWidth="1"/>
    <col min="5890" max="5890" width="32.28515625" style="354" customWidth="1"/>
    <col min="5891" max="5891" width="1.140625" style="354" customWidth="1"/>
    <col min="5892" max="5892" width="16.7109375" style="354" customWidth="1"/>
    <col min="5893" max="5893" width="0.7109375" style="354" customWidth="1"/>
    <col min="5894" max="6144" width="9.140625" style="354"/>
    <col min="6145" max="6145" width="0" style="354" hidden="1" customWidth="1"/>
    <col min="6146" max="6146" width="32.28515625" style="354" customWidth="1"/>
    <col min="6147" max="6147" width="1.140625" style="354" customWidth="1"/>
    <col min="6148" max="6148" width="16.7109375" style="354" customWidth="1"/>
    <col min="6149" max="6149" width="0.7109375" style="354" customWidth="1"/>
    <col min="6150" max="6400" width="9.140625" style="354"/>
    <col min="6401" max="6401" width="0" style="354" hidden="1" customWidth="1"/>
    <col min="6402" max="6402" width="32.28515625" style="354" customWidth="1"/>
    <col min="6403" max="6403" width="1.140625" style="354" customWidth="1"/>
    <col min="6404" max="6404" width="16.7109375" style="354" customWidth="1"/>
    <col min="6405" max="6405" width="0.7109375" style="354" customWidth="1"/>
    <col min="6406" max="6656" width="9.140625" style="354"/>
    <col min="6657" max="6657" width="0" style="354" hidden="1" customWidth="1"/>
    <col min="6658" max="6658" width="32.28515625" style="354" customWidth="1"/>
    <col min="6659" max="6659" width="1.140625" style="354" customWidth="1"/>
    <col min="6660" max="6660" width="16.7109375" style="354" customWidth="1"/>
    <col min="6661" max="6661" width="0.7109375" style="354" customWidth="1"/>
    <col min="6662" max="6912" width="9.140625" style="354"/>
    <col min="6913" max="6913" width="0" style="354" hidden="1" customWidth="1"/>
    <col min="6914" max="6914" width="32.28515625" style="354" customWidth="1"/>
    <col min="6915" max="6915" width="1.140625" style="354" customWidth="1"/>
    <col min="6916" max="6916" width="16.7109375" style="354" customWidth="1"/>
    <col min="6917" max="6917" width="0.7109375" style="354" customWidth="1"/>
    <col min="6918" max="7168" width="9.140625" style="354"/>
    <col min="7169" max="7169" width="0" style="354" hidden="1" customWidth="1"/>
    <col min="7170" max="7170" width="32.28515625" style="354" customWidth="1"/>
    <col min="7171" max="7171" width="1.140625" style="354" customWidth="1"/>
    <col min="7172" max="7172" width="16.7109375" style="354" customWidth="1"/>
    <col min="7173" max="7173" width="0.7109375" style="354" customWidth="1"/>
    <col min="7174" max="7424" width="9.140625" style="354"/>
    <col min="7425" max="7425" width="0" style="354" hidden="1" customWidth="1"/>
    <col min="7426" max="7426" width="32.28515625" style="354" customWidth="1"/>
    <col min="7427" max="7427" width="1.140625" style="354" customWidth="1"/>
    <col min="7428" max="7428" width="16.7109375" style="354" customWidth="1"/>
    <col min="7429" max="7429" width="0.7109375" style="354" customWidth="1"/>
    <col min="7430" max="7680" width="9.140625" style="354"/>
    <col min="7681" max="7681" width="0" style="354" hidden="1" customWidth="1"/>
    <col min="7682" max="7682" width="32.28515625" style="354" customWidth="1"/>
    <col min="7683" max="7683" width="1.140625" style="354" customWidth="1"/>
    <col min="7684" max="7684" width="16.7109375" style="354" customWidth="1"/>
    <col min="7685" max="7685" width="0.7109375" style="354" customWidth="1"/>
    <col min="7686" max="7936" width="9.140625" style="354"/>
    <col min="7937" max="7937" width="0" style="354" hidden="1" customWidth="1"/>
    <col min="7938" max="7938" width="32.28515625" style="354" customWidth="1"/>
    <col min="7939" max="7939" width="1.140625" style="354" customWidth="1"/>
    <col min="7940" max="7940" width="16.7109375" style="354" customWidth="1"/>
    <col min="7941" max="7941" width="0.7109375" style="354" customWidth="1"/>
    <col min="7942" max="8192" width="9.140625" style="354"/>
    <col min="8193" max="8193" width="0" style="354" hidden="1" customWidth="1"/>
    <col min="8194" max="8194" width="32.28515625" style="354" customWidth="1"/>
    <col min="8195" max="8195" width="1.140625" style="354" customWidth="1"/>
    <col min="8196" max="8196" width="16.7109375" style="354" customWidth="1"/>
    <col min="8197" max="8197" width="0.7109375" style="354" customWidth="1"/>
    <col min="8198" max="8448" width="9.140625" style="354"/>
    <col min="8449" max="8449" width="0" style="354" hidden="1" customWidth="1"/>
    <col min="8450" max="8450" width="32.28515625" style="354" customWidth="1"/>
    <col min="8451" max="8451" width="1.140625" style="354" customWidth="1"/>
    <col min="8452" max="8452" width="16.7109375" style="354" customWidth="1"/>
    <col min="8453" max="8453" width="0.7109375" style="354" customWidth="1"/>
    <col min="8454" max="8704" width="9.140625" style="354"/>
    <col min="8705" max="8705" width="0" style="354" hidden="1" customWidth="1"/>
    <col min="8706" max="8706" width="32.28515625" style="354" customWidth="1"/>
    <col min="8707" max="8707" width="1.140625" style="354" customWidth="1"/>
    <col min="8708" max="8708" width="16.7109375" style="354" customWidth="1"/>
    <col min="8709" max="8709" width="0.7109375" style="354" customWidth="1"/>
    <col min="8710" max="8960" width="9.140625" style="354"/>
    <col min="8961" max="8961" width="0" style="354" hidden="1" customWidth="1"/>
    <col min="8962" max="8962" width="32.28515625" style="354" customWidth="1"/>
    <col min="8963" max="8963" width="1.140625" style="354" customWidth="1"/>
    <col min="8964" max="8964" width="16.7109375" style="354" customWidth="1"/>
    <col min="8965" max="8965" width="0.7109375" style="354" customWidth="1"/>
    <col min="8966" max="9216" width="9.140625" style="354"/>
    <col min="9217" max="9217" width="0" style="354" hidden="1" customWidth="1"/>
    <col min="9218" max="9218" width="32.28515625" style="354" customWidth="1"/>
    <col min="9219" max="9219" width="1.140625" style="354" customWidth="1"/>
    <col min="9220" max="9220" width="16.7109375" style="354" customWidth="1"/>
    <col min="9221" max="9221" width="0.7109375" style="354" customWidth="1"/>
    <col min="9222" max="9472" width="9.140625" style="354"/>
    <col min="9473" max="9473" width="0" style="354" hidden="1" customWidth="1"/>
    <col min="9474" max="9474" width="32.28515625" style="354" customWidth="1"/>
    <col min="9475" max="9475" width="1.140625" style="354" customWidth="1"/>
    <col min="9476" max="9476" width="16.7109375" style="354" customWidth="1"/>
    <col min="9477" max="9477" width="0.7109375" style="354" customWidth="1"/>
    <col min="9478" max="9728" width="9.140625" style="354"/>
    <col min="9729" max="9729" width="0" style="354" hidden="1" customWidth="1"/>
    <col min="9730" max="9730" width="32.28515625" style="354" customWidth="1"/>
    <col min="9731" max="9731" width="1.140625" style="354" customWidth="1"/>
    <col min="9732" max="9732" width="16.7109375" style="354" customWidth="1"/>
    <col min="9733" max="9733" width="0.7109375" style="354" customWidth="1"/>
    <col min="9734" max="9984" width="9.140625" style="354"/>
    <col min="9985" max="9985" width="0" style="354" hidden="1" customWidth="1"/>
    <col min="9986" max="9986" width="32.28515625" style="354" customWidth="1"/>
    <col min="9987" max="9987" width="1.140625" style="354" customWidth="1"/>
    <col min="9988" max="9988" width="16.7109375" style="354" customWidth="1"/>
    <col min="9989" max="9989" width="0.7109375" style="354" customWidth="1"/>
    <col min="9990" max="10240" width="9.140625" style="354"/>
    <col min="10241" max="10241" width="0" style="354" hidden="1" customWidth="1"/>
    <col min="10242" max="10242" width="32.28515625" style="354" customWidth="1"/>
    <col min="10243" max="10243" width="1.140625" style="354" customWidth="1"/>
    <col min="10244" max="10244" width="16.7109375" style="354" customWidth="1"/>
    <col min="10245" max="10245" width="0.7109375" style="354" customWidth="1"/>
    <col min="10246" max="10496" width="9.140625" style="354"/>
    <col min="10497" max="10497" width="0" style="354" hidden="1" customWidth="1"/>
    <col min="10498" max="10498" width="32.28515625" style="354" customWidth="1"/>
    <col min="10499" max="10499" width="1.140625" style="354" customWidth="1"/>
    <col min="10500" max="10500" width="16.7109375" style="354" customWidth="1"/>
    <col min="10501" max="10501" width="0.7109375" style="354" customWidth="1"/>
    <col min="10502" max="10752" width="9.140625" style="354"/>
    <col min="10753" max="10753" width="0" style="354" hidden="1" customWidth="1"/>
    <col min="10754" max="10754" width="32.28515625" style="354" customWidth="1"/>
    <col min="10755" max="10755" width="1.140625" style="354" customWidth="1"/>
    <col min="10756" max="10756" width="16.7109375" style="354" customWidth="1"/>
    <col min="10757" max="10757" width="0.7109375" style="354" customWidth="1"/>
    <col min="10758" max="11008" width="9.140625" style="354"/>
    <col min="11009" max="11009" width="0" style="354" hidden="1" customWidth="1"/>
    <col min="11010" max="11010" width="32.28515625" style="354" customWidth="1"/>
    <col min="11011" max="11011" width="1.140625" style="354" customWidth="1"/>
    <col min="11012" max="11012" width="16.7109375" style="354" customWidth="1"/>
    <col min="11013" max="11013" width="0.7109375" style="354" customWidth="1"/>
    <col min="11014" max="11264" width="9.140625" style="354"/>
    <col min="11265" max="11265" width="0" style="354" hidden="1" customWidth="1"/>
    <col min="11266" max="11266" width="32.28515625" style="354" customWidth="1"/>
    <col min="11267" max="11267" width="1.140625" style="354" customWidth="1"/>
    <col min="11268" max="11268" width="16.7109375" style="354" customWidth="1"/>
    <col min="11269" max="11269" width="0.7109375" style="354" customWidth="1"/>
    <col min="11270" max="11520" width="9.140625" style="354"/>
    <col min="11521" max="11521" width="0" style="354" hidden="1" customWidth="1"/>
    <col min="11522" max="11522" width="32.28515625" style="354" customWidth="1"/>
    <col min="11523" max="11523" width="1.140625" style="354" customWidth="1"/>
    <col min="11524" max="11524" width="16.7109375" style="354" customWidth="1"/>
    <col min="11525" max="11525" width="0.7109375" style="354" customWidth="1"/>
    <col min="11526" max="11776" width="9.140625" style="354"/>
    <col min="11777" max="11777" width="0" style="354" hidden="1" customWidth="1"/>
    <col min="11778" max="11778" width="32.28515625" style="354" customWidth="1"/>
    <col min="11779" max="11779" width="1.140625" style="354" customWidth="1"/>
    <col min="11780" max="11780" width="16.7109375" style="354" customWidth="1"/>
    <col min="11781" max="11781" width="0.7109375" style="354" customWidth="1"/>
    <col min="11782" max="12032" width="9.140625" style="354"/>
    <col min="12033" max="12033" width="0" style="354" hidden="1" customWidth="1"/>
    <col min="12034" max="12034" width="32.28515625" style="354" customWidth="1"/>
    <col min="12035" max="12035" width="1.140625" style="354" customWidth="1"/>
    <col min="12036" max="12036" width="16.7109375" style="354" customWidth="1"/>
    <col min="12037" max="12037" width="0.7109375" style="354" customWidth="1"/>
    <col min="12038" max="12288" width="9.140625" style="354"/>
    <col min="12289" max="12289" width="0" style="354" hidden="1" customWidth="1"/>
    <col min="12290" max="12290" width="32.28515625" style="354" customWidth="1"/>
    <col min="12291" max="12291" width="1.140625" style="354" customWidth="1"/>
    <col min="12292" max="12292" width="16.7109375" style="354" customWidth="1"/>
    <col min="12293" max="12293" width="0.7109375" style="354" customWidth="1"/>
    <col min="12294" max="12544" width="9.140625" style="354"/>
    <col min="12545" max="12545" width="0" style="354" hidden="1" customWidth="1"/>
    <col min="12546" max="12546" width="32.28515625" style="354" customWidth="1"/>
    <col min="12547" max="12547" width="1.140625" style="354" customWidth="1"/>
    <col min="12548" max="12548" width="16.7109375" style="354" customWidth="1"/>
    <col min="12549" max="12549" width="0.7109375" style="354" customWidth="1"/>
    <col min="12550" max="12800" width="9.140625" style="354"/>
    <col min="12801" max="12801" width="0" style="354" hidden="1" customWidth="1"/>
    <col min="12802" max="12802" width="32.28515625" style="354" customWidth="1"/>
    <col min="12803" max="12803" width="1.140625" style="354" customWidth="1"/>
    <col min="12804" max="12804" width="16.7109375" style="354" customWidth="1"/>
    <col min="12805" max="12805" width="0.7109375" style="354" customWidth="1"/>
    <col min="12806" max="13056" width="9.140625" style="354"/>
    <col min="13057" max="13057" width="0" style="354" hidden="1" customWidth="1"/>
    <col min="13058" max="13058" width="32.28515625" style="354" customWidth="1"/>
    <col min="13059" max="13059" width="1.140625" style="354" customWidth="1"/>
    <col min="13060" max="13060" width="16.7109375" style="354" customWidth="1"/>
    <col min="13061" max="13061" width="0.7109375" style="354" customWidth="1"/>
    <col min="13062" max="13312" width="9.140625" style="354"/>
    <col min="13313" max="13313" width="0" style="354" hidden="1" customWidth="1"/>
    <col min="13314" max="13314" width="32.28515625" style="354" customWidth="1"/>
    <col min="13315" max="13315" width="1.140625" style="354" customWidth="1"/>
    <col min="13316" max="13316" width="16.7109375" style="354" customWidth="1"/>
    <col min="13317" max="13317" width="0.7109375" style="354" customWidth="1"/>
    <col min="13318" max="13568" width="9.140625" style="354"/>
    <col min="13569" max="13569" width="0" style="354" hidden="1" customWidth="1"/>
    <col min="13570" max="13570" width="32.28515625" style="354" customWidth="1"/>
    <col min="13571" max="13571" width="1.140625" style="354" customWidth="1"/>
    <col min="13572" max="13572" width="16.7109375" style="354" customWidth="1"/>
    <col min="13573" max="13573" width="0.7109375" style="354" customWidth="1"/>
    <col min="13574" max="13824" width="9.140625" style="354"/>
    <col min="13825" max="13825" width="0" style="354" hidden="1" customWidth="1"/>
    <col min="13826" max="13826" width="32.28515625" style="354" customWidth="1"/>
    <col min="13827" max="13827" width="1.140625" style="354" customWidth="1"/>
    <col min="13828" max="13828" width="16.7109375" style="354" customWidth="1"/>
    <col min="13829" max="13829" width="0.7109375" style="354" customWidth="1"/>
    <col min="13830" max="14080" width="9.140625" style="354"/>
    <col min="14081" max="14081" width="0" style="354" hidden="1" customWidth="1"/>
    <col min="14082" max="14082" width="32.28515625" style="354" customWidth="1"/>
    <col min="14083" max="14083" width="1.140625" style="354" customWidth="1"/>
    <col min="14084" max="14084" width="16.7109375" style="354" customWidth="1"/>
    <col min="14085" max="14085" width="0.7109375" style="354" customWidth="1"/>
    <col min="14086" max="14336" width="9.140625" style="354"/>
    <col min="14337" max="14337" width="0" style="354" hidden="1" customWidth="1"/>
    <col min="14338" max="14338" width="32.28515625" style="354" customWidth="1"/>
    <col min="14339" max="14339" width="1.140625" style="354" customWidth="1"/>
    <col min="14340" max="14340" width="16.7109375" style="354" customWidth="1"/>
    <col min="14341" max="14341" width="0.7109375" style="354" customWidth="1"/>
    <col min="14342" max="14592" width="9.140625" style="354"/>
    <col min="14593" max="14593" width="0" style="354" hidden="1" customWidth="1"/>
    <col min="14594" max="14594" width="32.28515625" style="354" customWidth="1"/>
    <col min="14595" max="14595" width="1.140625" style="354" customWidth="1"/>
    <col min="14596" max="14596" width="16.7109375" style="354" customWidth="1"/>
    <col min="14597" max="14597" width="0.7109375" style="354" customWidth="1"/>
    <col min="14598" max="14848" width="9.140625" style="354"/>
    <col min="14849" max="14849" width="0" style="354" hidden="1" customWidth="1"/>
    <col min="14850" max="14850" width="32.28515625" style="354" customWidth="1"/>
    <col min="14851" max="14851" width="1.140625" style="354" customWidth="1"/>
    <col min="14852" max="14852" width="16.7109375" style="354" customWidth="1"/>
    <col min="14853" max="14853" width="0.7109375" style="354" customWidth="1"/>
    <col min="14854" max="15104" width="9.140625" style="354"/>
    <col min="15105" max="15105" width="0" style="354" hidden="1" customWidth="1"/>
    <col min="15106" max="15106" width="32.28515625" style="354" customWidth="1"/>
    <col min="15107" max="15107" width="1.140625" style="354" customWidth="1"/>
    <col min="15108" max="15108" width="16.7109375" style="354" customWidth="1"/>
    <col min="15109" max="15109" width="0.7109375" style="354" customWidth="1"/>
    <col min="15110" max="15360" width="9.140625" style="354"/>
    <col min="15361" max="15361" width="0" style="354" hidden="1" customWidth="1"/>
    <col min="15362" max="15362" width="32.28515625" style="354" customWidth="1"/>
    <col min="15363" max="15363" width="1.140625" style="354" customWidth="1"/>
    <col min="15364" max="15364" width="16.7109375" style="354" customWidth="1"/>
    <col min="15365" max="15365" width="0.7109375" style="354" customWidth="1"/>
    <col min="15366" max="15616" width="9.140625" style="354"/>
    <col min="15617" max="15617" width="0" style="354" hidden="1" customWidth="1"/>
    <col min="15618" max="15618" width="32.28515625" style="354" customWidth="1"/>
    <col min="15619" max="15619" width="1.140625" style="354" customWidth="1"/>
    <col min="15620" max="15620" width="16.7109375" style="354" customWidth="1"/>
    <col min="15621" max="15621" width="0.7109375" style="354" customWidth="1"/>
    <col min="15622" max="15872" width="9.140625" style="354"/>
    <col min="15873" max="15873" width="0" style="354" hidden="1" customWidth="1"/>
    <col min="15874" max="15874" width="32.28515625" style="354" customWidth="1"/>
    <col min="15875" max="15875" width="1.140625" style="354" customWidth="1"/>
    <col min="15876" max="15876" width="16.7109375" style="354" customWidth="1"/>
    <col min="15877" max="15877" width="0.7109375" style="354" customWidth="1"/>
    <col min="15878" max="16128" width="9.140625" style="354"/>
    <col min="16129" max="16129" width="0" style="354" hidden="1" customWidth="1"/>
    <col min="16130" max="16130" width="32.28515625" style="354" customWidth="1"/>
    <col min="16131" max="16131" width="1.140625" style="354" customWidth="1"/>
    <col min="16132" max="16132" width="16.7109375" style="354" customWidth="1"/>
    <col min="16133" max="16133" width="0.7109375" style="354" customWidth="1"/>
    <col min="16134" max="16384" width="9.140625" style="354"/>
  </cols>
  <sheetData>
    <row r="1" spans="2:5" hidden="1" outlineLevel="1">
      <c r="B1" s="354" t="s">
        <v>942</v>
      </c>
      <c r="D1" s="354" t="s">
        <v>370</v>
      </c>
    </row>
    <row r="2" spans="2:5" hidden="1" outlineLevel="1">
      <c r="B2" s="354" t="s">
        <v>199</v>
      </c>
      <c r="D2" s="354" t="s">
        <v>370</v>
      </c>
    </row>
    <row r="3" spans="2:5" hidden="1" outlineLevel="1">
      <c r="B3" s="354" t="s">
        <v>618</v>
      </c>
      <c r="D3" s="354" t="s">
        <v>370</v>
      </c>
    </row>
    <row r="4" spans="2:5" hidden="1" outlineLevel="1">
      <c r="B4" s="354" t="s">
        <v>619</v>
      </c>
      <c r="D4" s="354" t="s">
        <v>620</v>
      </c>
    </row>
    <row r="5" spans="2:5" hidden="1" outlineLevel="1">
      <c r="B5" s="354" t="s">
        <v>882</v>
      </c>
      <c r="D5" s="354" t="s">
        <v>14</v>
      </c>
    </row>
    <row r="6" spans="2:5" hidden="1" outlineLevel="1">
      <c r="B6" s="354" t="s">
        <v>943</v>
      </c>
      <c r="D6" s="354" t="s">
        <v>626</v>
      </c>
    </row>
    <row r="7" spans="2:5" hidden="1" outlineLevel="1">
      <c r="B7" s="354" t="s">
        <v>944</v>
      </c>
      <c r="D7" s="487" t="s">
        <v>622</v>
      </c>
    </row>
    <row r="8" spans="2:5" hidden="1" outlineLevel="1">
      <c r="B8" s="354" t="s">
        <v>945</v>
      </c>
      <c r="D8" s="488">
        <v>2017</v>
      </c>
    </row>
    <row r="9" spans="2:5" hidden="1" outlineLevel="1">
      <c r="B9" s="354" t="s">
        <v>946</v>
      </c>
      <c r="D9" s="488"/>
    </row>
    <row r="10" spans="2:5" hidden="1" outlineLevel="1"/>
    <row r="11" spans="2:5" collapsed="1">
      <c r="B11" s="359" t="s">
        <v>193</v>
      </c>
      <c r="C11" s="359"/>
      <c r="E11" s="359"/>
    </row>
    <row r="12" spans="2:5">
      <c r="B12" s="359" t="s">
        <v>0</v>
      </c>
      <c r="C12" s="359"/>
      <c r="E12" s="359"/>
    </row>
    <row r="13" spans="2:5">
      <c r="D13" s="489" t="s">
        <v>947</v>
      </c>
    </row>
    <row r="14" spans="2:5">
      <c r="D14" s="489" t="s">
        <v>628</v>
      </c>
    </row>
    <row r="15" spans="2:5">
      <c r="D15" s="490" t="s">
        <v>948</v>
      </c>
    </row>
    <row r="16" spans="2:5" ht="12" customHeight="1">
      <c r="D16" s="491"/>
    </row>
    <row r="17" spans="1:5">
      <c r="A17" s="704" t="s">
        <v>949</v>
      </c>
      <c r="B17" s="354" t="s">
        <v>358</v>
      </c>
      <c r="D17" s="373">
        <v>4630487873.8900003</v>
      </c>
    </row>
    <row r="18" spans="1:5">
      <c r="B18" s="354" t="s">
        <v>950</v>
      </c>
      <c r="D18" s="373"/>
    </row>
    <row r="19" spans="1:5">
      <c r="A19" s="704" t="s">
        <v>951</v>
      </c>
      <c r="B19" s="354" t="s">
        <v>952</v>
      </c>
      <c r="D19" s="373">
        <v>2704775375.0599999</v>
      </c>
      <c r="E19" s="492"/>
    </row>
    <row r="20" spans="1:5">
      <c r="A20" s="704" t="s">
        <v>953</v>
      </c>
      <c r="B20" s="354" t="s">
        <v>954</v>
      </c>
      <c r="D20" s="373">
        <v>509638110.58999997</v>
      </c>
      <c r="E20" s="492"/>
    </row>
    <row r="21" spans="1:5">
      <c r="A21" s="706" t="s">
        <v>955</v>
      </c>
      <c r="B21" s="354" t="s">
        <v>956</v>
      </c>
      <c r="D21" s="373">
        <v>530186728.83999997</v>
      </c>
      <c r="E21" s="492"/>
    </row>
    <row r="22" spans="1:5">
      <c r="A22" s="493" t="s">
        <v>957</v>
      </c>
      <c r="B22" s="354" t="s">
        <v>958</v>
      </c>
      <c r="D22" s="373">
        <v>102297050.47</v>
      </c>
      <c r="E22" s="492"/>
    </row>
    <row r="23" spans="1:5">
      <c r="A23" s="494" t="s">
        <v>959</v>
      </c>
      <c r="B23" s="354" t="s">
        <v>960</v>
      </c>
      <c r="D23" s="373">
        <v>156139501.46000001</v>
      </c>
      <c r="E23" s="492"/>
    </row>
    <row r="24" spans="1:5">
      <c r="A24" s="495">
        <v>91005</v>
      </c>
      <c r="B24" s="354" t="s">
        <v>961</v>
      </c>
      <c r="D24" s="373">
        <v>353128.3</v>
      </c>
      <c r="E24" s="492"/>
    </row>
    <row r="25" spans="1:5">
      <c r="B25" s="354" t="s">
        <v>962</v>
      </c>
      <c r="D25" s="492">
        <f>D17-SUM(D19:D24)</f>
        <v>627097979.17000008</v>
      </c>
      <c r="E25" s="492"/>
    </row>
    <row r="26" spans="1:5" ht="12" customHeight="1">
      <c r="D26" s="492"/>
      <c r="E26" s="492"/>
    </row>
    <row r="27" spans="1:5">
      <c r="A27" s="494" t="s">
        <v>294</v>
      </c>
      <c r="B27" s="354" t="s">
        <v>963</v>
      </c>
      <c r="D27" s="373">
        <v>-661463165.76999998</v>
      </c>
      <c r="E27" s="492"/>
    </row>
    <row r="28" spans="1:5">
      <c r="A28" s="494" t="s">
        <v>296</v>
      </c>
      <c r="B28" s="354" t="s">
        <v>964</v>
      </c>
      <c r="D28" s="373">
        <v>541338984.82000005</v>
      </c>
      <c r="E28" s="492"/>
    </row>
    <row r="29" spans="1:5">
      <c r="A29" s="704" t="s">
        <v>298</v>
      </c>
      <c r="B29" s="354" t="s">
        <v>965</v>
      </c>
      <c r="D29" s="373">
        <v>3736296.45</v>
      </c>
      <c r="E29" s="492"/>
    </row>
    <row r="30" spans="1:5">
      <c r="A30" s="704" t="s">
        <v>966</v>
      </c>
      <c r="B30" s="354" t="s">
        <v>967</v>
      </c>
      <c r="D30" s="373">
        <v>-2199929.7400000002</v>
      </c>
      <c r="E30" s="492"/>
    </row>
    <row r="31" spans="1:5" ht="12" customHeight="1">
      <c r="D31" s="492"/>
      <c r="E31" s="492"/>
    </row>
    <row r="32" spans="1:5">
      <c r="B32" s="354" t="s">
        <v>968</v>
      </c>
      <c r="D32" s="492">
        <f>SUM(D25:D30)</f>
        <v>508510164.93000013</v>
      </c>
      <c r="E32" s="492"/>
    </row>
    <row r="33" spans="1:5" ht="12" customHeight="1">
      <c r="D33" s="492"/>
      <c r="E33" s="492"/>
    </row>
    <row r="34" spans="1:5">
      <c r="A34" s="494" t="s">
        <v>304</v>
      </c>
      <c r="B34" s="354" t="s">
        <v>969</v>
      </c>
      <c r="D34" s="373">
        <v>68909621.25</v>
      </c>
      <c r="E34" s="492"/>
    </row>
    <row r="35" spans="1:5" ht="12" customHeight="1">
      <c r="D35" s="492"/>
      <c r="E35" s="492"/>
    </row>
    <row r="36" spans="1:5">
      <c r="B36" s="354" t="s">
        <v>970</v>
      </c>
      <c r="D36" s="492">
        <f>SUM(D32:D34)</f>
        <v>577419786.18000007</v>
      </c>
      <c r="E36" s="492"/>
    </row>
    <row r="37" spans="1:5">
      <c r="B37" s="354" t="s">
        <v>971</v>
      </c>
      <c r="D37" s="492"/>
      <c r="E37" s="492"/>
    </row>
    <row r="38" spans="1:5">
      <c r="A38" s="494" t="s">
        <v>307</v>
      </c>
      <c r="B38" s="354" t="s">
        <v>972</v>
      </c>
      <c r="D38" s="373">
        <v>-602300.93000000005</v>
      </c>
      <c r="E38" s="492"/>
    </row>
    <row r="39" spans="1:5" ht="12" customHeight="1">
      <c r="D39" s="496"/>
    </row>
    <row r="40" spans="1:5" ht="15.75" thickBot="1">
      <c r="B40" s="354" t="s">
        <v>973</v>
      </c>
      <c r="D40" s="497">
        <f>SUM(D36:D38)</f>
        <v>576817485.25000012</v>
      </c>
    </row>
    <row r="41" spans="1:5">
      <c r="D41" s="496"/>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E67"/>
  <sheetViews>
    <sheetView showGridLines="0" view="pageBreakPreview" zoomScaleNormal="100" zoomScaleSheetLayoutView="100" workbookViewId="0">
      <selection activeCell="A14" sqref="A14"/>
    </sheetView>
  </sheetViews>
  <sheetFormatPr defaultRowHeight="15"/>
  <cols>
    <col min="1" max="1" width="51" style="704" customWidth="1"/>
    <col min="2" max="2" width="21.140625" style="704" customWidth="1"/>
    <col min="3" max="3" width="13.140625" style="704" customWidth="1"/>
    <col min="4" max="4" width="16.140625" style="704" customWidth="1"/>
    <col min="5" max="16384" width="9.140625" style="704"/>
  </cols>
  <sheetData>
    <row r="1" spans="1:5">
      <c r="A1" s="359" t="s">
        <v>193</v>
      </c>
      <c r="B1" s="357"/>
    </row>
    <row r="2" spans="1:5">
      <c r="A2" s="359" t="s">
        <v>883</v>
      </c>
      <c r="B2" s="357"/>
      <c r="E2" s="774"/>
    </row>
    <row r="3" spans="1:5" ht="6.75" customHeight="1">
      <c r="A3" s="469"/>
      <c r="B3" s="470"/>
    </row>
    <row r="4" spans="1:5" ht="12" customHeight="1">
      <c r="A4" s="469"/>
      <c r="B4" s="471">
        <v>12</v>
      </c>
    </row>
    <row r="5" spans="1:5" ht="13.5" customHeight="1" thickBot="1">
      <c r="A5" s="472"/>
      <c r="B5" s="473" t="s">
        <v>593</v>
      </c>
    </row>
    <row r="6" spans="1:5" ht="18.75" customHeight="1" thickBot="1">
      <c r="A6" s="474" t="s">
        <v>884</v>
      </c>
      <c r="B6" s="469"/>
    </row>
    <row r="7" spans="1:5" ht="6" customHeight="1">
      <c r="A7" s="469"/>
      <c r="B7" s="469"/>
    </row>
    <row r="8" spans="1:5" ht="12.75" customHeight="1">
      <c r="A8" s="469" t="s">
        <v>885</v>
      </c>
      <c r="B8" s="469"/>
    </row>
    <row r="9" spans="1:5" ht="12.75" customHeight="1">
      <c r="A9" s="475" t="s">
        <v>887</v>
      </c>
      <c r="B9" s="373">
        <v>433815092.51999998</v>
      </c>
    </row>
    <row r="10" spans="1:5" ht="12.75" customHeight="1">
      <c r="A10" s="475" t="s">
        <v>889</v>
      </c>
      <c r="B10" s="480">
        <v>554458381</v>
      </c>
    </row>
    <row r="11" spans="1:5" ht="12.75" customHeight="1">
      <c r="A11" s="475" t="s">
        <v>891</v>
      </c>
      <c r="B11" s="480">
        <v>0</v>
      </c>
    </row>
    <row r="12" spans="1:5" ht="12.75" customHeight="1">
      <c r="A12" s="475" t="s">
        <v>1293</v>
      </c>
      <c r="B12" s="480">
        <v>1596228.77</v>
      </c>
    </row>
    <row r="13" spans="1:5" ht="12.75" customHeight="1">
      <c r="A13" s="475" t="s">
        <v>1292</v>
      </c>
      <c r="B13" s="476">
        <v>186998121.66</v>
      </c>
    </row>
    <row r="14" spans="1:5" ht="12.75" customHeight="1">
      <c r="A14" s="477" t="s">
        <v>895</v>
      </c>
      <c r="B14" s="472">
        <v>1176867823.95</v>
      </c>
    </row>
    <row r="15" spans="1:5" ht="6.75" customHeight="1">
      <c r="A15" s="469"/>
      <c r="B15" s="478"/>
    </row>
    <row r="16" spans="1:5" ht="12.75" customHeight="1">
      <c r="A16" s="479" t="s">
        <v>1291</v>
      </c>
      <c r="B16" s="376">
        <v>167012084.33000001</v>
      </c>
    </row>
    <row r="17" spans="1:2" ht="12.75" customHeight="1">
      <c r="A17" s="479" t="s">
        <v>897</v>
      </c>
      <c r="B17" s="376">
        <v>4820933635.6999998</v>
      </c>
    </row>
    <row r="18" spans="1:2" ht="12.75" customHeight="1">
      <c r="A18" s="479" t="s">
        <v>899</v>
      </c>
      <c r="B18" s="376">
        <v>4681774220.6000004</v>
      </c>
    </row>
    <row r="19" spans="1:2" ht="12.75" customHeight="1">
      <c r="A19" s="479" t="s">
        <v>901</v>
      </c>
      <c r="B19" s="376">
        <v>1087435855.6700001</v>
      </c>
    </row>
    <row r="20" spans="1:2" ht="12.75" customHeight="1">
      <c r="A20" s="479" t="s">
        <v>1290</v>
      </c>
      <c r="B20" s="376">
        <v>12624619.890000001</v>
      </c>
    </row>
    <row r="21" spans="1:2" ht="12.75" customHeight="1">
      <c r="A21" s="479" t="s">
        <v>903</v>
      </c>
      <c r="B21" s="476">
        <v>68032766.659999996</v>
      </c>
    </row>
    <row r="22" spans="1:2" ht="6.75" customHeight="1">
      <c r="A22" s="472"/>
      <c r="B22" s="478"/>
    </row>
    <row r="23" spans="1:2" ht="12.75" customHeight="1" thickBot="1">
      <c r="A23" s="475"/>
      <c r="B23" s="481">
        <v>12014681006.799999</v>
      </c>
    </row>
    <row r="24" spans="1:2" ht="7.5" customHeight="1" thickBot="1">
      <c r="A24" s="469"/>
      <c r="B24" s="478"/>
    </row>
    <row r="25" spans="1:2" ht="15.75" customHeight="1" thickBot="1">
      <c r="A25" s="474" t="s">
        <v>906</v>
      </c>
      <c r="B25" s="469"/>
    </row>
    <row r="26" spans="1:2" ht="7.5" customHeight="1">
      <c r="A26" s="469"/>
      <c r="B26" s="469"/>
    </row>
    <row r="27" spans="1:2" ht="13.5" customHeight="1">
      <c r="A27" s="479" t="s">
        <v>907</v>
      </c>
      <c r="B27" s="469"/>
    </row>
    <row r="28" spans="1:2" ht="13.5" customHeight="1">
      <c r="A28" s="477" t="s">
        <v>909</v>
      </c>
      <c r="B28" s="373">
        <v>330522801.86000001</v>
      </c>
    </row>
    <row r="29" spans="1:2" ht="13.5" customHeight="1">
      <c r="A29" s="477" t="s">
        <v>911</v>
      </c>
      <c r="B29" s="480">
        <v>19223408.300000001</v>
      </c>
    </row>
    <row r="30" spans="1:2" ht="13.5" customHeight="1">
      <c r="A30" s="477" t="s">
        <v>913</v>
      </c>
      <c r="B30" s="480">
        <v>278038782.83999997</v>
      </c>
    </row>
    <row r="31" spans="1:2" ht="13.5" customHeight="1">
      <c r="A31" s="477" t="s">
        <v>915</v>
      </c>
      <c r="B31" s="480">
        <v>145196823.22999999</v>
      </c>
    </row>
    <row r="32" spans="1:2" ht="13.5" customHeight="1">
      <c r="A32" s="477" t="s">
        <v>1289</v>
      </c>
      <c r="B32" s="480">
        <v>15803280.310000001</v>
      </c>
    </row>
    <row r="33" spans="1:2" ht="13.5" customHeight="1">
      <c r="A33" s="477" t="s">
        <v>1288</v>
      </c>
      <c r="B33" s="480">
        <v>2154712.29</v>
      </c>
    </row>
    <row r="34" spans="1:2" ht="13.5" customHeight="1">
      <c r="A34" s="477" t="s">
        <v>917</v>
      </c>
      <c r="B34" s="476">
        <v>11658904.75</v>
      </c>
    </row>
    <row r="35" spans="1:2" ht="13.5" customHeight="1">
      <c r="A35" s="482" t="s">
        <v>918</v>
      </c>
      <c r="B35" s="472">
        <v>802598713.57999992</v>
      </c>
    </row>
    <row r="36" spans="1:2" ht="6.75" customHeight="1">
      <c r="A36" s="479"/>
      <c r="B36" s="483"/>
    </row>
    <row r="37" spans="1:2" ht="12.75" customHeight="1">
      <c r="A37" s="479" t="s">
        <v>919</v>
      </c>
      <c r="B37" s="480">
        <v>3899572083.1500001</v>
      </c>
    </row>
    <row r="38" spans="1:2" ht="12.75" customHeight="1">
      <c r="A38" s="479" t="s">
        <v>1287</v>
      </c>
      <c r="B38" s="480">
        <v>31481562.390000001</v>
      </c>
    </row>
    <row r="39" spans="1:2" ht="12.75" customHeight="1">
      <c r="A39" s="479" t="s">
        <v>1286</v>
      </c>
      <c r="B39" s="480">
        <v>0</v>
      </c>
    </row>
    <row r="40" spans="1:2" ht="12.75" customHeight="1">
      <c r="A40" s="479" t="s">
        <v>923</v>
      </c>
      <c r="B40" s="480">
        <v>316191665.55000001</v>
      </c>
    </row>
    <row r="41" spans="1:2" ht="12.75" customHeight="1">
      <c r="A41" s="479" t="s">
        <v>921</v>
      </c>
      <c r="B41" s="476">
        <v>690766733.69000006</v>
      </c>
    </row>
    <row r="42" spans="1:2" ht="12.75" customHeight="1">
      <c r="A42" s="475" t="s">
        <v>924</v>
      </c>
      <c r="B42" s="484">
        <v>5740610758.3600006</v>
      </c>
    </row>
    <row r="43" spans="1:2" ht="6" customHeight="1">
      <c r="A43" s="469"/>
      <c r="B43" s="469"/>
    </row>
    <row r="44" spans="1:2" ht="12.75" customHeight="1">
      <c r="A44" s="485" t="s">
        <v>925</v>
      </c>
      <c r="B44" s="469"/>
    </row>
    <row r="45" spans="1:2" ht="12.75" customHeight="1">
      <c r="A45" s="475" t="s">
        <v>927</v>
      </c>
      <c r="B45" s="376">
        <v>4187568381.0300002</v>
      </c>
    </row>
    <row r="46" spans="1:2" ht="12.75" customHeight="1">
      <c r="A46" s="475" t="s">
        <v>929</v>
      </c>
      <c r="B46" s="480">
        <v>115742741.39</v>
      </c>
    </row>
    <row r="47" spans="1:2" ht="12.75" customHeight="1">
      <c r="A47" s="475" t="s">
        <v>938</v>
      </c>
      <c r="B47" s="480">
        <v>108413316.98</v>
      </c>
    </row>
    <row r="48" spans="1:2" ht="12.75" customHeight="1">
      <c r="A48" s="475" t="s">
        <v>933</v>
      </c>
      <c r="B48" s="376">
        <v>0</v>
      </c>
    </row>
    <row r="49" spans="1:4" ht="12.75" customHeight="1">
      <c r="A49" s="475" t="s">
        <v>936</v>
      </c>
      <c r="B49" s="476">
        <v>1856945978.6099999</v>
      </c>
    </row>
    <row r="50" spans="1:4" ht="12.75" customHeight="1">
      <c r="A50" s="477" t="s">
        <v>939</v>
      </c>
      <c r="B50" s="472">
        <v>6268670418.0099993</v>
      </c>
    </row>
    <row r="51" spans="1:4" ht="12.75" customHeight="1">
      <c r="A51" s="479" t="s">
        <v>940</v>
      </c>
      <c r="B51" s="476">
        <v>5399821.4199999999</v>
      </c>
    </row>
    <row r="52" spans="1:4" ht="12.75" customHeight="1">
      <c r="A52" s="477" t="s">
        <v>941</v>
      </c>
      <c r="B52" s="486">
        <v>6274070239.4299994</v>
      </c>
    </row>
    <row r="53" spans="1:4" ht="5.25" customHeight="1">
      <c r="A53" s="477"/>
      <c r="B53" s="469"/>
    </row>
    <row r="54" spans="1:4" ht="12.75" customHeight="1" thickBot="1">
      <c r="A54" s="475"/>
      <c r="B54" s="481">
        <v>12014680997.790001</v>
      </c>
    </row>
    <row r="55" spans="1:4" ht="4.5" customHeight="1"/>
    <row r="56" spans="1:4" ht="6.75" customHeight="1" thickBot="1"/>
    <row r="57" spans="1:4" ht="14.25" customHeight="1">
      <c r="A57" s="773"/>
      <c r="B57" s="772" t="s">
        <v>1285</v>
      </c>
      <c r="C57" s="772"/>
      <c r="D57" s="771" t="s">
        <v>1284</v>
      </c>
    </row>
    <row r="58" spans="1:4" ht="14.25" customHeight="1">
      <c r="A58" s="758" t="s">
        <v>1280</v>
      </c>
      <c r="B58" s="770">
        <f>B37+B34</f>
        <v>3911230987.9000001</v>
      </c>
      <c r="C58" s="768">
        <f>B58/B60</f>
        <v>0.3840073946369969</v>
      </c>
      <c r="D58" s="767">
        <v>0.4</v>
      </c>
    </row>
    <row r="59" spans="1:4" ht="14.25" customHeight="1">
      <c r="A59" s="758" t="s">
        <v>1283</v>
      </c>
      <c r="B59" s="769">
        <f>B52</f>
        <v>6274070239.4299994</v>
      </c>
      <c r="C59" s="768">
        <f>B59/B60</f>
        <v>0.61599260536300304</v>
      </c>
      <c r="D59" s="767">
        <v>0.6</v>
      </c>
    </row>
    <row r="60" spans="1:4" ht="14.25" customHeight="1">
      <c r="A60" s="758" t="s">
        <v>1282</v>
      </c>
      <c r="B60" s="766">
        <f>SUM(B58:B59)</f>
        <v>10185301227.33</v>
      </c>
      <c r="C60" s="750"/>
      <c r="D60" s="754"/>
    </row>
    <row r="61" spans="1:4" ht="12.75" customHeight="1" thickBot="1">
      <c r="A61" s="765"/>
      <c r="B61" s="764"/>
      <c r="C61" s="764"/>
      <c r="D61" s="763"/>
    </row>
    <row r="62" spans="1:4" ht="6" customHeight="1" thickBot="1"/>
    <row r="63" spans="1:4" ht="15" customHeight="1">
      <c r="A63" s="762"/>
      <c r="B63" s="761" t="s">
        <v>1279</v>
      </c>
      <c r="C63" s="760"/>
    </row>
    <row r="64" spans="1:4" ht="15" customHeight="1">
      <c r="A64" s="758" t="s">
        <v>1281</v>
      </c>
      <c r="B64" s="759">
        <f>-('WCI IS'!D27+'WCI IS'!D28)</f>
        <v>120124180.94999993</v>
      </c>
      <c r="C64" s="756"/>
      <c r="D64" s="750"/>
    </row>
    <row r="65" spans="1:4" ht="15" customHeight="1">
      <c r="A65" s="758" t="s">
        <v>1280</v>
      </c>
      <c r="B65" s="757">
        <f>B58</f>
        <v>3911230987.9000001</v>
      </c>
      <c r="C65" s="756"/>
      <c r="D65" s="750"/>
    </row>
    <row r="66" spans="1:4" ht="15" customHeight="1">
      <c r="A66" s="755"/>
      <c r="B66" s="750"/>
      <c r="C66" s="754"/>
      <c r="D66" s="750"/>
    </row>
    <row r="67" spans="1:4" ht="15" customHeight="1" thickBot="1">
      <c r="A67" s="753" t="s">
        <v>1279</v>
      </c>
      <c r="B67" s="752">
        <f>B64/B65</f>
        <v>3.071262764117556E-2</v>
      </c>
      <c r="C67" s="751"/>
      <c r="D67" s="750"/>
    </row>
  </sheetData>
  <pageMargins left="0.25" right="0.25" top="0.75" bottom="0.75" header="0.3" footer="0.3"/>
  <pageSetup scale="7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6" tint="0.39997558519241921"/>
    <pageSetUpPr fitToPage="1"/>
  </sheetPr>
  <dimension ref="A1:Y196"/>
  <sheetViews>
    <sheetView showGridLines="0" view="pageBreakPreview" topLeftCell="D7" zoomScaleNormal="75" zoomScaleSheetLayoutView="100" workbookViewId="0">
      <pane xSplit="5" ySplit="7" topLeftCell="I110" activePane="bottomRight" state="frozen"/>
      <selection activeCell="AA68" sqref="AA68"/>
      <selection pane="topRight" activeCell="AA68" sqref="AA68"/>
      <selection pane="bottomLeft" activeCell="AA68" sqref="AA68"/>
      <selection pane="bottomRight" activeCell="L125" sqref="L125"/>
    </sheetView>
  </sheetViews>
  <sheetFormatPr defaultColWidth="13.85546875" defaultRowHeight="12.75" outlineLevelRow="1"/>
  <cols>
    <col min="1" max="1" width="116.7109375" style="106" customWidth="1"/>
    <col min="2" max="2" width="16.5703125" style="106" customWidth="1"/>
    <col min="3" max="3" width="12.42578125" style="106" customWidth="1"/>
    <col min="4" max="4" width="8.5703125" style="106" customWidth="1"/>
    <col min="5" max="5" width="3" style="106" customWidth="1"/>
    <col min="6" max="6" width="3.140625" style="106" customWidth="1"/>
    <col min="7" max="7" width="28.140625" style="106" customWidth="1"/>
    <col min="8" max="8" width="3.85546875" style="106" customWidth="1"/>
    <col min="9" max="9" width="2" style="106" customWidth="1"/>
    <col min="10" max="10" width="14.7109375" style="106" customWidth="1"/>
    <col min="11" max="11" width="1" style="106" customWidth="1"/>
    <col min="12" max="12" width="14.85546875" style="106" customWidth="1"/>
    <col min="13" max="13" width="1" style="106" customWidth="1"/>
    <col min="14" max="14" width="6.140625" style="106" customWidth="1"/>
    <col min="15" max="15" width="1.140625" style="106" customWidth="1"/>
    <col min="16" max="16" width="14.28515625" style="106" customWidth="1"/>
    <col min="17" max="17" width="2" style="106" customWidth="1"/>
    <col min="18" max="20" width="18.42578125" style="106" customWidth="1"/>
    <col min="21" max="21" width="1.28515625" style="106" customWidth="1"/>
    <col min="22" max="22" width="14.42578125" style="106" customWidth="1"/>
    <col min="23" max="23" width="2.85546875" style="106" customWidth="1"/>
    <col min="24" max="16384" width="13.85546875" style="106"/>
  </cols>
  <sheetData>
    <row r="1" spans="1:25">
      <c r="D1" s="106" t="s">
        <v>179</v>
      </c>
      <c r="E1" s="106" t="s">
        <v>180</v>
      </c>
      <c r="F1" s="107"/>
      <c r="G1" s="108"/>
      <c r="J1" s="106" t="s">
        <v>192</v>
      </c>
      <c r="L1" s="106" t="s">
        <v>974</v>
      </c>
      <c r="N1" s="106" t="s">
        <v>975</v>
      </c>
      <c r="R1" s="500" t="s">
        <v>190</v>
      </c>
      <c r="S1" s="500" t="s">
        <v>191</v>
      </c>
    </row>
    <row r="2" spans="1:25" s="113" customFormat="1" outlineLevel="1">
      <c r="A2" s="501"/>
      <c r="B2" s="502"/>
      <c r="C2" s="503"/>
      <c r="D2" s="504"/>
      <c r="E2" s="504"/>
      <c r="F2" s="505"/>
      <c r="G2" s="505"/>
      <c r="H2" s="501"/>
      <c r="I2" s="501"/>
      <c r="J2" s="506">
        <v>0</v>
      </c>
      <c r="K2" s="501"/>
      <c r="L2" s="506">
        <v>0</v>
      </c>
      <c r="M2" s="501"/>
      <c r="N2" s="507">
        <v>0</v>
      </c>
      <c r="O2" s="501"/>
      <c r="P2" s="506">
        <f>J2+L2+N2</f>
        <v>0</v>
      </c>
      <c r="Q2" s="501"/>
      <c r="R2" s="506">
        <v>0</v>
      </c>
      <c r="S2" s="506">
        <v>0</v>
      </c>
      <c r="T2" s="506">
        <f>P2</f>
        <v>0</v>
      </c>
      <c r="U2" s="501"/>
      <c r="V2" s="507">
        <f>T2-S2</f>
        <v>0</v>
      </c>
      <c r="W2" s="501"/>
      <c r="X2" s="501"/>
    </row>
    <row r="3" spans="1:25">
      <c r="G3" s="108"/>
      <c r="J3" s="106" t="str">
        <f>D7</f>
        <v>2017-12</v>
      </c>
      <c r="L3" s="106" t="str">
        <f>D7</f>
        <v>2017-12</v>
      </c>
      <c r="N3" s="106" t="str">
        <f>YearMonth</f>
        <v>2017-12</v>
      </c>
      <c r="P3" s="106" t="str">
        <f>D7</f>
        <v>2017-12</v>
      </c>
      <c r="R3" s="106" t="str">
        <f>IFERROR(TEXT(EDATE($B$7,MID(LEFT(R1,FIND(")",R1)-1),FIND("(",R1)+1,LEN(R1))),"yyyy-mm"),"")</f>
        <v>2017-10</v>
      </c>
      <c r="S3" s="106" t="str">
        <f>IFERROR(TEXT(EDATE($B$7,MID(LEFT(S1,FIND(")",S1)-1),FIND("(",S1)+1,LEN(S1))),"yyyy-mm"),"")</f>
        <v>2017-11</v>
      </c>
      <c r="T3" s="106" t="str">
        <f>D7</f>
        <v>2017-12</v>
      </c>
    </row>
    <row r="4" spans="1:25">
      <c r="A4" s="106" t="str">
        <f>_xll.jBinder("MarkerCell")</f>
        <v>jBinderOption{MarkerCell}: This cell will be used to note the tab was created from the binder.</v>
      </c>
      <c r="B4" s="106" t="str">
        <f ca="1">_xll.ReportVariable("FinCube",B11:B196,A1:Y1,A2:Y2,_xll.Param("BS"&amp;IF(ExcludeIC=TRUE,",!Eliminated",""),District,System,,,,"*",,RIGHT(YearMonth,2),LEFT(YearMonth,4),,,1,,FALSE))</f>
        <v>OK!: ReportVariable Formula OK [jAction{}]</v>
      </c>
      <c r="G4" s="108"/>
      <c r="J4" s="106" t="s">
        <v>976</v>
      </c>
      <c r="L4" s="106" t="s">
        <v>977</v>
      </c>
      <c r="N4" s="106" t="s">
        <v>975</v>
      </c>
      <c r="P4" s="106" t="s">
        <v>978</v>
      </c>
      <c r="R4" s="106" t="s">
        <v>978</v>
      </c>
      <c r="S4" s="106" t="s">
        <v>978</v>
      </c>
      <c r="T4" s="106" t="s">
        <v>978</v>
      </c>
    </row>
    <row r="5" spans="1:25" ht="15.75">
      <c r="A5" s="106" t="str">
        <f>_xll.jBinder("ChooseSegmentListtoIterateThru","Dist")</f>
        <v>jBinderOption{ChooseSegmentListtoIterateThru|Dist}: Option "ChooseSegmentListtoIterateThru" has value "Dist"</v>
      </c>
      <c r="B5" s="106" t="str">
        <f ca="1">_xll.ReportDrill(,"JEQuery_WithStaged",_xll.PairGroup(_xll.PairExt("C:d","Accounts"),_xll.PairExt(System,"Systems","N"),_xll.PairExt("R:3","DateFrom","Y"),_xll.PairExt("R:3","DateTo","Y"),_xll.PairExt(District,"Districts"),_xll.PairExt("","SubSystems","n"),_xll.PairExt("","VendorCode","n"),_xll.PairExt("","AmountFrom","N"),_xll.PairExt("","AmountTo","n"),_xll.PairExt("R:4","Posting","Y")),"Drill To JEQuery")</f>
        <v>OK!: ReportDrill 'Drill To JEQuery' Formula OK [jAction{}]</v>
      </c>
      <c r="D5" s="121" t="s">
        <v>193</v>
      </c>
      <c r="E5" s="122"/>
      <c r="F5" s="122"/>
      <c r="G5" s="122"/>
      <c r="H5" s="122"/>
      <c r="I5" s="122"/>
      <c r="J5" s="122"/>
      <c r="K5" s="122"/>
      <c r="L5" s="123" t="s">
        <v>194</v>
      </c>
      <c r="M5" s="122"/>
      <c r="N5" s="125">
        <v>2025</v>
      </c>
      <c r="O5" s="122"/>
      <c r="P5" s="122"/>
      <c r="Q5" s="122"/>
      <c r="R5" s="122"/>
      <c r="S5" s="122"/>
      <c r="T5" s="123" t="s">
        <v>196</v>
      </c>
      <c r="U5" s="509"/>
      <c r="V5" s="125"/>
      <c r="W5" s="122"/>
    </row>
    <row r="6" spans="1:25" ht="15.75">
      <c r="A6" s="106" t="str">
        <f>_xll.jBinder("CreateSummaryTab","False")</f>
        <v>jBinderOption{CreateSummaryTab|False}: Option "CreateSummaryTab" has value "False"</v>
      </c>
      <c r="B6" s="106" t="str">
        <f ca="1">_xll.ReportDrill(,"JEQuery_WithStaged",_xll.PairGroup(_xll.PairExt("C:a","Accounts"),_xll.PairExt(System,"Systems","N"),_xll.PairExt("R:3","DateFrom","Y"),_xll.PairExt("R:3","DateTo","Y"),_xll.PairExt(District,"Districts"),_xll.PairExt("","SubSystems","n"),_xll.PairExt("","VendorCode","n"),_xll.PairExt("","AmountFrom","N"),_xll.PairExt("","AmountTo","n"),_xll.PairExt("R:4","Posting","Y")),"Drill To JEQuery")</f>
        <v>OK!: ReportDrill 'Drill To JEQuery' Formula OK [jAction{}]</v>
      </c>
      <c r="D6" s="121" t="s">
        <v>979</v>
      </c>
      <c r="E6" s="122"/>
      <c r="F6" s="122"/>
      <c r="G6" s="122"/>
      <c r="H6" s="122"/>
      <c r="I6" s="122"/>
      <c r="J6" s="179" t="str">
        <f>IF(ISERROR($B$7),"The date cell in D9  must be in YYYY-MM format","")</f>
        <v/>
      </c>
      <c r="K6" s="122"/>
      <c r="L6" s="122"/>
      <c r="M6" s="122"/>
      <c r="N6" s="125"/>
      <c r="O6" s="122"/>
      <c r="P6" s="122"/>
      <c r="Q6" s="122"/>
      <c r="R6" s="122"/>
      <c r="S6" s="122"/>
      <c r="T6" s="123" t="s">
        <v>199</v>
      </c>
      <c r="U6" s="122"/>
      <c r="V6" s="127" t="s">
        <v>198</v>
      </c>
      <c r="W6" s="122"/>
    </row>
    <row r="7" spans="1:25" s="122" customFormat="1" ht="15.75">
      <c r="A7" s="106" t="str">
        <f ca="1">_xll.jBinder("Dist",District)</f>
        <v>jBinderOption{Dist||N5}: "Dist" can iterate on cell "N5"</v>
      </c>
      <c r="B7" s="508">
        <f>DATEVALUE(RIGHT(YearMonth,2)&amp;"/1/"&amp;LEFT(YearMonth,4))</f>
        <v>43070</v>
      </c>
      <c r="C7" s="106"/>
      <c r="D7" s="128" t="s">
        <v>200</v>
      </c>
      <c r="J7" s="512" t="s">
        <v>980</v>
      </c>
      <c r="K7" s="513"/>
      <c r="L7" s="512" t="s">
        <v>980</v>
      </c>
      <c r="M7" s="513"/>
      <c r="N7" s="512" t="s">
        <v>980</v>
      </c>
      <c r="O7" s="513"/>
      <c r="P7" s="512" t="s">
        <v>980</v>
      </c>
      <c r="Q7" s="513"/>
      <c r="R7" s="512" t="s">
        <v>980</v>
      </c>
      <c r="S7" s="512" t="s">
        <v>980</v>
      </c>
      <c r="T7" s="512" t="s">
        <v>980</v>
      </c>
      <c r="X7" s="510"/>
    </row>
    <row r="8" spans="1:25" s="122" customFormat="1" ht="15">
      <c r="A8" s="122" t="str">
        <f>_xll.jBinder("TabSuffix","_BS")</f>
        <v>jBinderOption{TabSuffix|_BS}: Option "TabSuffix" has value "_BS"</v>
      </c>
      <c r="B8" s="511"/>
      <c r="C8" s="511"/>
      <c r="D8" s="514"/>
      <c r="E8" s="515"/>
      <c r="F8" s="515"/>
      <c r="G8" s="515"/>
      <c r="H8" s="515"/>
      <c r="I8" s="515"/>
      <c r="J8" s="516" t="s">
        <v>981</v>
      </c>
      <c r="K8" s="516"/>
      <c r="L8" s="516"/>
      <c r="M8" s="516"/>
      <c r="N8" s="516"/>
      <c r="O8" s="516"/>
      <c r="P8" s="516"/>
      <c r="Q8" s="515"/>
      <c r="R8" s="516" t="s">
        <v>982</v>
      </c>
      <c r="S8" s="516"/>
      <c r="T8" s="516"/>
      <c r="U8" s="515"/>
      <c r="V8" s="515"/>
      <c r="W8" s="515"/>
    </row>
    <row r="9" spans="1:25" s="122" customFormat="1" ht="15">
      <c r="B9" s="511"/>
      <c r="C9" s="511"/>
      <c r="D9" s="515"/>
      <c r="E9" s="515"/>
      <c r="F9" s="515"/>
      <c r="G9" s="515"/>
      <c r="H9" s="515"/>
      <c r="I9" s="515"/>
      <c r="J9" s="515"/>
      <c r="K9" s="515"/>
      <c r="L9" s="515"/>
      <c r="M9" s="515"/>
      <c r="N9" s="515"/>
      <c r="O9" s="515"/>
      <c r="P9" s="515"/>
      <c r="Q9" s="515"/>
      <c r="R9" s="515"/>
      <c r="S9" s="515"/>
      <c r="T9" s="517"/>
      <c r="U9" s="515"/>
      <c r="V9" s="515"/>
      <c r="W9" s="515"/>
    </row>
    <row r="10" spans="1:25" s="122" customFormat="1" ht="15">
      <c r="B10" s="503"/>
      <c r="C10" s="503"/>
      <c r="D10" s="515"/>
      <c r="E10" s="515"/>
      <c r="F10" s="515"/>
      <c r="G10" s="515"/>
      <c r="H10" s="515"/>
      <c r="I10" s="515"/>
      <c r="J10" s="515"/>
      <c r="K10" s="515"/>
      <c r="L10" s="518" t="s">
        <v>983</v>
      </c>
      <c r="M10" s="519"/>
      <c r="N10" s="518"/>
      <c r="O10" s="515"/>
      <c r="P10" s="520"/>
      <c r="Q10" s="515"/>
      <c r="R10" s="521"/>
      <c r="S10" s="521"/>
      <c r="T10" s="522" t="s">
        <v>20</v>
      </c>
      <c r="U10" s="515"/>
      <c r="V10" s="523" t="s">
        <v>984</v>
      </c>
      <c r="W10" s="515"/>
      <c r="X10" s="515"/>
      <c r="Y10" s="515"/>
    </row>
    <row r="11" spans="1:25" s="131" customFormat="1" ht="13.5" thickBot="1">
      <c r="B11" s="503"/>
      <c r="C11" s="503"/>
      <c r="D11" s="515"/>
      <c r="E11" s="515"/>
      <c r="F11" s="515"/>
      <c r="G11" s="515"/>
      <c r="H11" s="515"/>
      <c r="I11" s="515"/>
      <c r="J11" s="524" t="s">
        <v>976</v>
      </c>
      <c r="K11" s="515"/>
      <c r="L11" s="524" t="s">
        <v>977</v>
      </c>
      <c r="M11" s="515"/>
      <c r="N11" s="525" t="s">
        <v>975</v>
      </c>
      <c r="O11" s="515"/>
      <c r="P11" s="524" t="s">
        <v>20</v>
      </c>
      <c r="Q11" s="515"/>
      <c r="R11" s="526">
        <f>IFERROR(EDATE(S11,-1),"")</f>
        <v>43009</v>
      </c>
      <c r="S11" s="526">
        <f>IFERROR(EDATE(T11,-1),"")</f>
        <v>43040</v>
      </c>
      <c r="T11" s="526">
        <f>$B$7</f>
        <v>43070</v>
      </c>
      <c r="U11" s="515"/>
      <c r="V11" s="525" t="s">
        <v>985</v>
      </c>
      <c r="W11" s="515"/>
      <c r="X11" s="515"/>
      <c r="Y11" s="515"/>
    </row>
    <row r="12" spans="1:25" s="131" customFormat="1">
      <c r="B12" s="503"/>
      <c r="C12" s="503"/>
      <c r="D12" s="515"/>
      <c r="E12" s="515"/>
      <c r="F12" s="527"/>
      <c r="G12" s="515"/>
      <c r="H12" s="515"/>
      <c r="I12" s="515"/>
      <c r="J12" s="512"/>
      <c r="K12" s="515"/>
      <c r="L12" s="512"/>
      <c r="M12" s="515"/>
      <c r="N12" s="512"/>
      <c r="O12" s="515"/>
      <c r="P12" s="512"/>
      <c r="Q12" s="515"/>
      <c r="R12" s="512"/>
      <c r="S12" s="512"/>
      <c r="T12" s="512"/>
      <c r="U12" s="515"/>
      <c r="V12" s="512"/>
      <c r="W12" s="515"/>
      <c r="X12" s="515"/>
      <c r="Y12" s="515"/>
    </row>
    <row r="13" spans="1:25" s="131" customFormat="1">
      <c r="B13" s="503"/>
      <c r="C13" s="503"/>
      <c r="D13" s="501"/>
      <c r="E13" s="501"/>
      <c r="F13" s="501"/>
      <c r="G13" s="501"/>
      <c r="H13" s="501"/>
      <c r="I13" s="501"/>
      <c r="J13" s="501"/>
      <c r="K13" s="501"/>
      <c r="L13" s="501"/>
      <c r="M13" s="501"/>
      <c r="N13" s="501"/>
      <c r="O13" s="501"/>
      <c r="P13" s="501"/>
      <c r="Q13" s="515"/>
      <c r="R13" s="501"/>
      <c r="S13" s="501"/>
      <c r="T13" s="501"/>
      <c r="U13" s="501"/>
      <c r="V13" s="501"/>
      <c r="W13" s="501"/>
      <c r="X13" s="515"/>
      <c r="Y13" s="515"/>
    </row>
    <row r="14" spans="1:25" s="131" customFormat="1" ht="10.5" customHeight="1">
      <c r="B14" s="503"/>
      <c r="C14" s="503"/>
      <c r="D14" s="504">
        <v>10050</v>
      </c>
      <c r="E14" s="504" t="s">
        <v>986</v>
      </c>
      <c r="F14" s="505"/>
      <c r="G14" s="505"/>
      <c r="H14" s="501"/>
      <c r="I14" s="501"/>
      <c r="J14" s="506">
        <v>0</v>
      </c>
      <c r="K14" s="501"/>
      <c r="L14" s="506">
        <v>0</v>
      </c>
      <c r="M14" s="501"/>
      <c r="N14" s="507">
        <v>0</v>
      </c>
      <c r="O14" s="501"/>
      <c r="P14" s="506">
        <f t="shared" ref="P14:P23" si="0">J14+L14+N14</f>
        <v>0</v>
      </c>
      <c r="Q14" s="501"/>
      <c r="R14" s="506">
        <v>0</v>
      </c>
      <c r="S14" s="506">
        <v>56.39</v>
      </c>
      <c r="T14" s="506">
        <f t="shared" ref="T14:T23" si="1">P14</f>
        <v>0</v>
      </c>
      <c r="U14" s="501"/>
      <c r="V14" s="507">
        <f t="shared" ref="V14:V23" si="2">T14-S14</f>
        <v>-56.39</v>
      </c>
      <c r="W14" s="501"/>
      <c r="X14" s="515"/>
      <c r="Y14" s="515"/>
    </row>
    <row r="15" spans="1:25" s="113" customFormat="1" ht="10.5" customHeight="1">
      <c r="B15" s="503"/>
      <c r="C15" s="503"/>
      <c r="D15" s="504">
        <v>10070</v>
      </c>
      <c r="E15" s="504" t="s">
        <v>987</v>
      </c>
      <c r="F15" s="505"/>
      <c r="G15" s="505"/>
      <c r="H15" s="501"/>
      <c r="I15" s="501"/>
      <c r="J15" s="506">
        <v>-15024.4</v>
      </c>
      <c r="K15" s="501"/>
      <c r="L15" s="506">
        <v>0</v>
      </c>
      <c r="M15" s="501"/>
      <c r="N15" s="507">
        <v>0</v>
      </c>
      <c r="O15" s="501"/>
      <c r="P15" s="506">
        <f t="shared" si="0"/>
        <v>-15024.4</v>
      </c>
      <c r="Q15" s="501"/>
      <c r="R15" s="506">
        <v>-15024.4</v>
      </c>
      <c r="S15" s="506">
        <v>-15024.4</v>
      </c>
      <c r="T15" s="506">
        <f t="shared" si="1"/>
        <v>-15024.4</v>
      </c>
      <c r="U15" s="501"/>
      <c r="V15" s="507">
        <f t="shared" si="2"/>
        <v>0</v>
      </c>
      <c r="W15" s="501"/>
      <c r="X15" s="501"/>
      <c r="Y15" s="501"/>
    </row>
    <row r="16" spans="1:25" s="113" customFormat="1" ht="10.5" customHeight="1" outlineLevel="1">
      <c r="A16" s="501"/>
      <c r="B16" s="502" t="s">
        <v>886</v>
      </c>
      <c r="C16" s="503"/>
      <c r="D16" s="504">
        <v>10071</v>
      </c>
      <c r="E16" s="504" t="s">
        <v>988</v>
      </c>
      <c r="F16" s="505"/>
      <c r="G16" s="505"/>
      <c r="H16" s="501"/>
      <c r="I16" s="501"/>
      <c r="J16" s="506">
        <v>15024.4</v>
      </c>
      <c r="K16" s="501"/>
      <c r="L16" s="506">
        <v>0</v>
      </c>
      <c r="M16" s="501"/>
      <c r="N16" s="507">
        <v>0</v>
      </c>
      <c r="O16" s="501"/>
      <c r="P16" s="506">
        <f t="shared" si="0"/>
        <v>15024.4</v>
      </c>
      <c r="Q16" s="501"/>
      <c r="R16" s="506">
        <v>15024.4</v>
      </c>
      <c r="S16" s="506">
        <v>15024.4</v>
      </c>
      <c r="T16" s="506">
        <f t="shared" si="1"/>
        <v>15024.4</v>
      </c>
      <c r="U16" s="501"/>
      <c r="V16" s="507">
        <f t="shared" si="2"/>
        <v>0</v>
      </c>
      <c r="W16" s="501"/>
      <c r="X16" s="501"/>
    </row>
    <row r="17" spans="1:25" s="113" customFormat="1" ht="10.5" customHeight="1" outlineLevel="1">
      <c r="A17" s="501"/>
      <c r="B17" s="502" t="s">
        <v>206</v>
      </c>
      <c r="C17" s="503"/>
      <c r="D17" s="504">
        <v>10092</v>
      </c>
      <c r="E17" s="504" t="s">
        <v>989</v>
      </c>
      <c r="F17" s="505"/>
      <c r="G17" s="505"/>
      <c r="H17" s="501"/>
      <c r="I17" s="501"/>
      <c r="J17" s="506">
        <v>0</v>
      </c>
      <c r="K17" s="501"/>
      <c r="L17" s="506">
        <v>0</v>
      </c>
      <c r="M17" s="501"/>
      <c r="N17" s="507">
        <v>0</v>
      </c>
      <c r="O17" s="501"/>
      <c r="P17" s="506">
        <f t="shared" si="0"/>
        <v>0</v>
      </c>
      <c r="Q17" s="501"/>
      <c r="R17" s="506">
        <v>0</v>
      </c>
      <c r="S17" s="506">
        <v>0</v>
      </c>
      <c r="T17" s="506">
        <f t="shared" si="1"/>
        <v>0</v>
      </c>
      <c r="U17" s="501"/>
      <c r="V17" s="507">
        <f t="shared" si="2"/>
        <v>0</v>
      </c>
      <c r="W17" s="501"/>
      <c r="X17" s="501"/>
    </row>
    <row r="18" spans="1:25" s="113" customFormat="1" ht="10.5" customHeight="1" outlineLevel="1">
      <c r="A18" s="501"/>
      <c r="B18" s="502" t="s">
        <v>206</v>
      </c>
      <c r="C18" s="503"/>
      <c r="D18" s="504">
        <v>10093</v>
      </c>
      <c r="E18" s="504" t="s">
        <v>990</v>
      </c>
      <c r="F18" s="505"/>
      <c r="G18" s="505"/>
      <c r="H18" s="501"/>
      <c r="I18" s="501"/>
      <c r="J18" s="506">
        <v>0</v>
      </c>
      <c r="K18" s="501"/>
      <c r="L18" s="506">
        <v>0</v>
      </c>
      <c r="M18" s="501"/>
      <c r="N18" s="507">
        <v>0</v>
      </c>
      <c r="O18" s="501"/>
      <c r="P18" s="506">
        <f t="shared" si="0"/>
        <v>0</v>
      </c>
      <c r="Q18" s="501"/>
      <c r="R18" s="506">
        <v>0</v>
      </c>
      <c r="S18" s="506">
        <v>0</v>
      </c>
      <c r="T18" s="506">
        <f t="shared" si="1"/>
        <v>0</v>
      </c>
      <c r="U18" s="501"/>
      <c r="V18" s="507">
        <f t="shared" si="2"/>
        <v>0</v>
      </c>
      <c r="W18" s="501"/>
      <c r="X18" s="501"/>
    </row>
    <row r="19" spans="1:25" s="113" customFormat="1" ht="10.5" customHeight="1" outlineLevel="1">
      <c r="A19" s="501"/>
      <c r="B19" s="502" t="s">
        <v>206</v>
      </c>
      <c r="C19" s="503"/>
      <c r="D19" s="504">
        <v>10095</v>
      </c>
      <c r="E19" s="504" t="s">
        <v>991</v>
      </c>
      <c r="F19" s="505"/>
      <c r="G19" s="505"/>
      <c r="H19" s="501"/>
      <c r="I19" s="501"/>
      <c r="J19" s="506">
        <v>-13.05</v>
      </c>
      <c r="K19" s="501"/>
      <c r="L19" s="506">
        <v>0</v>
      </c>
      <c r="M19" s="501"/>
      <c r="N19" s="507">
        <v>0</v>
      </c>
      <c r="O19" s="501"/>
      <c r="P19" s="506">
        <f t="shared" si="0"/>
        <v>-13.05</v>
      </c>
      <c r="Q19" s="501"/>
      <c r="R19" s="506">
        <v>0</v>
      </c>
      <c r="S19" s="506">
        <v>0</v>
      </c>
      <c r="T19" s="506">
        <f t="shared" si="1"/>
        <v>-13.05</v>
      </c>
      <c r="U19" s="501"/>
      <c r="V19" s="507">
        <f t="shared" si="2"/>
        <v>-13.05</v>
      </c>
      <c r="W19" s="501"/>
      <c r="X19" s="501"/>
    </row>
    <row r="20" spans="1:25" s="113" customFormat="1" ht="10.5" customHeight="1" outlineLevel="1">
      <c r="A20" s="501"/>
      <c r="B20" s="502" t="s">
        <v>206</v>
      </c>
      <c r="C20" s="503"/>
      <c r="D20" s="504">
        <v>10096</v>
      </c>
      <c r="E20" s="504" t="s">
        <v>992</v>
      </c>
      <c r="F20" s="505"/>
      <c r="G20" s="505"/>
      <c r="H20" s="501"/>
      <c r="I20" s="501"/>
      <c r="J20" s="506">
        <v>103.17</v>
      </c>
      <c r="K20" s="501"/>
      <c r="L20" s="506">
        <v>0</v>
      </c>
      <c r="M20" s="501"/>
      <c r="N20" s="507">
        <v>0</v>
      </c>
      <c r="O20" s="501"/>
      <c r="P20" s="506">
        <f t="shared" si="0"/>
        <v>103.17</v>
      </c>
      <c r="Q20" s="501"/>
      <c r="R20" s="506">
        <v>0</v>
      </c>
      <c r="S20" s="506">
        <v>0</v>
      </c>
      <c r="T20" s="506">
        <f t="shared" si="1"/>
        <v>103.17</v>
      </c>
      <c r="U20" s="501"/>
      <c r="V20" s="507">
        <f t="shared" si="2"/>
        <v>103.17</v>
      </c>
      <c r="W20" s="501"/>
      <c r="X20" s="501"/>
    </row>
    <row r="21" spans="1:25" s="113" customFormat="1" ht="10.5" customHeight="1" outlineLevel="1">
      <c r="A21" s="501"/>
      <c r="B21" s="502" t="s">
        <v>206</v>
      </c>
      <c r="C21" s="503"/>
      <c r="D21" s="504">
        <v>10097</v>
      </c>
      <c r="E21" s="504" t="s">
        <v>993</v>
      </c>
      <c r="F21" s="505"/>
      <c r="G21" s="505"/>
      <c r="H21" s="501"/>
      <c r="I21" s="501"/>
      <c r="J21" s="506">
        <v>0</v>
      </c>
      <c r="K21" s="501"/>
      <c r="L21" s="506">
        <v>0</v>
      </c>
      <c r="M21" s="501"/>
      <c r="N21" s="507">
        <v>0</v>
      </c>
      <c r="O21" s="501"/>
      <c r="P21" s="506">
        <f t="shared" si="0"/>
        <v>0</v>
      </c>
      <c r="Q21" s="501"/>
      <c r="R21" s="506">
        <v>-2021.56</v>
      </c>
      <c r="S21" s="506">
        <v>0</v>
      </c>
      <c r="T21" s="506">
        <f t="shared" si="1"/>
        <v>0</v>
      </c>
      <c r="U21" s="501"/>
      <c r="V21" s="507">
        <f t="shared" si="2"/>
        <v>0</v>
      </c>
      <c r="W21" s="501"/>
      <c r="X21" s="501"/>
    </row>
    <row r="22" spans="1:25" s="113" customFormat="1" ht="10.5" customHeight="1" outlineLevel="1">
      <c r="A22" s="501"/>
      <c r="B22" s="502" t="s">
        <v>206</v>
      </c>
      <c r="C22" s="503"/>
      <c r="D22" s="504">
        <v>10098</v>
      </c>
      <c r="E22" s="504" t="s">
        <v>994</v>
      </c>
      <c r="F22" s="505"/>
      <c r="G22" s="505"/>
      <c r="H22" s="501"/>
      <c r="I22" s="501"/>
      <c r="J22" s="506">
        <v>0</v>
      </c>
      <c r="K22" s="501"/>
      <c r="L22" s="506">
        <v>0</v>
      </c>
      <c r="M22" s="501"/>
      <c r="N22" s="507">
        <v>0</v>
      </c>
      <c r="O22" s="501"/>
      <c r="P22" s="506">
        <f t="shared" si="0"/>
        <v>0</v>
      </c>
      <c r="Q22" s="501"/>
      <c r="R22" s="506">
        <v>0</v>
      </c>
      <c r="S22" s="506">
        <v>0</v>
      </c>
      <c r="T22" s="506">
        <f t="shared" si="1"/>
        <v>0</v>
      </c>
      <c r="U22" s="501"/>
      <c r="V22" s="507">
        <f t="shared" si="2"/>
        <v>0</v>
      </c>
      <c r="W22" s="501"/>
      <c r="X22" s="501"/>
    </row>
    <row r="23" spans="1:25" s="113" customFormat="1" ht="10.5" customHeight="1" outlineLevel="1">
      <c r="A23" s="501"/>
      <c r="B23" s="502" t="s">
        <v>206</v>
      </c>
      <c r="C23" s="503"/>
      <c r="D23" s="504">
        <v>10099</v>
      </c>
      <c r="E23" s="504" t="s">
        <v>995</v>
      </c>
      <c r="F23" s="505"/>
      <c r="G23" s="505"/>
      <c r="H23" s="501"/>
      <c r="I23" s="501"/>
      <c r="J23" s="506">
        <v>0</v>
      </c>
      <c r="K23" s="501"/>
      <c r="L23" s="506">
        <v>0</v>
      </c>
      <c r="M23" s="501"/>
      <c r="N23" s="507">
        <v>0</v>
      </c>
      <c r="O23" s="501"/>
      <c r="P23" s="506">
        <f t="shared" si="0"/>
        <v>0</v>
      </c>
      <c r="Q23" s="501"/>
      <c r="R23" s="506">
        <v>20.239999999999998</v>
      </c>
      <c r="S23" s="506">
        <v>0</v>
      </c>
      <c r="T23" s="506">
        <f t="shared" si="1"/>
        <v>0</v>
      </c>
      <c r="U23" s="501"/>
      <c r="V23" s="507">
        <f t="shared" si="2"/>
        <v>0</v>
      </c>
      <c r="W23" s="501"/>
      <c r="X23" s="501"/>
    </row>
    <row r="24" spans="1:25" s="113" customFormat="1" ht="10.5" customHeight="1" outlineLevel="1">
      <c r="A24" s="501"/>
      <c r="B24" s="502" t="s">
        <v>206</v>
      </c>
      <c r="C24" s="503"/>
      <c r="D24" s="501"/>
      <c r="E24" s="501"/>
      <c r="F24" s="501"/>
      <c r="G24" s="501"/>
      <c r="H24" s="501"/>
      <c r="I24" s="501"/>
      <c r="J24" s="529"/>
      <c r="K24" s="501"/>
      <c r="L24" s="529"/>
      <c r="M24" s="501"/>
      <c r="N24" s="529"/>
      <c r="O24" s="501"/>
      <c r="P24" s="529"/>
      <c r="Q24" s="501"/>
      <c r="R24" s="529"/>
      <c r="S24" s="529"/>
      <c r="T24" s="529"/>
      <c r="U24" s="501"/>
      <c r="V24" s="529"/>
      <c r="W24" s="501"/>
      <c r="X24" s="501"/>
    </row>
    <row r="25" spans="1:25" s="113" customFormat="1" ht="10.5" customHeight="1" outlineLevel="1">
      <c r="A25" s="501"/>
      <c r="B25" s="502" t="s">
        <v>206</v>
      </c>
      <c r="C25" s="503"/>
      <c r="D25" s="501"/>
      <c r="E25" s="501"/>
      <c r="F25" s="501" t="s">
        <v>996</v>
      </c>
      <c r="G25" s="501"/>
      <c r="H25" s="501"/>
      <c r="I25" s="501"/>
      <c r="J25" s="530">
        <f>SUM(J14:J24)</f>
        <v>90.12</v>
      </c>
      <c r="K25" s="501"/>
      <c r="L25" s="530">
        <f>SUM(L14:L24)</f>
        <v>0</v>
      </c>
      <c r="M25" s="501"/>
      <c r="N25" s="531">
        <f>SUM(N14:N24)</f>
        <v>0</v>
      </c>
      <c r="O25" s="501"/>
      <c r="P25" s="530">
        <f t="shared" ref="P25:P32" si="3">J25+L25+N25</f>
        <v>90.12</v>
      </c>
      <c r="Q25" s="501"/>
      <c r="R25" s="530">
        <f>SUM(R14:R24)</f>
        <v>-2001.32</v>
      </c>
      <c r="S25" s="530">
        <f>SUM(S14:S24)</f>
        <v>56.389999999999418</v>
      </c>
      <c r="T25" s="530">
        <f>SUM(T14:T24)</f>
        <v>90.12</v>
      </c>
      <c r="U25" s="501"/>
      <c r="V25" s="531">
        <f>SUM(V14:V24)</f>
        <v>33.730000000000004</v>
      </c>
      <c r="W25" s="501"/>
      <c r="X25" s="501"/>
    </row>
    <row r="26" spans="1:25" s="113" customFormat="1" ht="10.5" customHeight="1" outlineLevel="1">
      <c r="A26" s="154"/>
      <c r="B26" s="528" t="s">
        <v>198</v>
      </c>
      <c r="C26" s="528"/>
      <c r="D26" s="504">
        <v>11501</v>
      </c>
      <c r="E26" s="504" t="s">
        <v>997</v>
      </c>
      <c r="F26" s="505"/>
      <c r="G26" s="505"/>
      <c r="H26" s="501"/>
      <c r="I26" s="501"/>
      <c r="J26" s="506">
        <v>129041.94</v>
      </c>
      <c r="K26" s="501"/>
      <c r="L26" s="506">
        <v>0</v>
      </c>
      <c r="M26" s="501"/>
      <c r="N26" s="507">
        <v>0</v>
      </c>
      <c r="O26" s="501"/>
      <c r="P26" s="506">
        <f t="shared" si="3"/>
        <v>129041.94</v>
      </c>
      <c r="Q26" s="501"/>
      <c r="R26" s="506">
        <v>113299.95</v>
      </c>
      <c r="S26" s="506">
        <v>122701.72</v>
      </c>
      <c r="T26" s="506">
        <f t="shared" ref="T26:T32" si="4">P26</f>
        <v>129041.94</v>
      </c>
      <c r="U26" s="501"/>
      <c r="V26" s="507">
        <f t="shared" ref="V26:V32" si="5">T26-S26</f>
        <v>6340.2200000000012</v>
      </c>
      <c r="W26" s="501"/>
      <c r="X26" s="501"/>
      <c r="Y26" s="501"/>
    </row>
    <row r="27" spans="1:25" s="113" customFormat="1" ht="10.5" customHeight="1">
      <c r="A27" s="503" t="s">
        <v>886</v>
      </c>
      <c r="B27" s="503" t="s">
        <v>198</v>
      </c>
      <c r="C27" s="503"/>
      <c r="D27" s="504">
        <v>11502</v>
      </c>
      <c r="E27" s="504" t="s">
        <v>998</v>
      </c>
      <c r="F27" s="505"/>
      <c r="G27" s="505"/>
      <c r="H27" s="501"/>
      <c r="I27" s="501"/>
      <c r="J27" s="506">
        <v>-50</v>
      </c>
      <c r="K27" s="501"/>
      <c r="L27" s="506">
        <v>0</v>
      </c>
      <c r="M27" s="501"/>
      <c r="N27" s="507">
        <v>0</v>
      </c>
      <c r="O27" s="501"/>
      <c r="P27" s="506">
        <f t="shared" si="3"/>
        <v>-50</v>
      </c>
      <c r="Q27" s="501"/>
      <c r="R27" s="506">
        <v>0</v>
      </c>
      <c r="S27" s="506">
        <v>0</v>
      </c>
      <c r="T27" s="506">
        <f t="shared" si="4"/>
        <v>-50</v>
      </c>
      <c r="U27" s="501"/>
      <c r="V27" s="507">
        <f t="shared" si="5"/>
        <v>-50</v>
      </c>
      <c r="W27" s="501"/>
      <c r="X27" s="501"/>
      <c r="Y27" s="501"/>
    </row>
    <row r="28" spans="1:25" s="113" customFormat="1" ht="10.5" customHeight="1" outlineLevel="1">
      <c r="A28" s="501"/>
      <c r="B28" s="502" t="s">
        <v>888</v>
      </c>
      <c r="C28" s="503"/>
      <c r="D28" s="504">
        <v>11510</v>
      </c>
      <c r="E28" s="504" t="s">
        <v>999</v>
      </c>
      <c r="F28" s="505"/>
      <c r="G28" s="505"/>
      <c r="H28" s="501"/>
      <c r="I28" s="501"/>
      <c r="J28" s="506">
        <v>645.71</v>
      </c>
      <c r="K28" s="501"/>
      <c r="L28" s="506">
        <v>0</v>
      </c>
      <c r="M28" s="501"/>
      <c r="N28" s="507">
        <v>0</v>
      </c>
      <c r="O28" s="501"/>
      <c r="P28" s="506">
        <f t="shared" si="3"/>
        <v>645.71</v>
      </c>
      <c r="Q28" s="501"/>
      <c r="R28" s="506">
        <v>3597.74</v>
      </c>
      <c r="S28" s="506">
        <v>3725.69</v>
      </c>
      <c r="T28" s="506">
        <f t="shared" si="4"/>
        <v>645.71</v>
      </c>
      <c r="U28" s="501"/>
      <c r="V28" s="507">
        <f t="shared" si="5"/>
        <v>-3079.98</v>
      </c>
      <c r="W28" s="501"/>
      <c r="X28" s="501"/>
    </row>
    <row r="29" spans="1:25" s="113" customFormat="1" ht="10.5" customHeight="1" outlineLevel="1">
      <c r="A29" s="501"/>
      <c r="B29" s="502" t="s">
        <v>206</v>
      </c>
      <c r="C29" s="503"/>
      <c r="D29" s="504">
        <v>11800</v>
      </c>
      <c r="E29" s="504" t="s">
        <v>1000</v>
      </c>
      <c r="F29" s="505"/>
      <c r="G29" s="505"/>
      <c r="H29" s="501"/>
      <c r="I29" s="501"/>
      <c r="J29" s="506">
        <v>1309.6500000000001</v>
      </c>
      <c r="K29" s="501"/>
      <c r="L29" s="506">
        <v>0</v>
      </c>
      <c r="M29" s="501"/>
      <c r="N29" s="507">
        <v>0</v>
      </c>
      <c r="O29" s="501"/>
      <c r="P29" s="506">
        <f t="shared" si="3"/>
        <v>1309.6500000000001</v>
      </c>
      <c r="Q29" s="501"/>
      <c r="R29" s="506">
        <v>0</v>
      </c>
      <c r="S29" s="506">
        <v>0</v>
      </c>
      <c r="T29" s="506">
        <f t="shared" si="4"/>
        <v>1309.6500000000001</v>
      </c>
      <c r="U29" s="501"/>
      <c r="V29" s="507">
        <f t="shared" si="5"/>
        <v>1309.6500000000001</v>
      </c>
      <c r="W29" s="501"/>
      <c r="X29" s="501"/>
    </row>
    <row r="30" spans="1:25" s="113" customFormat="1" ht="10.5" customHeight="1" outlineLevel="1">
      <c r="A30" s="501"/>
      <c r="B30" s="502" t="s">
        <v>206</v>
      </c>
      <c r="C30" s="503"/>
      <c r="D30" s="504">
        <v>11901</v>
      </c>
      <c r="E30" s="504" t="s">
        <v>1001</v>
      </c>
      <c r="F30" s="505"/>
      <c r="G30" s="505"/>
      <c r="H30" s="501"/>
      <c r="I30" s="501"/>
      <c r="J30" s="506">
        <v>-23568.47</v>
      </c>
      <c r="K30" s="501"/>
      <c r="L30" s="506">
        <v>0</v>
      </c>
      <c r="M30" s="501"/>
      <c r="N30" s="507">
        <v>0</v>
      </c>
      <c r="O30" s="501"/>
      <c r="P30" s="506">
        <f t="shared" si="3"/>
        <v>-23568.47</v>
      </c>
      <c r="Q30" s="501"/>
      <c r="R30" s="506">
        <v>-21411.85</v>
      </c>
      <c r="S30" s="506">
        <v>-22242.77</v>
      </c>
      <c r="T30" s="506">
        <f t="shared" si="4"/>
        <v>-23568.47</v>
      </c>
      <c r="U30" s="501"/>
      <c r="V30" s="507">
        <f t="shared" si="5"/>
        <v>-1325.7000000000007</v>
      </c>
      <c r="W30" s="501"/>
      <c r="X30" s="501"/>
    </row>
    <row r="31" spans="1:25" s="113" customFormat="1" ht="10.5" customHeight="1" outlineLevel="1">
      <c r="A31" s="501"/>
      <c r="B31" s="502" t="s">
        <v>206</v>
      </c>
      <c r="C31" s="503"/>
      <c r="D31" s="504">
        <v>11902</v>
      </c>
      <c r="E31" s="504" t="s">
        <v>1002</v>
      </c>
      <c r="F31" s="505"/>
      <c r="G31" s="505"/>
      <c r="H31" s="501"/>
      <c r="I31" s="501"/>
      <c r="J31" s="506">
        <v>30929.360000000001</v>
      </c>
      <c r="K31" s="501"/>
      <c r="L31" s="506">
        <v>0</v>
      </c>
      <c r="M31" s="501"/>
      <c r="N31" s="507">
        <v>0</v>
      </c>
      <c r="O31" s="501"/>
      <c r="P31" s="506">
        <f t="shared" si="3"/>
        <v>30929.360000000001</v>
      </c>
      <c r="Q31" s="501"/>
      <c r="R31" s="506">
        <v>28460.62</v>
      </c>
      <c r="S31" s="506">
        <v>30084.560000000001</v>
      </c>
      <c r="T31" s="506">
        <f t="shared" si="4"/>
        <v>30929.360000000001</v>
      </c>
      <c r="U31" s="501"/>
      <c r="V31" s="507">
        <f t="shared" si="5"/>
        <v>844.79999999999927</v>
      </c>
      <c r="W31" s="501"/>
      <c r="X31" s="501"/>
    </row>
    <row r="32" spans="1:25" s="113" customFormat="1" ht="10.5" customHeight="1" outlineLevel="1">
      <c r="A32" s="501"/>
      <c r="B32" s="502" t="s">
        <v>206</v>
      </c>
      <c r="C32" s="503"/>
      <c r="D32" s="504">
        <v>11903</v>
      </c>
      <c r="E32" s="504" t="s">
        <v>1003</v>
      </c>
      <c r="F32" s="505"/>
      <c r="G32" s="505"/>
      <c r="H32" s="501"/>
      <c r="I32" s="501"/>
      <c r="J32" s="506">
        <v>-8622.91</v>
      </c>
      <c r="K32" s="501"/>
      <c r="L32" s="506">
        <v>0</v>
      </c>
      <c r="M32" s="501"/>
      <c r="N32" s="507">
        <v>0</v>
      </c>
      <c r="O32" s="501"/>
      <c r="P32" s="506">
        <f t="shared" si="3"/>
        <v>-8622.91</v>
      </c>
      <c r="Q32" s="501"/>
      <c r="R32" s="506">
        <v>-8168.78</v>
      </c>
      <c r="S32" s="506">
        <v>-8418.86</v>
      </c>
      <c r="T32" s="506">
        <f t="shared" si="4"/>
        <v>-8622.91</v>
      </c>
      <c r="U32" s="501"/>
      <c r="V32" s="507">
        <f t="shared" si="5"/>
        <v>-204.04999999999927</v>
      </c>
      <c r="W32" s="501"/>
      <c r="X32" s="501"/>
    </row>
    <row r="33" spans="1:25" s="113" customFormat="1" outlineLevel="1">
      <c r="A33" s="501"/>
      <c r="B33" s="502" t="s">
        <v>206</v>
      </c>
      <c r="C33" s="503"/>
      <c r="D33" s="505"/>
      <c r="E33" s="505"/>
      <c r="F33" s="505"/>
      <c r="G33" s="505"/>
      <c r="H33" s="501"/>
      <c r="I33" s="501"/>
      <c r="J33" s="532"/>
      <c r="K33" s="501"/>
      <c r="L33" s="532"/>
      <c r="M33" s="501"/>
      <c r="N33" s="533"/>
      <c r="O33" s="501"/>
      <c r="P33" s="532"/>
      <c r="Q33" s="501"/>
      <c r="R33" s="532"/>
      <c r="S33" s="532"/>
      <c r="T33" s="532"/>
      <c r="U33" s="501"/>
      <c r="V33" s="533"/>
      <c r="W33" s="501"/>
      <c r="X33" s="501"/>
    </row>
    <row r="34" spans="1:25" s="113" customFormat="1" outlineLevel="1">
      <c r="A34" s="501"/>
      <c r="B34" s="502" t="s">
        <v>206</v>
      </c>
      <c r="C34" s="503"/>
      <c r="D34" s="501"/>
      <c r="E34" s="501"/>
      <c r="F34" s="504" t="s">
        <v>1004</v>
      </c>
      <c r="G34" s="501"/>
      <c r="H34" s="501"/>
      <c r="I34" s="501"/>
      <c r="J34" s="530">
        <f>SUM(J26:J33)</f>
        <v>129685.28</v>
      </c>
      <c r="K34" s="501"/>
      <c r="L34" s="530">
        <f>SUM(L26:L33)</f>
        <v>0</v>
      </c>
      <c r="M34" s="501"/>
      <c r="N34" s="531">
        <f>SUM(N26:N33)</f>
        <v>0</v>
      </c>
      <c r="O34" s="501"/>
      <c r="P34" s="530">
        <f>J34+L34+N34</f>
        <v>129685.28</v>
      </c>
      <c r="Q34" s="501"/>
      <c r="R34" s="530">
        <f>SUM(R26:R33)</f>
        <v>115777.68</v>
      </c>
      <c r="S34" s="530">
        <f>SUM(S26:S33)</f>
        <v>125850.34000000001</v>
      </c>
      <c r="T34" s="530">
        <f>SUM(T26:T33)</f>
        <v>129685.28</v>
      </c>
      <c r="U34" s="501"/>
      <c r="V34" s="531">
        <f>SUM(V26:V33)</f>
        <v>3834.9400000000005</v>
      </c>
      <c r="W34" s="501"/>
      <c r="X34" s="501"/>
    </row>
    <row r="35" spans="1:25" s="113" customFormat="1" outlineLevel="1">
      <c r="A35" s="503"/>
      <c r="B35" s="528"/>
      <c r="C35" s="528"/>
      <c r="D35" s="504"/>
      <c r="E35" s="504"/>
      <c r="F35" s="505"/>
      <c r="G35" s="505"/>
      <c r="H35" s="501"/>
      <c r="I35" s="501"/>
      <c r="J35" s="506"/>
      <c r="K35" s="501"/>
      <c r="L35" s="506"/>
      <c r="M35" s="501"/>
      <c r="N35" s="507"/>
      <c r="O35" s="501"/>
      <c r="P35" s="506"/>
      <c r="Q35" s="501"/>
      <c r="R35" s="506"/>
      <c r="S35" s="506"/>
      <c r="T35" s="506"/>
      <c r="U35" s="501"/>
      <c r="V35" s="507"/>
      <c r="W35" s="501"/>
      <c r="X35" s="501"/>
      <c r="Y35" s="501"/>
    </row>
    <row r="36" spans="1:25" s="113" customFormat="1">
      <c r="A36" s="503" t="s">
        <v>888</v>
      </c>
      <c r="B36" s="503" t="s">
        <v>198</v>
      </c>
      <c r="C36" s="503"/>
      <c r="D36" s="505"/>
      <c r="E36" s="505"/>
      <c r="F36" s="505"/>
      <c r="G36" s="505"/>
      <c r="H36" s="501"/>
      <c r="I36" s="501"/>
      <c r="J36" s="532"/>
      <c r="K36" s="501"/>
      <c r="L36" s="532"/>
      <c r="M36" s="501"/>
      <c r="N36" s="533"/>
      <c r="O36" s="501"/>
      <c r="P36" s="532"/>
      <c r="Q36" s="501"/>
      <c r="R36" s="532"/>
      <c r="S36" s="532"/>
      <c r="T36" s="532"/>
      <c r="U36" s="501"/>
      <c r="V36" s="533"/>
      <c r="W36" s="501"/>
      <c r="X36" s="501"/>
      <c r="Y36" s="501"/>
    </row>
    <row r="37" spans="1:25" s="113" customFormat="1" ht="10.5" customHeight="1" outlineLevel="1">
      <c r="A37" s="501"/>
      <c r="B37" s="502" t="s">
        <v>892</v>
      </c>
      <c r="C37" s="503"/>
      <c r="D37" s="501"/>
      <c r="E37" s="501"/>
      <c r="F37" s="504" t="s">
        <v>893</v>
      </c>
      <c r="G37" s="501"/>
      <c r="H37" s="501"/>
      <c r="I37" s="501"/>
      <c r="J37" s="530">
        <f>SUM(J35:J36)</f>
        <v>0</v>
      </c>
      <c r="K37" s="501"/>
      <c r="L37" s="530">
        <f>SUM(L35:L36)</f>
        <v>0</v>
      </c>
      <c r="M37" s="501"/>
      <c r="N37" s="531">
        <f>SUM(N35:N36)</f>
        <v>0</v>
      </c>
      <c r="O37" s="501"/>
      <c r="P37" s="530">
        <f>J37+L37+N37</f>
        <v>0</v>
      </c>
      <c r="Q37" s="501"/>
      <c r="R37" s="530">
        <f>SUM(R35:R36)</f>
        <v>0</v>
      </c>
      <c r="S37" s="530">
        <f>SUM(S35:S36)</f>
        <v>0</v>
      </c>
      <c r="T37" s="530">
        <f>SUM(T35:T36)</f>
        <v>0</v>
      </c>
      <c r="U37" s="501"/>
      <c r="V37" s="531">
        <f>SUM(V35:V36)</f>
        <v>0</v>
      </c>
      <c r="W37" s="501"/>
      <c r="X37" s="501"/>
    </row>
    <row r="38" spans="1:25" s="113" customFormat="1" ht="12.75" customHeight="1" outlineLevel="1">
      <c r="A38" s="503" t="s">
        <v>198</v>
      </c>
      <c r="B38" s="528" t="s">
        <v>198</v>
      </c>
      <c r="C38" s="528"/>
      <c r="D38" s="504">
        <v>13001</v>
      </c>
      <c r="E38" s="504" t="s">
        <v>1005</v>
      </c>
      <c r="F38" s="505"/>
      <c r="G38" s="505"/>
      <c r="H38" s="501"/>
      <c r="I38" s="501"/>
      <c r="J38" s="506">
        <v>0</v>
      </c>
      <c r="K38" s="501"/>
      <c r="L38" s="506">
        <v>0</v>
      </c>
      <c r="M38" s="501"/>
      <c r="N38" s="507">
        <v>0</v>
      </c>
      <c r="O38" s="501"/>
      <c r="P38" s="506">
        <f>J38+L38+N38</f>
        <v>0</v>
      </c>
      <c r="Q38" s="501"/>
      <c r="R38" s="506">
        <v>835.96</v>
      </c>
      <c r="S38" s="506">
        <v>417.98</v>
      </c>
      <c r="T38" s="506">
        <f t="shared" ref="T38:T41" si="6">P38</f>
        <v>0</v>
      </c>
      <c r="U38" s="501"/>
      <c r="V38" s="507">
        <f t="shared" ref="V38:V41" si="7">T38-S38</f>
        <v>-417.98</v>
      </c>
      <c r="W38" s="501"/>
      <c r="X38" s="501"/>
      <c r="Y38" s="501"/>
    </row>
    <row r="39" spans="1:25" s="113" customFormat="1" ht="12.75" customHeight="1">
      <c r="A39" s="503" t="s">
        <v>892</v>
      </c>
      <c r="B39" s="503" t="s">
        <v>198</v>
      </c>
      <c r="C39" s="503"/>
      <c r="D39" s="504">
        <v>13003</v>
      </c>
      <c r="E39" s="504" t="s">
        <v>1006</v>
      </c>
      <c r="F39" s="505"/>
      <c r="G39" s="505"/>
      <c r="H39" s="501"/>
      <c r="I39" s="501"/>
      <c r="J39" s="506">
        <v>298</v>
      </c>
      <c r="K39" s="501"/>
      <c r="L39" s="506">
        <v>0</v>
      </c>
      <c r="M39" s="501"/>
      <c r="N39" s="507">
        <v>0</v>
      </c>
      <c r="O39" s="501"/>
      <c r="P39" s="506">
        <f>J39+L39+N39</f>
        <v>298</v>
      </c>
      <c r="Q39" s="501"/>
      <c r="R39" s="506">
        <v>0</v>
      </c>
      <c r="S39" s="506">
        <v>0</v>
      </c>
      <c r="T39" s="506">
        <f t="shared" si="6"/>
        <v>298</v>
      </c>
      <c r="U39" s="501"/>
      <c r="V39" s="507">
        <f t="shared" si="7"/>
        <v>298</v>
      </c>
      <c r="W39" s="501"/>
      <c r="X39" s="501"/>
      <c r="Y39" s="501"/>
    </row>
    <row r="40" spans="1:25" s="113" customFormat="1" ht="12.75" customHeight="1" outlineLevel="1">
      <c r="A40" s="501"/>
      <c r="B40" s="502" t="s">
        <v>894</v>
      </c>
      <c r="C40" s="503"/>
      <c r="D40" s="504">
        <v>13004</v>
      </c>
      <c r="E40" s="504" t="s">
        <v>1007</v>
      </c>
      <c r="F40" s="505"/>
      <c r="G40" s="505"/>
      <c r="H40" s="501"/>
      <c r="I40" s="501"/>
      <c r="J40" s="506">
        <v>0</v>
      </c>
      <c r="K40" s="501"/>
      <c r="L40" s="506">
        <v>0</v>
      </c>
      <c r="M40" s="501"/>
      <c r="N40" s="507">
        <v>0</v>
      </c>
      <c r="O40" s="501"/>
      <c r="P40" s="506">
        <f>J40+L40+N40</f>
        <v>0</v>
      </c>
      <c r="Q40" s="501"/>
      <c r="R40" s="506">
        <v>361.27</v>
      </c>
      <c r="S40" s="506">
        <v>180.63</v>
      </c>
      <c r="T40" s="506">
        <f t="shared" si="6"/>
        <v>0</v>
      </c>
      <c r="U40" s="501"/>
      <c r="V40" s="507">
        <f t="shared" si="7"/>
        <v>-180.63</v>
      </c>
      <c r="W40" s="501"/>
      <c r="X40" s="501"/>
    </row>
    <row r="41" spans="1:25" s="113" customFormat="1" ht="10.5" customHeight="1" outlineLevel="1">
      <c r="A41" s="501"/>
      <c r="B41" s="502" t="s">
        <v>206</v>
      </c>
      <c r="C41" s="503"/>
      <c r="D41" s="504">
        <v>13008</v>
      </c>
      <c r="E41" s="504" t="s">
        <v>1008</v>
      </c>
      <c r="F41" s="505"/>
      <c r="G41" s="505"/>
      <c r="H41" s="501"/>
      <c r="I41" s="501"/>
      <c r="J41" s="506">
        <v>896.7</v>
      </c>
      <c r="K41" s="501"/>
      <c r="L41" s="506">
        <v>0</v>
      </c>
      <c r="M41" s="501"/>
      <c r="N41" s="507">
        <v>0</v>
      </c>
      <c r="O41" s="501"/>
      <c r="P41" s="506">
        <f>J41+L41+N41</f>
        <v>896.7</v>
      </c>
      <c r="Q41" s="501"/>
      <c r="R41" s="506">
        <v>1043.4000000000001</v>
      </c>
      <c r="S41" s="506">
        <v>970.05</v>
      </c>
      <c r="T41" s="506">
        <f t="shared" si="6"/>
        <v>896.7</v>
      </c>
      <c r="U41" s="501"/>
      <c r="V41" s="507">
        <f t="shared" si="7"/>
        <v>-73.349999999999909</v>
      </c>
      <c r="W41" s="501"/>
      <c r="X41" s="501"/>
    </row>
    <row r="42" spans="1:25" s="113" customFormat="1" ht="10.5" customHeight="1" outlineLevel="1">
      <c r="A42" s="501"/>
      <c r="B42" s="502" t="s">
        <v>206</v>
      </c>
      <c r="C42" s="503"/>
      <c r="D42" s="505"/>
      <c r="E42" s="505"/>
      <c r="F42" s="505"/>
      <c r="G42" s="505"/>
      <c r="H42" s="501"/>
      <c r="I42" s="501"/>
      <c r="J42" s="532"/>
      <c r="K42" s="501"/>
      <c r="L42" s="532"/>
      <c r="M42" s="501"/>
      <c r="N42" s="533"/>
      <c r="O42" s="501"/>
      <c r="P42" s="532"/>
      <c r="Q42" s="501"/>
      <c r="R42" s="532"/>
      <c r="S42" s="532"/>
      <c r="T42" s="532"/>
      <c r="U42" s="501"/>
      <c r="V42" s="533"/>
      <c r="W42" s="501"/>
      <c r="X42" s="501"/>
    </row>
    <row r="43" spans="1:25" s="113" customFormat="1" ht="10.5" customHeight="1" outlineLevel="1">
      <c r="A43" s="501"/>
      <c r="B43" s="502" t="s">
        <v>206</v>
      </c>
      <c r="C43" s="503"/>
      <c r="D43" s="501"/>
      <c r="E43" s="501"/>
      <c r="F43" s="504" t="s">
        <v>1009</v>
      </c>
      <c r="G43" s="501"/>
      <c r="H43" s="501"/>
      <c r="I43" s="501"/>
      <c r="J43" s="530">
        <f>SUM(J38:J42)</f>
        <v>1194.7</v>
      </c>
      <c r="K43" s="501"/>
      <c r="L43" s="530">
        <f>SUM(L38:L42)</f>
        <v>0</v>
      </c>
      <c r="M43" s="501"/>
      <c r="N43" s="531">
        <f>SUM(N38:N42)</f>
        <v>0</v>
      </c>
      <c r="O43" s="501"/>
      <c r="P43" s="530">
        <f>J43+L43+N43</f>
        <v>1194.7</v>
      </c>
      <c r="Q43" s="501"/>
      <c r="R43" s="530">
        <f>SUM(R38:R42)</f>
        <v>2240.63</v>
      </c>
      <c r="S43" s="530">
        <f>SUM(S38:S42)</f>
        <v>1568.6599999999999</v>
      </c>
      <c r="T43" s="530">
        <f>SUM(T38:T42)</f>
        <v>1194.7</v>
      </c>
      <c r="U43" s="534"/>
      <c r="V43" s="531">
        <f>SUM(V38:V42)</f>
        <v>-373.95999999999992</v>
      </c>
      <c r="W43" s="501"/>
      <c r="X43" s="501"/>
    </row>
    <row r="44" spans="1:25" s="113" customFormat="1" ht="10.5" customHeight="1" outlineLevel="1">
      <c r="A44" s="503" t="s">
        <v>198</v>
      </c>
      <c r="B44" s="528" t="s">
        <v>198</v>
      </c>
      <c r="C44" s="528"/>
      <c r="D44" s="504"/>
      <c r="E44" s="504"/>
      <c r="F44" s="505"/>
      <c r="G44" s="505"/>
      <c r="H44" s="501"/>
      <c r="I44" s="501"/>
      <c r="J44" s="506"/>
      <c r="K44" s="501"/>
      <c r="L44" s="506"/>
      <c r="M44" s="501"/>
      <c r="N44" s="507"/>
      <c r="O44" s="501"/>
      <c r="P44" s="506">
        <f>J44+L44+N44</f>
        <v>0</v>
      </c>
      <c r="Q44" s="501"/>
      <c r="R44" s="506"/>
      <c r="S44" s="506"/>
      <c r="T44" s="506">
        <f>P44</f>
        <v>0</v>
      </c>
      <c r="U44" s="501"/>
      <c r="V44" s="507">
        <f>T44-S44</f>
        <v>0</v>
      </c>
      <c r="W44" s="501"/>
      <c r="X44" s="501"/>
      <c r="Y44" s="501"/>
    </row>
    <row r="45" spans="1:25" s="113" customFormat="1" ht="10.5" customHeight="1">
      <c r="A45" s="503" t="s">
        <v>894</v>
      </c>
      <c r="B45" s="503" t="s">
        <v>198</v>
      </c>
      <c r="C45" s="503"/>
      <c r="D45" s="505"/>
      <c r="E45" s="505"/>
      <c r="F45" s="505"/>
      <c r="G45" s="505"/>
      <c r="H45" s="501"/>
      <c r="I45" s="501"/>
      <c r="J45" s="532"/>
      <c r="K45" s="501"/>
      <c r="L45" s="532"/>
      <c r="M45" s="501"/>
      <c r="N45" s="533"/>
      <c r="O45" s="501"/>
      <c r="P45" s="532"/>
      <c r="Q45" s="501"/>
      <c r="R45" s="532"/>
      <c r="S45" s="532"/>
      <c r="T45" s="532"/>
      <c r="U45" s="501"/>
      <c r="V45" s="533"/>
      <c r="W45" s="501"/>
      <c r="X45" s="501"/>
      <c r="Y45" s="501"/>
    </row>
    <row r="46" spans="1:25" s="113" customFormat="1" ht="10.5" hidden="1" customHeight="1" outlineLevel="1">
      <c r="A46" s="501"/>
      <c r="B46" s="502" t="s">
        <v>890</v>
      </c>
      <c r="C46" s="503"/>
      <c r="D46" s="501"/>
      <c r="E46" s="501"/>
      <c r="F46" s="504" t="s">
        <v>1010</v>
      </c>
      <c r="G46" s="501"/>
      <c r="H46" s="501"/>
      <c r="I46" s="501"/>
      <c r="J46" s="530">
        <f>SUM(J44:J45)</f>
        <v>0</v>
      </c>
      <c r="K46" s="501"/>
      <c r="L46" s="530">
        <f>SUM(L44:L45)</f>
        <v>0</v>
      </c>
      <c r="M46" s="501"/>
      <c r="N46" s="531">
        <f>SUM(N44:N45)</f>
        <v>0</v>
      </c>
      <c r="O46" s="501"/>
      <c r="P46" s="530">
        <f>J46+L46+N46</f>
        <v>0</v>
      </c>
      <c r="Q46" s="501"/>
      <c r="R46" s="530">
        <f>SUM(R44:R45)</f>
        <v>0</v>
      </c>
      <c r="S46" s="530">
        <f>SUM(S44:S45)</f>
        <v>0</v>
      </c>
      <c r="T46" s="530">
        <f>SUM(T44:T45)</f>
        <v>0</v>
      </c>
      <c r="U46" s="534"/>
      <c r="V46" s="531">
        <f>SUM(V44:V45)</f>
        <v>0</v>
      </c>
      <c r="W46" s="501"/>
      <c r="X46" s="501"/>
    </row>
    <row r="47" spans="1:25" s="113" customFormat="1" ht="10.5" hidden="1" customHeight="1" outlineLevel="1">
      <c r="A47" s="503" t="s">
        <v>198</v>
      </c>
      <c r="B47" s="528" t="s">
        <v>198</v>
      </c>
      <c r="C47" s="528"/>
      <c r="D47" s="501"/>
      <c r="E47" s="501"/>
      <c r="F47" s="501"/>
      <c r="G47" s="501"/>
      <c r="H47" s="501"/>
      <c r="I47" s="501"/>
      <c r="J47" s="535"/>
      <c r="K47" s="501"/>
      <c r="L47" s="535"/>
      <c r="M47" s="501"/>
      <c r="N47" s="535"/>
      <c r="O47" s="501"/>
      <c r="P47" s="535"/>
      <c r="Q47" s="501"/>
      <c r="R47" s="535"/>
      <c r="S47" s="535"/>
      <c r="T47" s="535"/>
      <c r="U47" s="501"/>
      <c r="V47" s="535"/>
      <c r="W47" s="501"/>
      <c r="X47" s="501"/>
      <c r="Y47" s="501"/>
    </row>
    <row r="48" spans="1:25" s="113" customFormat="1" ht="10.5" customHeight="1" collapsed="1">
      <c r="A48" s="503" t="s">
        <v>890</v>
      </c>
      <c r="B48" s="503" t="s">
        <v>198</v>
      </c>
      <c r="C48" s="503"/>
      <c r="D48" s="501"/>
      <c r="E48" s="536" t="s">
        <v>1011</v>
      </c>
      <c r="F48" s="501"/>
      <c r="G48" s="501"/>
      <c r="H48" s="501"/>
      <c r="I48" s="501"/>
      <c r="J48" s="537">
        <f>SUM(J25,J34,J37,J43,J46)</f>
        <v>130970.09999999999</v>
      </c>
      <c r="K48" s="501"/>
      <c r="L48" s="537">
        <f>SUM(L25,L34,L37,L43,L46)</f>
        <v>0</v>
      </c>
      <c r="M48" s="501"/>
      <c r="N48" s="538">
        <f>SUM(N25,N34,N37,N43,N46)</f>
        <v>0</v>
      </c>
      <c r="O48" s="501"/>
      <c r="P48" s="537">
        <f>SUM(P25,P34,P37,P43,P46)</f>
        <v>130970.09999999999</v>
      </c>
      <c r="Q48" s="501"/>
      <c r="R48" s="537">
        <f>SUM(R25,R34,R37,R43,R46)</f>
        <v>116016.98999999999</v>
      </c>
      <c r="S48" s="537">
        <f>SUM(S25,S34,S37,S43,S46)</f>
        <v>127475.39000000001</v>
      </c>
      <c r="T48" s="537">
        <f>SUM(T25,T34,T37,T43,T46)</f>
        <v>130970.09999999999</v>
      </c>
      <c r="U48" s="501"/>
      <c r="V48" s="538">
        <f>SUM(V25,V34,V37,V43,V46)</f>
        <v>3494.7100000000005</v>
      </c>
      <c r="W48" s="501"/>
      <c r="X48" s="501"/>
      <c r="Y48" s="501"/>
    </row>
    <row r="49" spans="1:25" s="113" customFormat="1" ht="10.5" customHeight="1">
      <c r="A49" s="528" t="s">
        <v>198</v>
      </c>
      <c r="B49" s="528" t="s">
        <v>198</v>
      </c>
      <c r="C49" s="528"/>
      <c r="D49" s="501"/>
      <c r="E49" s="501"/>
      <c r="F49" s="501"/>
      <c r="G49" s="501"/>
      <c r="H49" s="501"/>
      <c r="I49" s="501"/>
      <c r="J49" s="535"/>
      <c r="K49" s="501"/>
      <c r="L49" s="535"/>
      <c r="M49" s="501"/>
      <c r="N49" s="507"/>
      <c r="O49" s="501"/>
      <c r="P49" s="535"/>
      <c r="Q49" s="501"/>
      <c r="R49" s="535"/>
      <c r="S49" s="535"/>
      <c r="T49" s="535"/>
      <c r="U49" s="501"/>
      <c r="V49" s="507"/>
      <c r="W49" s="501"/>
      <c r="X49" s="501"/>
      <c r="Y49" s="501"/>
    </row>
    <row r="50" spans="1:25" s="113" customFormat="1" ht="10.5" customHeight="1">
      <c r="A50" s="503" t="s">
        <v>198</v>
      </c>
      <c r="B50" s="528" t="s">
        <v>198</v>
      </c>
      <c r="C50" s="528"/>
      <c r="D50" s="501"/>
      <c r="E50" s="501"/>
      <c r="F50" s="501"/>
      <c r="G50" s="501"/>
      <c r="H50" s="501"/>
      <c r="I50" s="501"/>
      <c r="J50" s="535"/>
      <c r="K50" s="501"/>
      <c r="L50" s="535"/>
      <c r="M50" s="501"/>
      <c r="N50" s="507"/>
      <c r="O50" s="501"/>
      <c r="P50" s="535"/>
      <c r="Q50" s="501"/>
      <c r="R50" s="535"/>
      <c r="S50" s="535"/>
      <c r="T50" s="535"/>
      <c r="U50" s="501"/>
      <c r="V50" s="507"/>
      <c r="W50" s="501"/>
      <c r="X50" s="501"/>
      <c r="Y50" s="501"/>
    </row>
    <row r="51" spans="1:25" s="113" customFormat="1" ht="12.75" customHeight="1">
      <c r="A51" s="528" t="s">
        <v>198</v>
      </c>
      <c r="B51" s="528" t="s">
        <v>198</v>
      </c>
      <c r="C51" s="528"/>
      <c r="D51" s="504">
        <v>14032</v>
      </c>
      <c r="E51" s="504" t="s">
        <v>1012</v>
      </c>
      <c r="F51" s="505"/>
      <c r="G51" s="505"/>
      <c r="H51" s="501"/>
      <c r="I51" s="501"/>
      <c r="J51" s="506">
        <v>4500</v>
      </c>
      <c r="K51" s="501"/>
      <c r="L51" s="506">
        <v>0</v>
      </c>
      <c r="M51" s="501"/>
      <c r="N51" s="507">
        <v>0</v>
      </c>
      <c r="O51" s="501"/>
      <c r="P51" s="506">
        <f t="shared" ref="P51:P72" si="8">J51+L51+N51</f>
        <v>4500</v>
      </c>
      <c r="Q51" s="501"/>
      <c r="R51" s="506">
        <v>4500</v>
      </c>
      <c r="S51" s="506">
        <v>4500</v>
      </c>
      <c r="T51" s="506">
        <f t="shared" ref="T51:T72" si="9">P51</f>
        <v>4500</v>
      </c>
      <c r="U51" s="501"/>
      <c r="V51" s="507">
        <f t="shared" ref="V51:V72" si="10">T51-S51</f>
        <v>0</v>
      </c>
      <c r="W51" s="501"/>
      <c r="X51" s="501"/>
      <c r="Y51" s="501"/>
    </row>
    <row r="52" spans="1:25" s="113" customFormat="1" ht="12.75" customHeight="1" outlineLevel="1">
      <c r="A52" s="528" t="s">
        <v>198</v>
      </c>
      <c r="B52" s="528" t="s">
        <v>198</v>
      </c>
      <c r="C52" s="528"/>
      <c r="D52" s="504">
        <v>14034</v>
      </c>
      <c r="E52" s="504" t="s">
        <v>1013</v>
      </c>
      <c r="F52" s="505"/>
      <c r="G52" s="505"/>
      <c r="H52" s="501"/>
      <c r="I52" s="501"/>
      <c r="J52" s="506">
        <v>-4500</v>
      </c>
      <c r="K52" s="501"/>
      <c r="L52" s="506">
        <v>0</v>
      </c>
      <c r="M52" s="501"/>
      <c r="N52" s="507">
        <v>0</v>
      </c>
      <c r="O52" s="501"/>
      <c r="P52" s="506">
        <f t="shared" si="8"/>
        <v>-4500</v>
      </c>
      <c r="Q52" s="501"/>
      <c r="R52" s="506">
        <v>-4500</v>
      </c>
      <c r="S52" s="506">
        <v>-4500</v>
      </c>
      <c r="T52" s="506">
        <f t="shared" si="9"/>
        <v>-4500</v>
      </c>
      <c r="U52" s="501"/>
      <c r="V52" s="507">
        <f t="shared" si="10"/>
        <v>0</v>
      </c>
      <c r="W52" s="501"/>
      <c r="X52" s="501"/>
      <c r="Y52" s="501"/>
    </row>
    <row r="53" spans="1:25" s="113" customFormat="1" ht="12.75" customHeight="1" outlineLevel="1">
      <c r="A53" s="501"/>
      <c r="B53" s="502" t="s">
        <v>896</v>
      </c>
      <c r="C53" s="503"/>
      <c r="D53" s="504">
        <v>14036</v>
      </c>
      <c r="E53" s="504" t="s">
        <v>1014</v>
      </c>
      <c r="F53" s="505"/>
      <c r="G53" s="505"/>
      <c r="H53" s="501"/>
      <c r="I53" s="501"/>
      <c r="J53" s="506">
        <v>-125.01</v>
      </c>
      <c r="K53" s="501"/>
      <c r="L53" s="506">
        <v>0</v>
      </c>
      <c r="M53" s="501"/>
      <c r="N53" s="507">
        <v>0</v>
      </c>
      <c r="O53" s="501"/>
      <c r="P53" s="506">
        <f t="shared" si="8"/>
        <v>-125.01</v>
      </c>
      <c r="Q53" s="501"/>
      <c r="R53" s="506">
        <v>-125.01</v>
      </c>
      <c r="S53" s="506">
        <v>-125.01</v>
      </c>
      <c r="T53" s="506">
        <f t="shared" si="9"/>
        <v>-125.01</v>
      </c>
      <c r="U53" s="501"/>
      <c r="V53" s="507">
        <f t="shared" si="10"/>
        <v>0</v>
      </c>
      <c r="W53" s="501"/>
      <c r="X53" s="501"/>
    </row>
    <row r="54" spans="1:25" s="113" customFormat="1" ht="12.75" customHeight="1" outlineLevel="1">
      <c r="A54" s="501"/>
      <c r="B54" s="502" t="s">
        <v>206</v>
      </c>
      <c r="C54" s="503"/>
      <c r="D54" s="504">
        <v>14038</v>
      </c>
      <c r="E54" s="504" t="s">
        <v>1013</v>
      </c>
      <c r="F54" s="505"/>
      <c r="G54" s="505"/>
      <c r="H54" s="501"/>
      <c r="I54" s="501"/>
      <c r="J54" s="506">
        <v>125.01</v>
      </c>
      <c r="K54" s="501"/>
      <c r="L54" s="506">
        <v>0</v>
      </c>
      <c r="M54" s="501"/>
      <c r="N54" s="507">
        <v>0</v>
      </c>
      <c r="O54" s="501"/>
      <c r="P54" s="506">
        <f t="shared" si="8"/>
        <v>125.01</v>
      </c>
      <c r="Q54" s="501"/>
      <c r="R54" s="506">
        <v>125.01</v>
      </c>
      <c r="S54" s="506">
        <v>125.01</v>
      </c>
      <c r="T54" s="506">
        <f t="shared" si="9"/>
        <v>125.01</v>
      </c>
      <c r="U54" s="501"/>
      <c r="V54" s="507">
        <f t="shared" si="10"/>
        <v>0</v>
      </c>
      <c r="W54" s="501"/>
      <c r="X54" s="501"/>
    </row>
    <row r="55" spans="1:25" s="113" customFormat="1" ht="12.75" customHeight="1" outlineLevel="1">
      <c r="A55" s="501"/>
      <c r="B55" s="502" t="s">
        <v>206</v>
      </c>
      <c r="C55" s="503"/>
      <c r="D55" s="504">
        <v>14041</v>
      </c>
      <c r="E55" s="504" t="s">
        <v>1015</v>
      </c>
      <c r="F55" s="505"/>
      <c r="G55" s="505"/>
      <c r="H55" s="501"/>
      <c r="I55" s="501"/>
      <c r="J55" s="506">
        <v>632070.74</v>
      </c>
      <c r="K55" s="501"/>
      <c r="L55" s="506">
        <v>0</v>
      </c>
      <c r="M55" s="501"/>
      <c r="N55" s="507">
        <v>0</v>
      </c>
      <c r="O55" s="501"/>
      <c r="P55" s="506">
        <f t="shared" si="8"/>
        <v>632070.74</v>
      </c>
      <c r="Q55" s="501"/>
      <c r="R55" s="506">
        <v>632070.74</v>
      </c>
      <c r="S55" s="506">
        <v>632070.74</v>
      </c>
      <c r="T55" s="506">
        <f t="shared" si="9"/>
        <v>632070.74</v>
      </c>
      <c r="U55" s="501"/>
      <c r="V55" s="507">
        <f t="shared" si="10"/>
        <v>0</v>
      </c>
      <c r="W55" s="501"/>
      <c r="X55" s="501"/>
    </row>
    <row r="56" spans="1:25" s="113" customFormat="1" ht="12.75" customHeight="1" outlineLevel="1">
      <c r="A56" s="501"/>
      <c r="B56" s="502" t="s">
        <v>206</v>
      </c>
      <c r="C56" s="503"/>
      <c r="D56" s="504">
        <v>14042</v>
      </c>
      <c r="E56" s="504" t="s">
        <v>1016</v>
      </c>
      <c r="F56" s="505"/>
      <c r="G56" s="505"/>
      <c r="H56" s="501"/>
      <c r="I56" s="501"/>
      <c r="J56" s="506">
        <v>57883.199999999997</v>
      </c>
      <c r="K56" s="501"/>
      <c r="L56" s="506">
        <v>0</v>
      </c>
      <c r="M56" s="501"/>
      <c r="N56" s="507">
        <v>0</v>
      </c>
      <c r="O56" s="501"/>
      <c r="P56" s="506">
        <f t="shared" si="8"/>
        <v>57883.199999999997</v>
      </c>
      <c r="Q56" s="501"/>
      <c r="R56" s="506">
        <v>57883.199999999997</v>
      </c>
      <c r="S56" s="506">
        <v>57883.199999999997</v>
      </c>
      <c r="T56" s="506">
        <f t="shared" si="9"/>
        <v>57883.199999999997</v>
      </c>
      <c r="U56" s="501"/>
      <c r="V56" s="507">
        <f t="shared" si="10"/>
        <v>0</v>
      </c>
      <c r="W56" s="501"/>
      <c r="X56" s="501"/>
    </row>
    <row r="57" spans="1:25" s="113" customFormat="1" ht="12.75" customHeight="1" outlineLevel="1">
      <c r="A57" s="501"/>
      <c r="B57" s="502" t="s">
        <v>206</v>
      </c>
      <c r="C57" s="503"/>
      <c r="D57" s="504">
        <v>14043</v>
      </c>
      <c r="E57" s="504" t="s">
        <v>1017</v>
      </c>
      <c r="F57" s="505"/>
      <c r="G57" s="505"/>
      <c r="H57" s="501"/>
      <c r="I57" s="501"/>
      <c r="J57" s="506">
        <v>380502.49</v>
      </c>
      <c r="K57" s="501"/>
      <c r="L57" s="506">
        <v>0</v>
      </c>
      <c r="M57" s="501"/>
      <c r="N57" s="507">
        <v>0</v>
      </c>
      <c r="O57" s="501"/>
      <c r="P57" s="506">
        <f t="shared" si="8"/>
        <v>380502.49</v>
      </c>
      <c r="Q57" s="501"/>
      <c r="R57" s="506">
        <v>207786.88</v>
      </c>
      <c r="S57" s="506">
        <v>380502.49</v>
      </c>
      <c r="T57" s="506">
        <f t="shared" si="9"/>
        <v>380502.49</v>
      </c>
      <c r="U57" s="501"/>
      <c r="V57" s="507">
        <f t="shared" si="10"/>
        <v>0</v>
      </c>
      <c r="W57" s="501"/>
      <c r="X57" s="501"/>
    </row>
    <row r="58" spans="1:25" s="113" customFormat="1" ht="12.75" customHeight="1" outlineLevel="1">
      <c r="A58" s="501"/>
      <c r="B58" s="502" t="s">
        <v>206</v>
      </c>
      <c r="C58" s="503"/>
      <c r="D58" s="504">
        <v>14044</v>
      </c>
      <c r="E58" s="504" t="s">
        <v>1018</v>
      </c>
      <c r="F58" s="505"/>
      <c r="G58" s="505"/>
      <c r="H58" s="501"/>
      <c r="I58" s="501"/>
      <c r="J58" s="506">
        <v>-57954.15</v>
      </c>
      <c r="K58" s="501"/>
      <c r="L58" s="506">
        <v>0</v>
      </c>
      <c r="M58" s="501"/>
      <c r="N58" s="507">
        <v>0</v>
      </c>
      <c r="O58" s="501"/>
      <c r="P58" s="506">
        <f t="shared" si="8"/>
        <v>-57954.15</v>
      </c>
      <c r="Q58" s="501"/>
      <c r="R58" s="506">
        <v>-57954.15</v>
      </c>
      <c r="S58" s="506">
        <v>-57954.15</v>
      </c>
      <c r="T58" s="506">
        <f t="shared" si="9"/>
        <v>-57954.15</v>
      </c>
      <c r="U58" s="501"/>
      <c r="V58" s="507">
        <f t="shared" si="10"/>
        <v>0</v>
      </c>
      <c r="W58" s="501"/>
      <c r="X58" s="501"/>
    </row>
    <row r="59" spans="1:25" s="113" customFormat="1" ht="12.75" customHeight="1" outlineLevel="1">
      <c r="A59" s="501"/>
      <c r="B59" s="502" t="s">
        <v>206</v>
      </c>
      <c r="C59" s="503"/>
      <c r="D59" s="504">
        <v>14046</v>
      </c>
      <c r="E59" s="504" t="s">
        <v>1019</v>
      </c>
      <c r="F59" s="505"/>
      <c r="G59" s="505"/>
      <c r="H59" s="501"/>
      <c r="I59" s="501"/>
      <c r="J59" s="506">
        <v>-331451.03000000003</v>
      </c>
      <c r="K59" s="501"/>
      <c r="L59" s="506">
        <v>0</v>
      </c>
      <c r="M59" s="501"/>
      <c r="N59" s="507">
        <v>0</v>
      </c>
      <c r="O59" s="501"/>
      <c r="P59" s="506">
        <f t="shared" si="8"/>
        <v>-331451.03000000003</v>
      </c>
      <c r="Q59" s="501"/>
      <c r="R59" s="506">
        <v>-306686.61</v>
      </c>
      <c r="S59" s="506">
        <v>-319068.81</v>
      </c>
      <c r="T59" s="506">
        <f t="shared" si="9"/>
        <v>-331451.03000000003</v>
      </c>
      <c r="U59" s="501"/>
      <c r="V59" s="507">
        <f t="shared" si="10"/>
        <v>-12382.22000000003</v>
      </c>
      <c r="W59" s="501"/>
      <c r="X59" s="501"/>
    </row>
    <row r="60" spans="1:25" s="113" customFormat="1" ht="12.75" customHeight="1" outlineLevel="1">
      <c r="A60" s="501"/>
      <c r="B60" s="502" t="s">
        <v>206</v>
      </c>
      <c r="C60" s="503"/>
      <c r="D60" s="504">
        <v>14047</v>
      </c>
      <c r="E60" s="504" t="s">
        <v>1017</v>
      </c>
      <c r="F60" s="505"/>
      <c r="G60" s="505"/>
      <c r="H60" s="501"/>
      <c r="I60" s="501"/>
      <c r="J60" s="506">
        <v>-135743.51999999999</v>
      </c>
      <c r="K60" s="501"/>
      <c r="L60" s="506">
        <v>0</v>
      </c>
      <c r="M60" s="501"/>
      <c r="N60" s="507">
        <v>0</v>
      </c>
      <c r="O60" s="501"/>
      <c r="P60" s="506">
        <f t="shared" si="8"/>
        <v>-135743.51999999999</v>
      </c>
      <c r="Q60" s="501"/>
      <c r="R60" s="506">
        <v>-119911.25</v>
      </c>
      <c r="S60" s="506">
        <v>-135743.51999999999</v>
      </c>
      <c r="T60" s="506">
        <f t="shared" si="9"/>
        <v>-135743.51999999999</v>
      </c>
      <c r="U60" s="501"/>
      <c r="V60" s="507">
        <f t="shared" si="10"/>
        <v>0</v>
      </c>
      <c r="W60" s="501"/>
      <c r="X60" s="501"/>
    </row>
    <row r="61" spans="1:25" s="113" customFormat="1" ht="12.75" customHeight="1" outlineLevel="1">
      <c r="A61" s="501"/>
      <c r="B61" s="502" t="s">
        <v>206</v>
      </c>
      <c r="C61" s="503"/>
      <c r="D61" s="504">
        <v>14048</v>
      </c>
      <c r="E61" s="504" t="s">
        <v>1018</v>
      </c>
      <c r="F61" s="505"/>
      <c r="G61" s="505"/>
      <c r="H61" s="501"/>
      <c r="I61" s="501"/>
      <c r="J61" s="506">
        <v>40833.51</v>
      </c>
      <c r="K61" s="501"/>
      <c r="L61" s="506">
        <v>0</v>
      </c>
      <c r="M61" s="501"/>
      <c r="N61" s="507">
        <v>0</v>
      </c>
      <c r="O61" s="501"/>
      <c r="P61" s="506">
        <f t="shared" si="8"/>
        <v>40833.51</v>
      </c>
      <c r="Q61" s="501"/>
      <c r="R61" s="506">
        <v>40833.51</v>
      </c>
      <c r="S61" s="506">
        <v>40833.51</v>
      </c>
      <c r="T61" s="506">
        <f t="shared" si="9"/>
        <v>40833.51</v>
      </c>
      <c r="U61" s="501"/>
      <c r="V61" s="507">
        <f t="shared" si="10"/>
        <v>0</v>
      </c>
      <c r="W61" s="501"/>
      <c r="X61" s="501"/>
    </row>
    <row r="62" spans="1:25" s="113" customFormat="1" ht="12.75" customHeight="1" outlineLevel="1">
      <c r="A62" s="501"/>
      <c r="B62" s="502" t="s">
        <v>206</v>
      </c>
      <c r="C62" s="503"/>
      <c r="D62" s="504">
        <v>14051</v>
      </c>
      <c r="E62" s="504" t="s">
        <v>1020</v>
      </c>
      <c r="F62" s="505"/>
      <c r="G62" s="505"/>
      <c r="H62" s="501"/>
      <c r="I62" s="501"/>
      <c r="J62" s="506">
        <v>194843.16</v>
      </c>
      <c r="K62" s="501"/>
      <c r="L62" s="506">
        <v>0</v>
      </c>
      <c r="M62" s="501"/>
      <c r="N62" s="507">
        <v>0</v>
      </c>
      <c r="O62" s="501"/>
      <c r="P62" s="506">
        <f t="shared" si="8"/>
        <v>194843.16</v>
      </c>
      <c r="Q62" s="501"/>
      <c r="R62" s="506">
        <v>194843.16</v>
      </c>
      <c r="S62" s="506">
        <v>194843.16</v>
      </c>
      <c r="T62" s="506">
        <f t="shared" si="9"/>
        <v>194843.16</v>
      </c>
      <c r="U62" s="501"/>
      <c r="V62" s="507">
        <f t="shared" si="10"/>
        <v>0</v>
      </c>
      <c r="W62" s="501"/>
      <c r="X62" s="501"/>
    </row>
    <row r="63" spans="1:25" s="113" customFormat="1" ht="12.75" customHeight="1" outlineLevel="1">
      <c r="A63" s="501"/>
      <c r="B63" s="502" t="s">
        <v>206</v>
      </c>
      <c r="C63" s="503"/>
      <c r="D63" s="504">
        <v>14052</v>
      </c>
      <c r="E63" s="504" t="s">
        <v>1021</v>
      </c>
      <c r="F63" s="505"/>
      <c r="G63" s="505"/>
      <c r="H63" s="501"/>
      <c r="I63" s="501"/>
      <c r="J63" s="506">
        <v>85500</v>
      </c>
      <c r="K63" s="501"/>
      <c r="L63" s="506">
        <v>0</v>
      </c>
      <c r="M63" s="501"/>
      <c r="N63" s="507">
        <v>0</v>
      </c>
      <c r="O63" s="501"/>
      <c r="P63" s="506">
        <f t="shared" si="8"/>
        <v>85500</v>
      </c>
      <c r="Q63" s="501"/>
      <c r="R63" s="506">
        <v>85500</v>
      </c>
      <c r="S63" s="506">
        <v>85500</v>
      </c>
      <c r="T63" s="506">
        <f t="shared" si="9"/>
        <v>85500</v>
      </c>
      <c r="U63" s="501"/>
      <c r="V63" s="507">
        <f t="shared" si="10"/>
        <v>0</v>
      </c>
      <c r="W63" s="501"/>
      <c r="X63" s="501"/>
    </row>
    <row r="64" spans="1:25" s="113" customFormat="1" ht="12.75" customHeight="1" outlineLevel="1">
      <c r="A64" s="501"/>
      <c r="B64" s="502" t="s">
        <v>206</v>
      </c>
      <c r="C64" s="503"/>
      <c r="D64" s="504">
        <v>14056</v>
      </c>
      <c r="E64" s="504" t="s">
        <v>1022</v>
      </c>
      <c r="F64" s="505"/>
      <c r="G64" s="505"/>
      <c r="H64" s="501"/>
      <c r="I64" s="501"/>
      <c r="J64" s="506">
        <v>-54224.800000000003</v>
      </c>
      <c r="K64" s="501"/>
      <c r="L64" s="506">
        <v>0</v>
      </c>
      <c r="M64" s="501"/>
      <c r="N64" s="507">
        <v>0</v>
      </c>
      <c r="O64" s="501"/>
      <c r="P64" s="506">
        <f t="shared" si="8"/>
        <v>-54224.800000000003</v>
      </c>
      <c r="Q64" s="501"/>
      <c r="R64" s="506">
        <v>-49482.97</v>
      </c>
      <c r="S64" s="506">
        <v>-51853.87</v>
      </c>
      <c r="T64" s="506">
        <f t="shared" si="9"/>
        <v>-54224.800000000003</v>
      </c>
      <c r="U64" s="501"/>
      <c r="V64" s="507">
        <f t="shared" si="10"/>
        <v>-2370.9300000000003</v>
      </c>
      <c r="W64" s="501"/>
      <c r="X64" s="501"/>
    </row>
    <row r="65" spans="1:25" s="113" customFormat="1" ht="12.75" customHeight="1" outlineLevel="1">
      <c r="A65" s="501"/>
      <c r="B65" s="502" t="s">
        <v>206</v>
      </c>
      <c r="C65" s="503"/>
      <c r="D65" s="504">
        <v>14072</v>
      </c>
      <c r="E65" s="504" t="s">
        <v>1023</v>
      </c>
      <c r="F65" s="505"/>
      <c r="G65" s="505"/>
      <c r="H65" s="501"/>
      <c r="I65" s="501"/>
      <c r="J65" s="506">
        <v>2500</v>
      </c>
      <c r="K65" s="501"/>
      <c r="L65" s="506">
        <v>0</v>
      </c>
      <c r="M65" s="501"/>
      <c r="N65" s="507">
        <v>0</v>
      </c>
      <c r="O65" s="501"/>
      <c r="P65" s="506">
        <f t="shared" si="8"/>
        <v>2500</v>
      </c>
      <c r="Q65" s="501"/>
      <c r="R65" s="506">
        <v>2500</v>
      </c>
      <c r="S65" s="506">
        <v>2500</v>
      </c>
      <c r="T65" s="506">
        <f t="shared" si="9"/>
        <v>2500</v>
      </c>
      <c r="U65" s="501"/>
      <c r="V65" s="507">
        <f t="shared" si="10"/>
        <v>0</v>
      </c>
      <c r="W65" s="501"/>
      <c r="X65" s="501"/>
    </row>
    <row r="66" spans="1:25" s="113" customFormat="1" ht="12.75" customHeight="1" outlineLevel="1">
      <c r="A66" s="501"/>
      <c r="B66" s="502" t="s">
        <v>206</v>
      </c>
      <c r="C66" s="503"/>
      <c r="D66" s="504">
        <v>14076</v>
      </c>
      <c r="E66" s="504" t="s">
        <v>1024</v>
      </c>
      <c r="F66" s="505"/>
      <c r="G66" s="505"/>
      <c r="H66" s="501"/>
      <c r="I66" s="501"/>
      <c r="J66" s="506">
        <v>-1500</v>
      </c>
      <c r="K66" s="501"/>
      <c r="L66" s="506">
        <v>0</v>
      </c>
      <c r="M66" s="501"/>
      <c r="N66" s="507">
        <v>0</v>
      </c>
      <c r="O66" s="501"/>
      <c r="P66" s="506">
        <f t="shared" si="8"/>
        <v>-1500</v>
      </c>
      <c r="Q66" s="501"/>
      <c r="R66" s="506">
        <v>-1416.67</v>
      </c>
      <c r="S66" s="506">
        <v>-1458.33</v>
      </c>
      <c r="T66" s="506">
        <f t="shared" si="9"/>
        <v>-1500</v>
      </c>
      <c r="U66" s="501"/>
      <c r="V66" s="507">
        <f t="shared" si="10"/>
        <v>-41.670000000000073</v>
      </c>
      <c r="W66" s="501"/>
      <c r="X66" s="501"/>
    </row>
    <row r="67" spans="1:25" s="113" customFormat="1" ht="12.75" customHeight="1" outlineLevel="1">
      <c r="A67" s="501"/>
      <c r="B67" s="502" t="s">
        <v>206</v>
      </c>
      <c r="C67" s="503"/>
      <c r="D67" s="504">
        <v>14101</v>
      </c>
      <c r="E67" s="504" t="s">
        <v>1025</v>
      </c>
      <c r="F67" s="505"/>
      <c r="G67" s="505"/>
      <c r="H67" s="501"/>
      <c r="I67" s="501"/>
      <c r="J67" s="506">
        <v>3474.44</v>
      </c>
      <c r="K67" s="501"/>
      <c r="L67" s="506">
        <v>0</v>
      </c>
      <c r="M67" s="501"/>
      <c r="N67" s="507">
        <v>0</v>
      </c>
      <c r="O67" s="501"/>
      <c r="P67" s="506">
        <f t="shared" si="8"/>
        <v>3474.44</v>
      </c>
      <c r="Q67" s="501"/>
      <c r="R67" s="506">
        <v>3474.44</v>
      </c>
      <c r="S67" s="506">
        <v>3474.44</v>
      </c>
      <c r="T67" s="506">
        <f t="shared" si="9"/>
        <v>3474.44</v>
      </c>
      <c r="U67" s="501"/>
      <c r="V67" s="507">
        <f t="shared" si="10"/>
        <v>0</v>
      </c>
      <c r="W67" s="501"/>
      <c r="X67" s="501"/>
    </row>
    <row r="68" spans="1:25" s="113" customFormat="1" ht="12.75" customHeight="1" outlineLevel="1">
      <c r="A68" s="501"/>
      <c r="B68" s="502" t="s">
        <v>206</v>
      </c>
      <c r="C68" s="503"/>
      <c r="D68" s="504">
        <v>14102</v>
      </c>
      <c r="E68" s="504" t="s">
        <v>1026</v>
      </c>
      <c r="F68" s="505"/>
      <c r="G68" s="505"/>
      <c r="H68" s="501"/>
      <c r="I68" s="501"/>
      <c r="J68" s="506">
        <v>2500</v>
      </c>
      <c r="K68" s="501"/>
      <c r="L68" s="506">
        <v>0</v>
      </c>
      <c r="M68" s="501"/>
      <c r="N68" s="507">
        <v>0</v>
      </c>
      <c r="O68" s="501"/>
      <c r="P68" s="506">
        <f t="shared" si="8"/>
        <v>2500</v>
      </c>
      <c r="Q68" s="501"/>
      <c r="R68" s="506">
        <v>2500</v>
      </c>
      <c r="S68" s="506">
        <v>2500</v>
      </c>
      <c r="T68" s="506">
        <f t="shared" si="9"/>
        <v>2500</v>
      </c>
      <c r="U68" s="501"/>
      <c r="V68" s="507">
        <f t="shared" si="10"/>
        <v>0</v>
      </c>
      <c r="W68" s="501"/>
      <c r="X68" s="501"/>
    </row>
    <row r="69" spans="1:25" s="113" customFormat="1" ht="12.75" customHeight="1" outlineLevel="1">
      <c r="A69" s="501"/>
      <c r="B69" s="502" t="s">
        <v>206</v>
      </c>
      <c r="C69" s="503"/>
      <c r="D69" s="504">
        <v>14106</v>
      </c>
      <c r="E69" s="504" t="s">
        <v>1027</v>
      </c>
      <c r="F69" s="505"/>
      <c r="G69" s="505"/>
      <c r="H69" s="501"/>
      <c r="I69" s="501"/>
      <c r="J69" s="506">
        <v>-2455.46</v>
      </c>
      <c r="K69" s="501"/>
      <c r="L69" s="506">
        <v>0</v>
      </c>
      <c r="M69" s="501"/>
      <c r="N69" s="507">
        <v>0</v>
      </c>
      <c r="O69" s="501"/>
      <c r="P69" s="506">
        <f t="shared" si="8"/>
        <v>-2455.46</v>
      </c>
      <c r="Q69" s="501"/>
      <c r="R69" s="506">
        <v>-2314.2199999999998</v>
      </c>
      <c r="S69" s="506">
        <v>-2384.84</v>
      </c>
      <c r="T69" s="506">
        <f t="shared" si="9"/>
        <v>-2455.46</v>
      </c>
      <c r="U69" s="501"/>
      <c r="V69" s="507">
        <f t="shared" si="10"/>
        <v>-70.619999999999891</v>
      </c>
      <c r="W69" s="501"/>
      <c r="X69" s="501"/>
    </row>
    <row r="70" spans="1:25" s="113" customFormat="1" ht="12.75" customHeight="1" outlineLevel="1">
      <c r="A70" s="501"/>
      <c r="B70" s="502" t="s">
        <v>206</v>
      </c>
      <c r="C70" s="503"/>
      <c r="D70" s="504">
        <v>14111</v>
      </c>
      <c r="E70" s="504" t="s">
        <v>1028</v>
      </c>
      <c r="F70" s="505"/>
      <c r="G70" s="505"/>
      <c r="H70" s="501"/>
      <c r="I70" s="501"/>
      <c r="J70" s="506">
        <v>5486.92</v>
      </c>
      <c r="K70" s="501"/>
      <c r="L70" s="506">
        <v>0</v>
      </c>
      <c r="M70" s="501"/>
      <c r="N70" s="507">
        <v>0</v>
      </c>
      <c r="O70" s="501"/>
      <c r="P70" s="506">
        <f t="shared" si="8"/>
        <v>5486.92</v>
      </c>
      <c r="Q70" s="501"/>
      <c r="R70" s="506">
        <v>5486.92</v>
      </c>
      <c r="S70" s="506">
        <v>5486.92</v>
      </c>
      <c r="T70" s="506">
        <f t="shared" si="9"/>
        <v>5486.92</v>
      </c>
      <c r="U70" s="501"/>
      <c r="V70" s="507">
        <f t="shared" si="10"/>
        <v>0</v>
      </c>
      <c r="W70" s="501"/>
      <c r="X70" s="501"/>
    </row>
    <row r="71" spans="1:25" s="113" customFormat="1" ht="12.75" customHeight="1" outlineLevel="1">
      <c r="A71" s="501"/>
      <c r="B71" s="502" t="s">
        <v>206</v>
      </c>
      <c r="C71" s="503"/>
      <c r="D71" s="504">
        <v>14116</v>
      </c>
      <c r="E71" s="504" t="s">
        <v>1029</v>
      </c>
      <c r="F71" s="505"/>
      <c r="G71" s="505"/>
      <c r="H71" s="501"/>
      <c r="I71" s="501"/>
      <c r="J71" s="506">
        <v>-5343.32</v>
      </c>
      <c r="K71" s="501"/>
      <c r="L71" s="506">
        <v>0</v>
      </c>
      <c r="M71" s="501"/>
      <c r="N71" s="507">
        <v>0</v>
      </c>
      <c r="O71" s="501"/>
      <c r="P71" s="506">
        <f t="shared" si="8"/>
        <v>-5343.32</v>
      </c>
      <c r="Q71" s="501"/>
      <c r="R71" s="506">
        <v>-5199.72</v>
      </c>
      <c r="S71" s="506">
        <v>-5271.52</v>
      </c>
      <c r="T71" s="506">
        <f t="shared" si="9"/>
        <v>-5343.32</v>
      </c>
      <c r="U71" s="501"/>
      <c r="V71" s="507">
        <f t="shared" si="10"/>
        <v>-71.799999999999272</v>
      </c>
      <c r="W71" s="501"/>
      <c r="X71" s="501"/>
    </row>
    <row r="72" spans="1:25" s="113" customFormat="1" ht="12.75" customHeight="1" outlineLevel="1">
      <c r="A72" s="501"/>
      <c r="B72" s="502" t="s">
        <v>206</v>
      </c>
      <c r="C72" s="503"/>
      <c r="D72" s="504">
        <v>14121</v>
      </c>
      <c r="E72" s="504" t="s">
        <v>1030</v>
      </c>
      <c r="F72" s="505"/>
      <c r="G72" s="505"/>
      <c r="H72" s="501"/>
      <c r="I72" s="501"/>
      <c r="J72" s="506">
        <v>0</v>
      </c>
      <c r="K72" s="501"/>
      <c r="L72" s="506">
        <v>0</v>
      </c>
      <c r="M72" s="501"/>
      <c r="N72" s="507">
        <v>0</v>
      </c>
      <c r="O72" s="501"/>
      <c r="P72" s="506">
        <f t="shared" si="8"/>
        <v>0</v>
      </c>
      <c r="Q72" s="501"/>
      <c r="R72" s="506">
        <v>0</v>
      </c>
      <c r="S72" s="506">
        <v>0</v>
      </c>
      <c r="T72" s="506">
        <f t="shared" si="9"/>
        <v>0</v>
      </c>
      <c r="U72" s="501"/>
      <c r="V72" s="507">
        <f t="shared" si="10"/>
        <v>0</v>
      </c>
      <c r="W72" s="501"/>
      <c r="X72" s="501"/>
    </row>
    <row r="73" spans="1:25" s="113" customFormat="1" ht="10.5" customHeight="1" outlineLevel="1">
      <c r="A73" s="501"/>
      <c r="B73" s="502" t="s">
        <v>206</v>
      </c>
      <c r="C73" s="503"/>
      <c r="D73" s="539"/>
      <c r="E73" s="501"/>
      <c r="F73" s="501"/>
      <c r="G73" s="501"/>
      <c r="H73" s="501"/>
      <c r="I73" s="501"/>
      <c r="J73" s="532"/>
      <c r="K73" s="501"/>
      <c r="L73" s="532"/>
      <c r="M73" s="501"/>
      <c r="N73" s="533"/>
      <c r="O73" s="501"/>
      <c r="P73" s="532"/>
      <c r="Q73" s="501"/>
      <c r="R73" s="532"/>
      <c r="S73" s="532"/>
      <c r="T73" s="532"/>
      <c r="U73" s="501"/>
      <c r="V73" s="533"/>
      <c r="W73" s="501"/>
      <c r="X73" s="501"/>
    </row>
    <row r="74" spans="1:25" s="113" customFormat="1" ht="10.5" customHeight="1" outlineLevel="1">
      <c r="A74" s="501"/>
      <c r="B74" s="502" t="s">
        <v>206</v>
      </c>
      <c r="C74" s="503"/>
      <c r="D74" s="501"/>
      <c r="E74" s="501"/>
      <c r="F74" s="501" t="s">
        <v>1031</v>
      </c>
      <c r="G74" s="501"/>
      <c r="H74" s="501"/>
      <c r="I74" s="501"/>
      <c r="J74" s="530">
        <f>SUM(J51:J73)</f>
        <v>816922.17999999993</v>
      </c>
      <c r="K74" s="501"/>
      <c r="L74" s="530">
        <f>SUM(L51:L73)</f>
        <v>0</v>
      </c>
      <c r="M74" s="501"/>
      <c r="N74" s="531">
        <f>SUM(N51:N73)</f>
        <v>0</v>
      </c>
      <c r="O74" s="501"/>
      <c r="P74" s="530">
        <f>J74+L74+N74</f>
        <v>816922.17999999993</v>
      </c>
      <c r="Q74" s="501"/>
      <c r="R74" s="530">
        <f>SUM(R51:R73)</f>
        <v>689913.26</v>
      </c>
      <c r="S74" s="530">
        <f>SUM(S51:S73)</f>
        <v>831859.42</v>
      </c>
      <c r="T74" s="530">
        <f>SUM(T51:T73)</f>
        <v>816922.17999999993</v>
      </c>
      <c r="U74" s="501"/>
      <c r="V74" s="531">
        <f>SUM(V51:V73)</f>
        <v>-14937.240000000031</v>
      </c>
      <c r="W74" s="501"/>
      <c r="X74" s="501"/>
    </row>
    <row r="75" spans="1:25" s="113" customFormat="1" ht="10.5" customHeight="1" outlineLevel="1">
      <c r="A75" s="528" t="s">
        <v>198</v>
      </c>
      <c r="B75" s="528" t="s">
        <v>198</v>
      </c>
      <c r="C75" s="528"/>
      <c r="D75" s="504"/>
      <c r="E75" s="504"/>
      <c r="F75" s="505"/>
      <c r="G75" s="505"/>
      <c r="H75" s="501"/>
      <c r="I75" s="501"/>
      <c r="J75" s="506"/>
      <c r="K75" s="501"/>
      <c r="L75" s="506"/>
      <c r="M75" s="501"/>
      <c r="N75" s="507"/>
      <c r="O75" s="501"/>
      <c r="P75" s="506">
        <f>J75+L75+N75</f>
        <v>0</v>
      </c>
      <c r="Q75" s="501"/>
      <c r="R75" s="506"/>
      <c r="S75" s="506"/>
      <c r="T75" s="506">
        <f>P75</f>
        <v>0</v>
      </c>
      <c r="U75" s="501"/>
      <c r="V75" s="507">
        <f>T75-S75</f>
        <v>0</v>
      </c>
      <c r="W75" s="501"/>
      <c r="X75" s="501"/>
      <c r="Y75" s="501"/>
    </row>
    <row r="76" spans="1:25" s="113" customFormat="1" ht="10.5" customHeight="1">
      <c r="A76" s="503" t="s">
        <v>896</v>
      </c>
      <c r="B76" s="528" t="s">
        <v>198</v>
      </c>
      <c r="C76" s="528"/>
      <c r="D76" s="505"/>
      <c r="E76" s="505"/>
      <c r="F76" s="505"/>
      <c r="G76" s="505"/>
      <c r="H76" s="501"/>
      <c r="I76" s="501"/>
      <c r="J76" s="532"/>
      <c r="K76" s="501"/>
      <c r="L76" s="532"/>
      <c r="M76" s="501"/>
      <c r="N76" s="533"/>
      <c r="O76" s="501"/>
      <c r="P76" s="532"/>
      <c r="Q76" s="501"/>
      <c r="R76" s="532"/>
      <c r="S76" s="532"/>
      <c r="T76" s="532"/>
      <c r="U76" s="501"/>
      <c r="V76" s="533"/>
      <c r="W76" s="501"/>
      <c r="X76" s="501"/>
      <c r="Y76" s="501"/>
    </row>
    <row r="77" spans="1:25" s="113" customFormat="1" ht="10.5" customHeight="1" outlineLevel="1">
      <c r="A77" s="501"/>
      <c r="B77" s="502" t="s">
        <v>1032</v>
      </c>
      <c r="C77" s="503"/>
      <c r="D77" s="501"/>
      <c r="E77" s="501"/>
      <c r="F77" s="504" t="s">
        <v>1033</v>
      </c>
      <c r="G77" s="501"/>
      <c r="H77" s="501"/>
      <c r="I77" s="501"/>
      <c r="J77" s="530">
        <f>SUM(J75:J76)</f>
        <v>0</v>
      </c>
      <c r="K77" s="501"/>
      <c r="L77" s="530">
        <f>SUM(L75:L76)</f>
        <v>0</v>
      </c>
      <c r="M77" s="501"/>
      <c r="N77" s="531">
        <f>SUM(N75:N76)</f>
        <v>0</v>
      </c>
      <c r="O77" s="501"/>
      <c r="P77" s="530">
        <f>J77+L77+N77</f>
        <v>0</v>
      </c>
      <c r="Q77" s="501"/>
      <c r="R77" s="530">
        <f>SUM(R75:R76)</f>
        <v>0</v>
      </c>
      <c r="S77" s="530">
        <f>SUM(S75:S76)</f>
        <v>0</v>
      </c>
      <c r="T77" s="530">
        <f>SUM(T75:T76)</f>
        <v>0</v>
      </c>
      <c r="U77" s="501"/>
      <c r="V77" s="531">
        <f>SUM(V75:V76)</f>
        <v>0</v>
      </c>
      <c r="W77" s="501"/>
      <c r="X77" s="501"/>
    </row>
    <row r="78" spans="1:25" s="113" customFormat="1" ht="10.5" customHeight="1" outlineLevel="1">
      <c r="A78" s="528" t="s">
        <v>198</v>
      </c>
      <c r="B78" s="528" t="s">
        <v>198</v>
      </c>
      <c r="C78" s="528"/>
      <c r="D78" s="504">
        <v>15111</v>
      </c>
      <c r="E78" s="504" t="s">
        <v>1034</v>
      </c>
      <c r="F78" s="505"/>
      <c r="G78" s="505"/>
      <c r="H78" s="501"/>
      <c r="I78" s="501"/>
      <c r="J78" s="506">
        <v>75000</v>
      </c>
      <c r="K78" s="501"/>
      <c r="L78" s="506">
        <v>0</v>
      </c>
      <c r="M78" s="501"/>
      <c r="N78" s="507">
        <v>0</v>
      </c>
      <c r="O78" s="501"/>
      <c r="P78" s="506">
        <f>J78+L78+N78</f>
        <v>75000</v>
      </c>
      <c r="Q78" s="501"/>
      <c r="R78" s="506">
        <v>75000</v>
      </c>
      <c r="S78" s="506">
        <v>75000</v>
      </c>
      <c r="T78" s="506">
        <f>P78</f>
        <v>75000</v>
      </c>
      <c r="U78" s="501"/>
      <c r="V78" s="507">
        <f>T78-S78</f>
        <v>0</v>
      </c>
      <c r="W78" s="501"/>
      <c r="X78" s="501"/>
      <c r="Y78" s="501"/>
    </row>
    <row r="79" spans="1:25" s="113" customFormat="1" ht="10.5" customHeight="1">
      <c r="A79" s="503" t="s">
        <v>1032</v>
      </c>
      <c r="B79" s="528" t="s">
        <v>198</v>
      </c>
      <c r="C79" s="528"/>
      <c r="D79" s="539"/>
      <c r="E79" s="501"/>
      <c r="F79" s="501"/>
      <c r="G79" s="501"/>
      <c r="H79" s="501"/>
      <c r="I79" s="501"/>
      <c r="J79" s="532"/>
      <c r="K79" s="501"/>
      <c r="L79" s="532"/>
      <c r="M79" s="501"/>
      <c r="N79" s="533"/>
      <c r="O79" s="501"/>
      <c r="P79" s="532"/>
      <c r="Q79" s="501"/>
      <c r="R79" s="532"/>
      <c r="S79" s="532"/>
      <c r="T79" s="532"/>
      <c r="U79" s="501"/>
      <c r="V79" s="533"/>
      <c r="W79" s="501"/>
      <c r="X79" s="501"/>
      <c r="Y79" s="501"/>
    </row>
    <row r="80" spans="1:25" s="113" customFormat="1" ht="11.25" customHeight="1" outlineLevel="1">
      <c r="A80" s="501"/>
      <c r="B80" s="502" t="s">
        <v>898</v>
      </c>
      <c r="C80" s="503"/>
      <c r="D80" s="501"/>
      <c r="E80" s="501"/>
      <c r="F80" s="501" t="s">
        <v>899</v>
      </c>
      <c r="G80" s="501"/>
      <c r="H80" s="501"/>
      <c r="I80" s="501"/>
      <c r="J80" s="530">
        <f>SUM(J78:J79)</f>
        <v>75000</v>
      </c>
      <c r="K80" s="501"/>
      <c r="L80" s="530">
        <f>SUM(L78:L79)</f>
        <v>0</v>
      </c>
      <c r="M80" s="501"/>
      <c r="N80" s="531">
        <f>SUM(N78:N79)</f>
        <v>0</v>
      </c>
      <c r="O80" s="501"/>
      <c r="P80" s="530">
        <f>J80+L80+N80</f>
        <v>75000</v>
      </c>
      <c r="Q80" s="501"/>
      <c r="R80" s="530">
        <f>SUM(R78:R79)</f>
        <v>75000</v>
      </c>
      <c r="S80" s="530">
        <f>SUM(S78:S79)</f>
        <v>75000</v>
      </c>
      <c r="T80" s="530">
        <f>SUM(T78:T79)</f>
        <v>75000</v>
      </c>
      <c r="U80" s="501"/>
      <c r="V80" s="531">
        <f>SUM(V78:V79)</f>
        <v>0</v>
      </c>
      <c r="W80" s="501"/>
      <c r="X80" s="501"/>
    </row>
    <row r="81" spans="1:25" s="113" customFormat="1" ht="11.25" customHeight="1" outlineLevel="1">
      <c r="A81" s="528" t="s">
        <v>198</v>
      </c>
      <c r="B81" s="501" t="s">
        <v>198</v>
      </c>
      <c r="C81" s="540"/>
      <c r="D81" s="504">
        <v>15261</v>
      </c>
      <c r="E81" s="504" t="s">
        <v>1035</v>
      </c>
      <c r="F81" s="505"/>
      <c r="G81" s="505"/>
      <c r="H81" s="501"/>
      <c r="I81" s="501"/>
      <c r="J81" s="506">
        <v>1256674.8</v>
      </c>
      <c r="K81" s="501"/>
      <c r="L81" s="506">
        <v>0</v>
      </c>
      <c r="M81" s="501"/>
      <c r="N81" s="507">
        <v>0</v>
      </c>
      <c r="O81" s="501"/>
      <c r="P81" s="506">
        <f>J81+L81+N81</f>
        <v>1256674.8</v>
      </c>
      <c r="Q81" s="501"/>
      <c r="R81" s="506">
        <v>1256674.8</v>
      </c>
      <c r="S81" s="506">
        <v>1256674.8</v>
      </c>
      <c r="T81" s="506">
        <f>P81</f>
        <v>1256674.8</v>
      </c>
      <c r="U81" s="501"/>
      <c r="V81" s="507">
        <f>T81-S81</f>
        <v>0</v>
      </c>
      <c r="W81" s="501"/>
      <c r="X81" s="501"/>
      <c r="Y81" s="501"/>
    </row>
    <row r="82" spans="1:25" s="113" customFormat="1" ht="11.25" customHeight="1">
      <c r="A82" s="503" t="s">
        <v>898</v>
      </c>
      <c r="B82" s="528" t="s">
        <v>198</v>
      </c>
      <c r="C82" s="528"/>
      <c r="D82" s="505"/>
      <c r="E82" s="505"/>
      <c r="F82" s="505"/>
      <c r="G82" s="505"/>
      <c r="H82" s="501"/>
      <c r="I82" s="501"/>
      <c r="J82" s="532"/>
      <c r="K82" s="501"/>
      <c r="L82" s="532"/>
      <c r="M82" s="501"/>
      <c r="N82" s="533"/>
      <c r="O82" s="501"/>
      <c r="P82" s="532"/>
      <c r="Q82" s="501"/>
      <c r="R82" s="532"/>
      <c r="S82" s="532"/>
      <c r="T82" s="532"/>
      <c r="U82" s="501"/>
      <c r="V82" s="533"/>
      <c r="W82" s="501"/>
      <c r="X82" s="501"/>
      <c r="Y82" s="501"/>
    </row>
    <row r="83" spans="1:25" s="113" customFormat="1" ht="10.5" customHeight="1" outlineLevel="1">
      <c r="A83" s="501"/>
      <c r="B83" s="502" t="s">
        <v>900</v>
      </c>
      <c r="C83" s="503"/>
      <c r="D83" s="501"/>
      <c r="E83" s="501"/>
      <c r="F83" s="504" t="s">
        <v>1036</v>
      </c>
      <c r="G83" s="541"/>
      <c r="H83" s="541"/>
      <c r="I83" s="541"/>
      <c r="J83" s="530">
        <f>SUM(J81:J82)</f>
        <v>1256674.8</v>
      </c>
      <c r="K83" s="501"/>
      <c r="L83" s="530">
        <f>SUM(L81:L82)</f>
        <v>0</v>
      </c>
      <c r="M83" s="501"/>
      <c r="N83" s="531">
        <f>SUM(N81:N82)</f>
        <v>0</v>
      </c>
      <c r="O83" s="501"/>
      <c r="P83" s="530">
        <f>J83+L83+N83</f>
        <v>1256674.8</v>
      </c>
      <c r="Q83" s="501"/>
      <c r="R83" s="530">
        <f>SUM(R81:R82)</f>
        <v>1256674.8</v>
      </c>
      <c r="S83" s="530">
        <f>SUM(S81:S82)</f>
        <v>1256674.8</v>
      </c>
      <c r="T83" s="530">
        <f>SUM(T81:T82)</f>
        <v>1256674.8</v>
      </c>
      <c r="U83" s="501"/>
      <c r="V83" s="531">
        <f>SUM(V81:V82)</f>
        <v>0</v>
      </c>
      <c r="W83" s="501"/>
      <c r="X83" s="501"/>
    </row>
    <row r="84" spans="1:25" s="113" customFormat="1" ht="10.5" customHeight="1" outlineLevel="1">
      <c r="A84" s="528" t="s">
        <v>198</v>
      </c>
      <c r="B84" s="503" t="s">
        <v>198</v>
      </c>
      <c r="C84" s="503"/>
      <c r="D84" s="504"/>
      <c r="E84" s="504"/>
      <c r="F84" s="505"/>
      <c r="G84" s="505"/>
      <c r="H84" s="501"/>
      <c r="I84" s="501"/>
      <c r="J84" s="506"/>
      <c r="K84" s="501"/>
      <c r="L84" s="506"/>
      <c r="M84" s="501"/>
      <c r="N84" s="507"/>
      <c r="O84" s="501"/>
      <c r="P84" s="506">
        <f>J84+L84+N84</f>
        <v>0</v>
      </c>
      <c r="Q84" s="501"/>
      <c r="R84" s="506"/>
      <c r="S84" s="506"/>
      <c r="T84" s="506">
        <f>P84</f>
        <v>0</v>
      </c>
      <c r="U84" s="501"/>
      <c r="V84" s="507">
        <f>T84-S84</f>
        <v>0</v>
      </c>
      <c r="W84" s="501"/>
      <c r="X84" s="501"/>
      <c r="Y84" s="501"/>
    </row>
    <row r="85" spans="1:25" s="113" customFormat="1" ht="10.5" customHeight="1">
      <c r="A85" s="503" t="s">
        <v>900</v>
      </c>
      <c r="B85" s="528" t="s">
        <v>198</v>
      </c>
      <c r="C85" s="528"/>
      <c r="D85" s="505"/>
      <c r="E85" s="505"/>
      <c r="F85" s="505"/>
      <c r="G85" s="505"/>
      <c r="H85" s="501"/>
      <c r="I85" s="501"/>
      <c r="J85" s="532"/>
      <c r="K85" s="501"/>
      <c r="L85" s="532"/>
      <c r="M85" s="501"/>
      <c r="N85" s="533"/>
      <c r="O85" s="501"/>
      <c r="P85" s="532"/>
      <c r="Q85" s="501"/>
      <c r="R85" s="532"/>
      <c r="S85" s="532"/>
      <c r="T85" s="532"/>
      <c r="U85" s="501"/>
      <c r="V85" s="533"/>
      <c r="W85" s="501"/>
      <c r="X85" s="501"/>
      <c r="Y85" s="501"/>
    </row>
    <row r="86" spans="1:25" s="113" customFormat="1" ht="10.5" hidden="1" customHeight="1" outlineLevel="1">
      <c r="A86" s="501"/>
      <c r="B86" s="502" t="s">
        <v>1037</v>
      </c>
      <c r="C86" s="503"/>
      <c r="D86" s="501"/>
      <c r="E86" s="501"/>
      <c r="F86" s="504" t="s">
        <v>1038</v>
      </c>
      <c r="G86" s="541"/>
      <c r="H86" s="541"/>
      <c r="I86" s="541"/>
      <c r="J86" s="530">
        <f>SUM(J84:J85)</f>
        <v>0</v>
      </c>
      <c r="K86" s="501"/>
      <c r="L86" s="530">
        <f>SUM(L84:L85)</f>
        <v>0</v>
      </c>
      <c r="M86" s="501"/>
      <c r="N86" s="531">
        <f>SUM(N84:N85)</f>
        <v>0</v>
      </c>
      <c r="O86" s="501"/>
      <c r="P86" s="530">
        <f>J86+L86+N86</f>
        <v>0</v>
      </c>
      <c r="Q86" s="501"/>
      <c r="R86" s="530">
        <f>SUM(R84:R85)</f>
        <v>0</v>
      </c>
      <c r="S86" s="530">
        <f>SUM(S84:S85)</f>
        <v>0</v>
      </c>
      <c r="T86" s="530">
        <f>SUM(T84:T85)</f>
        <v>0</v>
      </c>
      <c r="U86" s="501"/>
      <c r="V86" s="531">
        <f>SUM(V84:V85)</f>
        <v>0</v>
      </c>
      <c r="W86" s="501"/>
      <c r="X86" s="501"/>
    </row>
    <row r="87" spans="1:25" s="113" customFormat="1" ht="10.5" hidden="1" customHeight="1" outlineLevel="1">
      <c r="A87" s="528" t="s">
        <v>198</v>
      </c>
      <c r="B87" s="503" t="s">
        <v>198</v>
      </c>
      <c r="C87" s="503"/>
      <c r="D87" s="504"/>
      <c r="E87" s="504"/>
      <c r="F87" s="505"/>
      <c r="G87" s="505"/>
      <c r="H87" s="501"/>
      <c r="I87" s="501"/>
      <c r="J87" s="506"/>
      <c r="K87" s="501"/>
      <c r="L87" s="506"/>
      <c r="M87" s="501"/>
      <c r="N87" s="507"/>
      <c r="O87" s="501"/>
      <c r="P87" s="506">
        <f>J87+L87+N87</f>
        <v>0</v>
      </c>
      <c r="Q87" s="501"/>
      <c r="R87" s="506"/>
      <c r="S87" s="506"/>
      <c r="T87" s="506">
        <f>P87</f>
        <v>0</v>
      </c>
      <c r="U87" s="501"/>
      <c r="V87" s="507">
        <f>T87-S87</f>
        <v>0</v>
      </c>
      <c r="W87" s="501"/>
      <c r="X87" s="501"/>
      <c r="Y87" s="501"/>
    </row>
    <row r="88" spans="1:25" s="113" customFormat="1" ht="10.5" hidden="1" customHeight="1" collapsed="1">
      <c r="A88" s="503" t="s">
        <v>1037</v>
      </c>
      <c r="B88" s="503" t="s">
        <v>198</v>
      </c>
      <c r="C88" s="503"/>
      <c r="D88" s="539"/>
      <c r="E88" s="501"/>
      <c r="F88" s="501"/>
      <c r="G88" s="501"/>
      <c r="H88" s="501"/>
      <c r="I88" s="501"/>
      <c r="J88" s="532"/>
      <c r="K88" s="501"/>
      <c r="L88" s="532"/>
      <c r="M88" s="501"/>
      <c r="N88" s="533"/>
      <c r="O88" s="501"/>
      <c r="P88" s="532"/>
      <c r="Q88" s="501"/>
      <c r="R88" s="532"/>
      <c r="S88" s="532"/>
      <c r="T88" s="532"/>
      <c r="U88" s="501"/>
      <c r="V88" s="533"/>
      <c r="W88" s="501"/>
      <c r="X88" s="501"/>
      <c r="Y88" s="501"/>
    </row>
    <row r="89" spans="1:25" s="113" customFormat="1" ht="10.5" hidden="1" customHeight="1" outlineLevel="1">
      <c r="A89" s="501"/>
      <c r="B89" s="502" t="s">
        <v>902</v>
      </c>
      <c r="C89" s="503"/>
      <c r="D89" s="501"/>
      <c r="E89" s="501"/>
      <c r="F89" s="501" t="s">
        <v>1039</v>
      </c>
      <c r="G89" s="501"/>
      <c r="H89" s="501"/>
      <c r="I89" s="501"/>
      <c r="J89" s="530">
        <f>SUM(J87:J88)</f>
        <v>0</v>
      </c>
      <c r="K89" s="501"/>
      <c r="L89" s="530">
        <f>SUM(L87:L88)</f>
        <v>0</v>
      </c>
      <c r="M89" s="501"/>
      <c r="N89" s="531">
        <f>SUM(N87:N88)</f>
        <v>0</v>
      </c>
      <c r="O89" s="501"/>
      <c r="P89" s="530">
        <f>J89+L89+N89</f>
        <v>0</v>
      </c>
      <c r="Q89" s="501"/>
      <c r="R89" s="530">
        <f>SUM(R87:R88)</f>
        <v>0</v>
      </c>
      <c r="S89" s="530">
        <f>SUM(S87:S88)</f>
        <v>0</v>
      </c>
      <c r="T89" s="530">
        <f>SUM(T87:T88)</f>
        <v>0</v>
      </c>
      <c r="U89" s="501"/>
      <c r="V89" s="531">
        <f>SUM(V87:V88)</f>
        <v>0</v>
      </c>
      <c r="W89" s="501"/>
      <c r="X89" s="501"/>
    </row>
    <row r="90" spans="1:25" s="113" customFormat="1" ht="10.5" hidden="1" customHeight="1" outlineLevel="1">
      <c r="A90" s="503" t="s">
        <v>198</v>
      </c>
      <c r="B90" s="501" t="s">
        <v>198</v>
      </c>
      <c r="C90" s="540"/>
      <c r="D90" s="504"/>
      <c r="E90" s="504"/>
      <c r="F90" s="505"/>
      <c r="G90" s="505"/>
      <c r="H90" s="501"/>
      <c r="I90" s="501"/>
      <c r="J90" s="506"/>
      <c r="K90" s="501"/>
      <c r="L90" s="506"/>
      <c r="M90" s="501"/>
      <c r="N90" s="507"/>
      <c r="O90" s="501"/>
      <c r="P90" s="506">
        <f>J90+L90+N90</f>
        <v>0</v>
      </c>
      <c r="Q90" s="501"/>
      <c r="R90" s="506"/>
      <c r="S90" s="506"/>
      <c r="T90" s="506">
        <f>P90</f>
        <v>0</v>
      </c>
      <c r="U90" s="501"/>
      <c r="V90" s="507">
        <f>T90-S90</f>
        <v>0</v>
      </c>
      <c r="W90" s="501"/>
      <c r="X90" s="501"/>
      <c r="Y90" s="501"/>
    </row>
    <row r="91" spans="1:25" s="113" customFormat="1" ht="10.5" hidden="1" customHeight="1" collapsed="1">
      <c r="A91" s="503" t="s">
        <v>902</v>
      </c>
      <c r="B91" s="528" t="s">
        <v>198</v>
      </c>
      <c r="C91" s="528"/>
      <c r="D91" s="505"/>
      <c r="E91" s="505"/>
      <c r="F91" s="505"/>
      <c r="G91" s="505"/>
      <c r="H91" s="501"/>
      <c r="I91" s="501"/>
      <c r="J91" s="532"/>
      <c r="K91" s="501"/>
      <c r="L91" s="532"/>
      <c r="M91" s="501"/>
      <c r="N91" s="533"/>
      <c r="O91" s="501"/>
      <c r="P91" s="532"/>
      <c r="Q91" s="501"/>
      <c r="R91" s="532"/>
      <c r="S91" s="532"/>
      <c r="T91" s="532"/>
      <c r="U91" s="501"/>
      <c r="V91" s="533"/>
      <c r="W91" s="501"/>
      <c r="X91" s="501"/>
      <c r="Y91" s="501"/>
    </row>
    <row r="92" spans="1:25" s="113" customFormat="1" ht="10.5" hidden="1" customHeight="1" outlineLevel="1">
      <c r="A92" s="501"/>
      <c r="B92" s="502" t="s">
        <v>1040</v>
      </c>
      <c r="C92" s="503"/>
      <c r="D92" s="501"/>
      <c r="E92" s="501"/>
      <c r="F92" s="504" t="s">
        <v>1041</v>
      </c>
      <c r="G92" s="501"/>
      <c r="H92" s="501"/>
      <c r="I92" s="501"/>
      <c r="J92" s="530">
        <f>SUM(J90:J91)</f>
        <v>0</v>
      </c>
      <c r="K92" s="501"/>
      <c r="L92" s="530">
        <f>SUM(L90:L91)</f>
        <v>0</v>
      </c>
      <c r="M92" s="501"/>
      <c r="N92" s="531">
        <f>SUM(N90:N91)</f>
        <v>0</v>
      </c>
      <c r="O92" s="501"/>
      <c r="P92" s="530">
        <f>J92+L92+N92</f>
        <v>0</v>
      </c>
      <c r="Q92" s="501"/>
      <c r="R92" s="530">
        <f>SUM(R90:R91)</f>
        <v>0</v>
      </c>
      <c r="S92" s="530">
        <f>SUM(S90:S91)</f>
        <v>0</v>
      </c>
      <c r="T92" s="530">
        <f>SUM(T90:T91)</f>
        <v>0</v>
      </c>
      <c r="U92" s="501"/>
      <c r="V92" s="531">
        <f>SUM(V90:V91)</f>
        <v>0</v>
      </c>
      <c r="W92" s="501"/>
      <c r="X92" s="501"/>
    </row>
    <row r="93" spans="1:25" s="113" customFormat="1" ht="10.5" hidden="1" customHeight="1" outlineLevel="1">
      <c r="A93" s="528" t="s">
        <v>198</v>
      </c>
      <c r="B93" s="528" t="s">
        <v>198</v>
      </c>
      <c r="C93" s="528"/>
      <c r="D93" s="504"/>
      <c r="E93" s="504"/>
      <c r="F93" s="505"/>
      <c r="G93" s="505"/>
      <c r="H93" s="501"/>
      <c r="I93" s="501"/>
      <c r="J93" s="506"/>
      <c r="K93" s="501"/>
      <c r="L93" s="506"/>
      <c r="M93" s="501"/>
      <c r="N93" s="507"/>
      <c r="O93" s="501"/>
      <c r="P93" s="506">
        <f>J93+L93+N93</f>
        <v>0</v>
      </c>
      <c r="Q93" s="501"/>
      <c r="R93" s="506"/>
      <c r="S93" s="506"/>
      <c r="T93" s="506">
        <f>P93</f>
        <v>0</v>
      </c>
      <c r="U93" s="501"/>
      <c r="V93" s="507">
        <f>T93-S93</f>
        <v>0</v>
      </c>
      <c r="W93" s="501"/>
      <c r="X93" s="501"/>
      <c r="Y93" s="501"/>
    </row>
    <row r="94" spans="1:25" s="113" customFormat="1" ht="10.5" hidden="1" customHeight="1" collapsed="1">
      <c r="A94" s="503" t="s">
        <v>1040</v>
      </c>
      <c r="B94" s="528" t="s">
        <v>198</v>
      </c>
      <c r="C94" s="528"/>
      <c r="D94" s="505"/>
      <c r="E94" s="505"/>
      <c r="F94" s="505"/>
      <c r="G94" s="505"/>
      <c r="H94" s="501"/>
      <c r="I94" s="501"/>
      <c r="J94" s="532"/>
      <c r="K94" s="501"/>
      <c r="L94" s="532"/>
      <c r="M94" s="501"/>
      <c r="N94" s="533"/>
      <c r="O94" s="501"/>
      <c r="P94" s="532"/>
      <c r="Q94" s="501"/>
      <c r="R94" s="532"/>
      <c r="S94" s="532"/>
      <c r="T94" s="532"/>
      <c r="U94" s="501"/>
      <c r="V94" s="533"/>
      <c r="W94" s="501"/>
      <c r="X94" s="501"/>
      <c r="Y94" s="501"/>
    </row>
    <row r="95" spans="1:25" s="113" customFormat="1" ht="12" customHeight="1" outlineLevel="1">
      <c r="A95" s="501"/>
      <c r="B95" s="502" t="s">
        <v>1042</v>
      </c>
      <c r="C95" s="503"/>
      <c r="D95" s="501"/>
      <c r="E95" s="501"/>
      <c r="F95" s="504" t="s">
        <v>1043</v>
      </c>
      <c r="G95" s="501"/>
      <c r="H95" s="501"/>
      <c r="I95" s="501"/>
      <c r="J95" s="530">
        <f>SUM(J93:J94)</f>
        <v>0</v>
      </c>
      <c r="K95" s="501"/>
      <c r="L95" s="530">
        <f>SUM(L93:L94)</f>
        <v>0</v>
      </c>
      <c r="M95" s="501"/>
      <c r="N95" s="531">
        <f>SUM(N93:N94)</f>
        <v>0</v>
      </c>
      <c r="O95" s="501"/>
      <c r="P95" s="530">
        <f>J95+L95+N95</f>
        <v>0</v>
      </c>
      <c r="Q95" s="501"/>
      <c r="R95" s="530">
        <f>SUM(R93:R94)</f>
        <v>0</v>
      </c>
      <c r="S95" s="530">
        <f>SUM(S93:S94)</f>
        <v>0</v>
      </c>
      <c r="T95" s="530">
        <f>SUM(T93:T94)</f>
        <v>0</v>
      </c>
      <c r="U95" s="501"/>
      <c r="V95" s="531">
        <f>SUM(V93:V94)</f>
        <v>0</v>
      </c>
      <c r="W95" s="501"/>
      <c r="X95" s="501"/>
    </row>
    <row r="96" spans="1:25" s="113" customFormat="1" ht="12" customHeight="1" outlineLevel="1">
      <c r="A96" s="528" t="s">
        <v>198</v>
      </c>
      <c r="B96" s="528" t="s">
        <v>198</v>
      </c>
      <c r="C96" s="528"/>
      <c r="D96" s="504">
        <v>17100</v>
      </c>
      <c r="E96" s="504" t="s">
        <v>1044</v>
      </c>
      <c r="F96" s="505"/>
      <c r="G96" s="505"/>
      <c r="H96" s="501"/>
      <c r="I96" s="501"/>
      <c r="J96" s="506">
        <v>32383.13</v>
      </c>
      <c r="K96" s="501"/>
      <c r="L96" s="506">
        <v>0</v>
      </c>
      <c r="M96" s="501"/>
      <c r="N96" s="507">
        <v>0</v>
      </c>
      <c r="O96" s="501"/>
      <c r="P96" s="506">
        <f>J96+L96+N96</f>
        <v>32383.13</v>
      </c>
      <c r="Q96" s="501"/>
      <c r="R96" s="506">
        <v>176169.05</v>
      </c>
      <c r="S96" s="506">
        <v>16264.33</v>
      </c>
      <c r="T96" s="506">
        <f t="shared" ref="T96:T97" si="11">P96</f>
        <v>32383.13</v>
      </c>
      <c r="U96" s="501"/>
      <c r="V96" s="507">
        <f t="shared" ref="V96:V97" si="12">T96-S96</f>
        <v>16118.800000000001</v>
      </c>
      <c r="W96" s="501"/>
      <c r="X96" s="501"/>
      <c r="Y96" s="501"/>
    </row>
    <row r="97" spans="1:25" s="113" customFormat="1" ht="12" customHeight="1">
      <c r="A97" s="503" t="s">
        <v>1042</v>
      </c>
      <c r="B97" s="503" t="s">
        <v>198</v>
      </c>
      <c r="C97" s="503"/>
      <c r="D97" s="504">
        <v>18100</v>
      </c>
      <c r="E97" s="504" t="s">
        <v>1045</v>
      </c>
      <c r="F97" s="505"/>
      <c r="G97" s="505"/>
      <c r="H97" s="501"/>
      <c r="I97" s="501"/>
      <c r="J97" s="506">
        <v>-2172483.84</v>
      </c>
      <c r="K97" s="501"/>
      <c r="L97" s="506">
        <v>0</v>
      </c>
      <c r="M97" s="501"/>
      <c r="N97" s="507">
        <v>0</v>
      </c>
      <c r="O97" s="501"/>
      <c r="P97" s="506">
        <f>J97+L97+N97</f>
        <v>-2172483.84</v>
      </c>
      <c r="Q97" s="501"/>
      <c r="R97" s="506">
        <v>-2172483.84</v>
      </c>
      <c r="S97" s="506">
        <v>-2172483.84</v>
      </c>
      <c r="T97" s="506">
        <f t="shared" si="11"/>
        <v>-2172483.84</v>
      </c>
      <c r="U97" s="501"/>
      <c r="V97" s="507">
        <f t="shared" si="12"/>
        <v>0</v>
      </c>
      <c r="W97" s="501"/>
      <c r="X97" s="501"/>
      <c r="Y97" s="501"/>
    </row>
    <row r="98" spans="1:25" s="113" customFormat="1" ht="10.5" customHeight="1" outlineLevel="1">
      <c r="A98" s="501"/>
      <c r="B98" s="502" t="s">
        <v>904</v>
      </c>
      <c r="C98" s="503"/>
      <c r="D98" s="505"/>
      <c r="E98" s="505"/>
      <c r="F98" s="505"/>
      <c r="G98" s="505"/>
      <c r="H98" s="501"/>
      <c r="I98" s="501"/>
      <c r="J98" s="532"/>
      <c r="K98" s="501"/>
      <c r="L98" s="532"/>
      <c r="M98" s="501"/>
      <c r="N98" s="533"/>
      <c r="O98" s="501"/>
      <c r="P98" s="532"/>
      <c r="Q98" s="501"/>
      <c r="R98" s="532"/>
      <c r="S98" s="532"/>
      <c r="T98" s="532"/>
      <c r="U98" s="501"/>
      <c r="V98" s="533"/>
      <c r="W98" s="501"/>
      <c r="X98" s="501"/>
    </row>
    <row r="99" spans="1:25" s="113" customFormat="1" ht="10.5" customHeight="1" outlineLevel="1">
      <c r="A99" s="501"/>
      <c r="B99" s="502" t="s">
        <v>206</v>
      </c>
      <c r="C99" s="503"/>
      <c r="D99" s="501"/>
      <c r="E99" s="501"/>
      <c r="F99" s="504" t="s">
        <v>905</v>
      </c>
      <c r="G99" s="501"/>
      <c r="H99" s="501"/>
      <c r="I99" s="501"/>
      <c r="J99" s="530">
        <f>SUM(J96:J98)</f>
        <v>-2140100.71</v>
      </c>
      <c r="K99" s="501"/>
      <c r="L99" s="530">
        <f>SUM(L96:L98)</f>
        <v>0</v>
      </c>
      <c r="M99" s="501"/>
      <c r="N99" s="531">
        <f>SUM(N96:N98)</f>
        <v>0</v>
      </c>
      <c r="O99" s="501"/>
      <c r="P99" s="530">
        <f>J99+L99+N99</f>
        <v>-2140100.71</v>
      </c>
      <c r="Q99" s="501"/>
      <c r="R99" s="530">
        <f>SUM(R96:R98)</f>
        <v>-1996314.7899999998</v>
      </c>
      <c r="S99" s="530">
        <f>SUM(S96:S98)</f>
        <v>-2156219.5099999998</v>
      </c>
      <c r="T99" s="530">
        <f>SUM(T96:T98)</f>
        <v>-2140100.71</v>
      </c>
      <c r="U99" s="501"/>
      <c r="V99" s="531">
        <f>SUM(V96:V98)</f>
        <v>16118.800000000001</v>
      </c>
      <c r="W99" s="501"/>
      <c r="X99" s="501"/>
    </row>
    <row r="100" spans="1:25" s="113" customFormat="1" ht="10.5" customHeight="1" outlineLevel="1">
      <c r="A100" s="503" t="s">
        <v>198</v>
      </c>
      <c r="B100" s="503" t="s">
        <v>198</v>
      </c>
      <c r="C100" s="503"/>
      <c r="D100" s="501"/>
      <c r="E100" s="501"/>
      <c r="F100" s="501"/>
      <c r="G100" s="501"/>
      <c r="H100" s="501"/>
      <c r="I100" s="501"/>
      <c r="J100" s="535"/>
      <c r="K100" s="501"/>
      <c r="L100" s="535"/>
      <c r="M100" s="501"/>
      <c r="N100" s="507"/>
      <c r="O100" s="501"/>
      <c r="P100" s="535"/>
      <c r="Q100" s="501"/>
      <c r="R100" s="535"/>
      <c r="S100" s="535"/>
      <c r="T100" s="535"/>
      <c r="U100" s="501"/>
      <c r="V100" s="507"/>
      <c r="W100" s="501"/>
      <c r="X100" s="501"/>
      <c r="Y100" s="501"/>
    </row>
    <row r="101" spans="1:25" s="113" customFormat="1" ht="10.5" customHeight="1" thickBot="1">
      <c r="A101" s="503" t="s">
        <v>904</v>
      </c>
      <c r="B101" s="503" t="s">
        <v>198</v>
      </c>
      <c r="C101" s="503"/>
      <c r="D101" s="501"/>
      <c r="E101" s="536" t="s">
        <v>1046</v>
      </c>
      <c r="F101" s="501"/>
      <c r="G101" s="501"/>
      <c r="H101" s="501"/>
      <c r="I101" s="501"/>
      <c r="J101" s="542">
        <f>SUM(J74,J77,J80,J83,J86,J89,J92,J95,J99,J48)</f>
        <v>139466.37</v>
      </c>
      <c r="K101" s="501"/>
      <c r="L101" s="542">
        <f>SUM(L74,L77,L80,L83,L86,L89,L92,L95,L99,L48)</f>
        <v>0</v>
      </c>
      <c r="M101" s="501"/>
      <c r="N101" s="543">
        <f>SUM(N74,N77,N80,N83,N86,N89,N92,N95,N99,N48)</f>
        <v>0</v>
      </c>
      <c r="O101" s="501"/>
      <c r="P101" s="542">
        <f>SUM(P74,P77,P80,P83,P86,P89,P92,P95,P99,P48)</f>
        <v>139466.37</v>
      </c>
      <c r="Q101" s="501"/>
      <c r="R101" s="542">
        <f>SUM(R74,R77,R80,R83,R86,R89,R92,R95,R99,R48)</f>
        <v>141290.26000000024</v>
      </c>
      <c r="S101" s="542">
        <f>SUM(S74,S77,S80,S83,S86,S89,S92,S95,S99,S48)</f>
        <v>134790.10000000044</v>
      </c>
      <c r="T101" s="542">
        <f>SUM(T74,T77,T80,T83,T86,T89,T92,T95,T99,T48)</f>
        <v>139466.37</v>
      </c>
      <c r="U101" s="501"/>
      <c r="V101" s="543">
        <f>SUM(V74,V77,V80,V83,V86,V89,V92,V95,V99,V48)</f>
        <v>4676.2699999999713</v>
      </c>
      <c r="W101" s="501"/>
      <c r="X101" s="501"/>
      <c r="Y101" s="501"/>
    </row>
    <row r="102" spans="1:25" s="113" customFormat="1" ht="10.5" customHeight="1" thickTop="1">
      <c r="A102" s="503" t="s">
        <v>198</v>
      </c>
      <c r="B102" s="528" t="s">
        <v>198</v>
      </c>
      <c r="C102" s="528"/>
      <c r="D102" s="501"/>
      <c r="E102" s="536"/>
      <c r="F102" s="501"/>
      <c r="G102" s="501"/>
      <c r="H102" s="501"/>
      <c r="I102" s="501"/>
      <c r="J102" s="531"/>
      <c r="K102" s="540"/>
      <c r="L102" s="531"/>
      <c r="M102" s="540"/>
      <c r="N102" s="531"/>
      <c r="O102" s="540"/>
      <c r="P102" s="531"/>
      <c r="Q102" s="540"/>
      <c r="R102" s="531"/>
      <c r="S102" s="531"/>
      <c r="T102" s="531"/>
      <c r="U102" s="540"/>
      <c r="V102" s="531"/>
      <c r="W102" s="501"/>
      <c r="X102" s="501"/>
      <c r="Y102" s="501"/>
    </row>
    <row r="103" spans="1:25" s="113" customFormat="1" ht="10.5" customHeight="1">
      <c r="A103" s="503" t="s">
        <v>198</v>
      </c>
      <c r="B103" s="528" t="s">
        <v>198</v>
      </c>
      <c r="C103" s="528"/>
      <c r="D103" s="504"/>
      <c r="E103" s="504"/>
      <c r="F103" s="505"/>
      <c r="G103" s="505"/>
      <c r="H103" s="501"/>
      <c r="I103" s="501"/>
      <c r="J103" s="506"/>
      <c r="K103" s="501"/>
      <c r="L103" s="506"/>
      <c r="M103" s="501"/>
      <c r="N103" s="507"/>
      <c r="O103" s="501"/>
      <c r="P103" s="506">
        <f>J103+L103+N103</f>
        <v>0</v>
      </c>
      <c r="Q103" s="501"/>
      <c r="R103" s="506"/>
      <c r="S103" s="506"/>
      <c r="T103" s="506">
        <f>P103</f>
        <v>0</v>
      </c>
      <c r="U103" s="501"/>
      <c r="V103" s="507">
        <f>T103-S103</f>
        <v>0</v>
      </c>
      <c r="W103" s="501"/>
      <c r="X103" s="501"/>
      <c r="Y103" s="501"/>
    </row>
    <row r="104" spans="1:25" s="113" customFormat="1" ht="10.5" customHeight="1">
      <c r="A104" s="528" t="s">
        <v>198</v>
      </c>
      <c r="B104" s="528"/>
      <c r="C104" s="528"/>
      <c r="D104" s="504"/>
      <c r="E104" s="504"/>
      <c r="F104" s="501"/>
      <c r="G104" s="501"/>
      <c r="H104" s="501"/>
      <c r="I104" s="501"/>
      <c r="J104" s="532"/>
      <c r="K104" s="501"/>
      <c r="L104" s="532"/>
      <c r="M104" s="501"/>
      <c r="N104" s="533"/>
      <c r="O104" s="501"/>
      <c r="P104" s="532"/>
      <c r="Q104" s="501"/>
      <c r="R104" s="532"/>
      <c r="S104" s="532"/>
      <c r="T104" s="532"/>
      <c r="U104" s="501"/>
      <c r="V104" s="533"/>
      <c r="W104" s="501"/>
      <c r="X104" s="501"/>
      <c r="Y104" s="501"/>
    </row>
    <row r="105" spans="1:25" s="113" customFormat="1" ht="10.5" hidden="1" customHeight="1" outlineLevel="1">
      <c r="A105" s="501"/>
      <c r="B105" s="502" t="s">
        <v>1047</v>
      </c>
      <c r="C105" s="503"/>
      <c r="D105" s="501"/>
      <c r="E105" s="501"/>
      <c r="F105" s="501" t="s">
        <v>1048</v>
      </c>
      <c r="G105" s="501"/>
      <c r="H105" s="501"/>
      <c r="I105" s="501"/>
      <c r="J105" s="530">
        <f>SUM(J103:J104)</f>
        <v>0</v>
      </c>
      <c r="K105" s="501"/>
      <c r="L105" s="530">
        <f>SUM(L103:L104)</f>
        <v>0</v>
      </c>
      <c r="M105" s="501"/>
      <c r="N105" s="531">
        <f>SUM(N103:N104)</f>
        <v>0</v>
      </c>
      <c r="O105" s="501"/>
      <c r="P105" s="530">
        <f>J105+L105+N105</f>
        <v>0</v>
      </c>
      <c r="Q105" s="501"/>
      <c r="R105" s="530">
        <f>SUM(R103:R104)</f>
        <v>0</v>
      </c>
      <c r="S105" s="530">
        <f>SUM(S103:S104)</f>
        <v>0</v>
      </c>
      <c r="T105" s="530">
        <f>SUM(T103:T104)</f>
        <v>0</v>
      </c>
      <c r="U105" s="501"/>
      <c r="V105" s="531">
        <f>SUM(V103:V104)</f>
        <v>0</v>
      </c>
      <c r="W105" s="501"/>
      <c r="X105" s="501"/>
    </row>
    <row r="106" spans="1:25" s="113" customFormat="1" ht="10.5" hidden="1" customHeight="1" outlineLevel="1">
      <c r="A106" s="528"/>
      <c r="B106" s="528"/>
      <c r="C106" s="528"/>
      <c r="D106" s="501"/>
      <c r="E106" s="501"/>
      <c r="F106" s="501"/>
      <c r="G106" s="501"/>
      <c r="H106" s="501"/>
      <c r="I106" s="501"/>
      <c r="J106" s="535"/>
      <c r="K106" s="501"/>
      <c r="L106" s="535"/>
      <c r="M106" s="501"/>
      <c r="N106" s="507"/>
      <c r="O106" s="501"/>
      <c r="P106" s="535"/>
      <c r="Q106" s="501"/>
      <c r="R106" s="535"/>
      <c r="S106" s="535"/>
      <c r="T106" s="535"/>
      <c r="U106" s="501"/>
      <c r="V106" s="507"/>
      <c r="W106" s="501"/>
      <c r="X106" s="501"/>
      <c r="Y106" s="501"/>
    </row>
    <row r="107" spans="1:25" s="113" customFormat="1" ht="10.5" customHeight="1" collapsed="1">
      <c r="A107" s="503" t="s">
        <v>1047</v>
      </c>
      <c r="B107" s="528" t="s">
        <v>198</v>
      </c>
      <c r="C107" s="528"/>
      <c r="D107" s="504"/>
      <c r="E107" s="504"/>
      <c r="F107" s="505"/>
      <c r="G107" s="505"/>
      <c r="H107" s="501"/>
      <c r="I107" s="501"/>
      <c r="J107" s="506"/>
      <c r="K107" s="501"/>
      <c r="L107" s="506"/>
      <c r="M107" s="501"/>
      <c r="N107" s="507"/>
      <c r="O107" s="501"/>
      <c r="P107" s="506">
        <f>J107+L107+N107</f>
        <v>0</v>
      </c>
      <c r="Q107" s="501"/>
      <c r="R107" s="506"/>
      <c r="S107" s="506"/>
      <c r="T107" s="506">
        <f>P107</f>
        <v>0</v>
      </c>
      <c r="U107" s="501"/>
      <c r="V107" s="507">
        <f>T107-S107</f>
        <v>0</v>
      </c>
      <c r="W107" s="501"/>
      <c r="X107" s="501"/>
      <c r="Y107" s="501"/>
    </row>
    <row r="108" spans="1:25" s="113" customFormat="1" ht="10.5" customHeight="1" outlineLevel="1">
      <c r="A108" s="528"/>
      <c r="B108" s="503" t="s">
        <v>198</v>
      </c>
      <c r="C108" s="503"/>
      <c r="D108" s="505"/>
      <c r="E108" s="505"/>
      <c r="F108" s="505"/>
      <c r="G108" s="505"/>
      <c r="H108" s="501"/>
      <c r="I108" s="501"/>
      <c r="J108" s="532"/>
      <c r="K108" s="501"/>
      <c r="L108" s="532"/>
      <c r="M108" s="501"/>
      <c r="N108" s="533"/>
      <c r="O108" s="501"/>
      <c r="P108" s="532"/>
      <c r="Q108" s="501"/>
      <c r="R108" s="532"/>
      <c r="S108" s="532"/>
      <c r="T108" s="532"/>
      <c r="U108" s="501"/>
      <c r="V108" s="533"/>
      <c r="W108" s="501"/>
      <c r="X108" s="501"/>
      <c r="Y108" s="501"/>
    </row>
    <row r="109" spans="1:25" s="113" customFormat="1" ht="10.5" customHeight="1" outlineLevel="1">
      <c r="A109" s="501"/>
      <c r="B109" s="502" t="s">
        <v>916</v>
      </c>
      <c r="C109" s="503"/>
      <c r="D109" s="501"/>
      <c r="E109" s="501"/>
      <c r="F109" s="504" t="s">
        <v>1049</v>
      </c>
      <c r="G109" s="501"/>
      <c r="H109" s="501"/>
      <c r="I109" s="501"/>
      <c r="J109" s="530">
        <f>SUM(J107:J108)</f>
        <v>0</v>
      </c>
      <c r="K109" s="501"/>
      <c r="L109" s="530">
        <f>SUM(L107:L108)</f>
        <v>0</v>
      </c>
      <c r="M109" s="501"/>
      <c r="N109" s="531">
        <f>SUM(N107:N108)</f>
        <v>0</v>
      </c>
      <c r="O109" s="501"/>
      <c r="P109" s="530">
        <f t="shared" ref="P109:P116" si="13">J109+L109+N109</f>
        <v>0</v>
      </c>
      <c r="Q109" s="501"/>
      <c r="R109" s="530">
        <f>SUM(R107:R108)</f>
        <v>0</v>
      </c>
      <c r="S109" s="530">
        <f>SUM(S107:S108)</f>
        <v>0</v>
      </c>
      <c r="T109" s="530">
        <f>SUM(T107:T108)</f>
        <v>0</v>
      </c>
      <c r="U109" s="501"/>
      <c r="V109" s="531">
        <f>SUM(V107:V108)</f>
        <v>0</v>
      </c>
      <c r="W109" s="501"/>
      <c r="X109" s="501"/>
    </row>
    <row r="110" spans="1:25" s="113" customFormat="1" ht="10.5" customHeight="1" outlineLevel="1">
      <c r="A110" s="503" t="s">
        <v>198</v>
      </c>
      <c r="B110" s="503" t="s">
        <v>198</v>
      </c>
      <c r="C110" s="503"/>
      <c r="D110" s="504">
        <v>20120</v>
      </c>
      <c r="E110" s="504" t="s">
        <v>1050</v>
      </c>
      <c r="F110" s="505"/>
      <c r="G110" s="505"/>
      <c r="H110" s="501"/>
      <c r="I110" s="501"/>
      <c r="J110" s="506">
        <v>27352.84</v>
      </c>
      <c r="K110" s="501"/>
      <c r="L110" s="506">
        <v>0</v>
      </c>
      <c r="M110" s="501"/>
      <c r="N110" s="507">
        <v>0</v>
      </c>
      <c r="O110" s="501"/>
      <c r="P110" s="506">
        <f t="shared" si="13"/>
        <v>27352.84</v>
      </c>
      <c r="Q110" s="501"/>
      <c r="R110" s="506">
        <v>40143.83</v>
      </c>
      <c r="S110" s="506">
        <v>32286.3</v>
      </c>
      <c r="T110" s="506">
        <f t="shared" ref="T110:T116" si="14">P110</f>
        <v>27352.84</v>
      </c>
      <c r="U110" s="501"/>
      <c r="V110" s="507">
        <f t="shared" ref="V110:V116" si="15">T110-S110</f>
        <v>-4933.4599999999991</v>
      </c>
      <c r="W110" s="501"/>
      <c r="X110" s="501"/>
      <c r="Y110" s="501"/>
    </row>
    <row r="111" spans="1:25" s="113" customFormat="1" ht="10.5" customHeight="1">
      <c r="A111" s="503" t="s">
        <v>916</v>
      </c>
      <c r="B111" s="503" t="s">
        <v>198</v>
      </c>
      <c r="C111" s="503"/>
      <c r="D111" s="504">
        <v>20121</v>
      </c>
      <c r="E111" s="504" t="s">
        <v>1051</v>
      </c>
      <c r="F111" s="505"/>
      <c r="G111" s="505"/>
      <c r="H111" s="501"/>
      <c r="I111" s="501"/>
      <c r="J111" s="506">
        <v>0</v>
      </c>
      <c r="K111" s="501"/>
      <c r="L111" s="506">
        <v>0</v>
      </c>
      <c r="M111" s="501"/>
      <c r="N111" s="507">
        <v>0</v>
      </c>
      <c r="O111" s="501"/>
      <c r="P111" s="506">
        <f t="shared" si="13"/>
        <v>0</v>
      </c>
      <c r="Q111" s="501"/>
      <c r="R111" s="506">
        <v>0</v>
      </c>
      <c r="S111" s="506">
        <v>0</v>
      </c>
      <c r="T111" s="506">
        <f t="shared" si="14"/>
        <v>0</v>
      </c>
      <c r="U111" s="501"/>
      <c r="V111" s="507">
        <f t="shared" si="15"/>
        <v>0</v>
      </c>
      <c r="W111" s="501"/>
      <c r="X111" s="501"/>
      <c r="Y111" s="501"/>
    </row>
    <row r="112" spans="1:25" s="113" customFormat="1" ht="10.5" customHeight="1" outlineLevel="1">
      <c r="A112" s="501"/>
      <c r="B112" s="502" t="s">
        <v>908</v>
      </c>
      <c r="C112" s="503"/>
      <c r="D112" s="504">
        <v>20123</v>
      </c>
      <c r="E112" s="504" t="s">
        <v>1052</v>
      </c>
      <c r="F112" s="505"/>
      <c r="G112" s="505"/>
      <c r="H112" s="501"/>
      <c r="I112" s="501"/>
      <c r="J112" s="506">
        <v>0</v>
      </c>
      <c r="K112" s="501"/>
      <c r="L112" s="506">
        <v>0</v>
      </c>
      <c r="M112" s="501"/>
      <c r="N112" s="507">
        <v>0</v>
      </c>
      <c r="O112" s="501"/>
      <c r="P112" s="506">
        <f t="shared" si="13"/>
        <v>0</v>
      </c>
      <c r="Q112" s="501"/>
      <c r="R112" s="506">
        <v>700.56</v>
      </c>
      <c r="S112" s="506">
        <v>578.70000000000005</v>
      </c>
      <c r="T112" s="506">
        <f t="shared" si="14"/>
        <v>0</v>
      </c>
      <c r="U112" s="501"/>
      <c r="V112" s="507">
        <f t="shared" si="15"/>
        <v>-578.70000000000005</v>
      </c>
      <c r="W112" s="501"/>
      <c r="X112" s="501"/>
    </row>
    <row r="113" spans="1:25" s="113" customFormat="1" ht="10.5" customHeight="1" outlineLevel="1">
      <c r="A113" s="501"/>
      <c r="B113" s="502" t="s">
        <v>206</v>
      </c>
      <c r="C113" s="503"/>
      <c r="D113" s="504">
        <v>20140</v>
      </c>
      <c r="E113" s="504" t="s">
        <v>1053</v>
      </c>
      <c r="F113" s="505"/>
      <c r="G113" s="505"/>
      <c r="H113" s="501"/>
      <c r="I113" s="501"/>
      <c r="J113" s="506">
        <v>0</v>
      </c>
      <c r="K113" s="501"/>
      <c r="L113" s="506">
        <v>0</v>
      </c>
      <c r="M113" s="501"/>
      <c r="N113" s="507">
        <v>0</v>
      </c>
      <c r="O113" s="501"/>
      <c r="P113" s="506">
        <f t="shared" si="13"/>
        <v>0</v>
      </c>
      <c r="Q113" s="501"/>
      <c r="R113" s="506">
        <v>0</v>
      </c>
      <c r="S113" s="506">
        <v>0</v>
      </c>
      <c r="T113" s="506">
        <f t="shared" si="14"/>
        <v>0</v>
      </c>
      <c r="U113" s="501"/>
      <c r="V113" s="507">
        <f t="shared" si="15"/>
        <v>0</v>
      </c>
      <c r="W113" s="501"/>
      <c r="X113" s="501"/>
    </row>
    <row r="114" spans="1:25" s="113" customFormat="1" ht="10.5" customHeight="1" outlineLevel="1">
      <c r="A114" s="501"/>
      <c r="B114" s="502" t="s">
        <v>206</v>
      </c>
      <c r="C114" s="503"/>
      <c r="D114" s="504">
        <v>20175</v>
      </c>
      <c r="E114" s="504" t="s">
        <v>1054</v>
      </c>
      <c r="F114" s="505"/>
      <c r="G114" s="505"/>
      <c r="H114" s="501"/>
      <c r="I114" s="501"/>
      <c r="J114" s="506">
        <v>5340.35</v>
      </c>
      <c r="K114" s="501"/>
      <c r="L114" s="506">
        <v>0</v>
      </c>
      <c r="M114" s="501"/>
      <c r="N114" s="507">
        <v>0</v>
      </c>
      <c r="O114" s="501"/>
      <c r="P114" s="506">
        <f t="shared" si="13"/>
        <v>5340.35</v>
      </c>
      <c r="Q114" s="501"/>
      <c r="R114" s="506">
        <v>5846.22</v>
      </c>
      <c r="S114" s="506">
        <v>5265.21</v>
      </c>
      <c r="T114" s="506">
        <f t="shared" si="14"/>
        <v>5340.35</v>
      </c>
      <c r="U114" s="501"/>
      <c r="V114" s="507">
        <f t="shared" si="15"/>
        <v>75.140000000000327</v>
      </c>
      <c r="W114" s="501"/>
      <c r="X114" s="501"/>
    </row>
    <row r="115" spans="1:25" s="113" customFormat="1" ht="10.5" customHeight="1" outlineLevel="1">
      <c r="A115" s="501"/>
      <c r="B115" s="502" t="s">
        <v>206</v>
      </c>
      <c r="C115" s="503"/>
      <c r="D115" s="504">
        <v>20178</v>
      </c>
      <c r="E115" s="504" t="s">
        <v>1055</v>
      </c>
      <c r="F115" s="505"/>
      <c r="G115" s="505"/>
      <c r="H115" s="501"/>
      <c r="I115" s="501"/>
      <c r="J115" s="506">
        <v>5804.72</v>
      </c>
      <c r="K115" s="501"/>
      <c r="L115" s="506">
        <v>0</v>
      </c>
      <c r="M115" s="501"/>
      <c r="N115" s="507">
        <v>0</v>
      </c>
      <c r="O115" s="501"/>
      <c r="P115" s="506">
        <f t="shared" si="13"/>
        <v>5804.72</v>
      </c>
      <c r="Q115" s="501"/>
      <c r="R115" s="506">
        <v>4744.72</v>
      </c>
      <c r="S115" s="506">
        <v>5274.72</v>
      </c>
      <c r="T115" s="506">
        <f t="shared" si="14"/>
        <v>5804.72</v>
      </c>
      <c r="U115" s="501"/>
      <c r="V115" s="507">
        <f t="shared" si="15"/>
        <v>530</v>
      </c>
      <c r="W115" s="501"/>
      <c r="X115" s="501"/>
    </row>
    <row r="116" spans="1:25" s="113" customFormat="1" ht="10.5" customHeight="1" outlineLevel="1">
      <c r="A116" s="501"/>
      <c r="B116" s="502" t="s">
        <v>206</v>
      </c>
      <c r="C116" s="503"/>
      <c r="D116" s="504">
        <v>20180</v>
      </c>
      <c r="E116" s="504" t="s">
        <v>1056</v>
      </c>
      <c r="F116" s="505"/>
      <c r="G116" s="505"/>
      <c r="H116" s="501"/>
      <c r="I116" s="501"/>
      <c r="J116" s="506">
        <v>0</v>
      </c>
      <c r="K116" s="501"/>
      <c r="L116" s="506">
        <v>0</v>
      </c>
      <c r="M116" s="501"/>
      <c r="N116" s="507">
        <v>0</v>
      </c>
      <c r="O116" s="501"/>
      <c r="P116" s="506">
        <f t="shared" si="13"/>
        <v>0</v>
      </c>
      <c r="Q116" s="501"/>
      <c r="R116" s="506">
        <v>2068.02</v>
      </c>
      <c r="S116" s="506">
        <v>3830.98</v>
      </c>
      <c r="T116" s="506">
        <f t="shared" si="14"/>
        <v>0</v>
      </c>
      <c r="U116" s="501"/>
      <c r="V116" s="507">
        <f t="shared" si="15"/>
        <v>-3830.98</v>
      </c>
      <c r="W116" s="501"/>
      <c r="X116" s="501"/>
    </row>
    <row r="117" spans="1:25" s="113" customFormat="1" ht="10.5" customHeight="1" outlineLevel="1">
      <c r="A117" s="501"/>
      <c r="B117" s="502" t="s">
        <v>206</v>
      </c>
      <c r="C117" s="503"/>
      <c r="D117" s="505"/>
      <c r="E117" s="505"/>
      <c r="F117" s="505"/>
      <c r="G117" s="505"/>
      <c r="H117" s="501"/>
      <c r="I117" s="501"/>
      <c r="J117" s="532"/>
      <c r="K117" s="501"/>
      <c r="L117" s="532"/>
      <c r="M117" s="501"/>
      <c r="N117" s="533"/>
      <c r="O117" s="501"/>
      <c r="P117" s="532"/>
      <c r="Q117" s="501"/>
      <c r="R117" s="532"/>
      <c r="S117" s="532"/>
      <c r="T117" s="532"/>
      <c r="U117" s="501"/>
      <c r="V117" s="533"/>
      <c r="W117" s="501"/>
      <c r="X117" s="501"/>
    </row>
    <row r="118" spans="1:25" s="113" customFormat="1" ht="10.5" customHeight="1" outlineLevel="1">
      <c r="A118" s="501"/>
      <c r="B118" s="502" t="s">
        <v>206</v>
      </c>
      <c r="C118" s="503"/>
      <c r="D118" s="501"/>
      <c r="E118" s="501"/>
      <c r="F118" s="504" t="s">
        <v>1057</v>
      </c>
      <c r="G118" s="501"/>
      <c r="H118" s="501"/>
      <c r="I118" s="501"/>
      <c r="J118" s="530">
        <f>SUM(J110:J117)</f>
        <v>38497.910000000003</v>
      </c>
      <c r="K118" s="501"/>
      <c r="L118" s="530">
        <f>SUM(L110:L117)</f>
        <v>0</v>
      </c>
      <c r="M118" s="501"/>
      <c r="N118" s="531">
        <f>SUM(N110:N117)</f>
        <v>0</v>
      </c>
      <c r="O118" s="501"/>
      <c r="P118" s="530">
        <f>J118+L118+N118</f>
        <v>38497.910000000003</v>
      </c>
      <c r="Q118" s="501"/>
      <c r="R118" s="530">
        <f>SUM(R110:R117)</f>
        <v>53503.35</v>
      </c>
      <c r="S118" s="530">
        <f>SUM(S110:S117)</f>
        <v>47235.91</v>
      </c>
      <c r="T118" s="530">
        <f>SUM(T110:T117)</f>
        <v>38497.910000000003</v>
      </c>
      <c r="U118" s="501"/>
      <c r="V118" s="531">
        <f>SUM(V110:V117)</f>
        <v>-8737.9999999999982</v>
      </c>
      <c r="W118" s="501"/>
      <c r="X118" s="501"/>
    </row>
    <row r="119" spans="1:25" s="113" customFormat="1" ht="10.5" customHeight="1" outlineLevel="1">
      <c r="A119" s="503" t="s">
        <v>198</v>
      </c>
      <c r="B119" s="503" t="s">
        <v>198</v>
      </c>
      <c r="C119" s="503"/>
      <c r="D119" s="504">
        <v>20300</v>
      </c>
      <c r="E119" s="504" t="s">
        <v>1058</v>
      </c>
      <c r="F119" s="505"/>
      <c r="G119" s="505"/>
      <c r="H119" s="501"/>
      <c r="I119" s="501"/>
      <c r="J119" s="506">
        <v>1366.91</v>
      </c>
      <c r="K119" s="501"/>
      <c r="L119" s="506">
        <v>0</v>
      </c>
      <c r="M119" s="501"/>
      <c r="N119" s="507">
        <v>0</v>
      </c>
      <c r="O119" s="501"/>
      <c r="P119" s="506">
        <f>J119+L119+N119</f>
        <v>1366.91</v>
      </c>
      <c r="Q119" s="501"/>
      <c r="R119" s="506">
        <v>1092.83</v>
      </c>
      <c r="S119" s="506">
        <v>1218.3599999999999</v>
      </c>
      <c r="T119" s="506">
        <f>P119</f>
        <v>1366.91</v>
      </c>
      <c r="U119" s="501"/>
      <c r="V119" s="507">
        <f>T119-S119</f>
        <v>148.55000000000018</v>
      </c>
      <c r="W119" s="501"/>
      <c r="X119" s="501"/>
      <c r="Y119" s="501"/>
    </row>
    <row r="120" spans="1:25" s="113" customFormat="1" ht="10.5" customHeight="1">
      <c r="A120" s="503" t="s">
        <v>908</v>
      </c>
      <c r="B120" s="503" t="s">
        <v>198</v>
      </c>
      <c r="C120" s="503"/>
      <c r="D120" s="505"/>
      <c r="E120" s="505"/>
      <c r="F120" s="505"/>
      <c r="G120" s="505"/>
      <c r="H120" s="501"/>
      <c r="I120" s="501"/>
      <c r="J120" s="532"/>
      <c r="K120" s="501"/>
      <c r="L120" s="532"/>
      <c r="M120" s="501"/>
      <c r="N120" s="533"/>
      <c r="O120" s="501"/>
      <c r="P120" s="532"/>
      <c r="Q120" s="501"/>
      <c r="R120" s="532"/>
      <c r="S120" s="532"/>
      <c r="T120" s="532"/>
      <c r="U120" s="501"/>
      <c r="V120" s="533"/>
      <c r="W120" s="501"/>
      <c r="X120" s="501"/>
      <c r="Y120" s="501"/>
    </row>
    <row r="121" spans="1:25" s="113" customFormat="1" ht="10.5" customHeight="1" outlineLevel="1">
      <c r="A121" s="501"/>
      <c r="B121" s="502" t="s">
        <v>914</v>
      </c>
      <c r="C121" s="503"/>
      <c r="D121" s="501"/>
      <c r="E121" s="501"/>
      <c r="F121" s="504" t="s">
        <v>1059</v>
      </c>
      <c r="G121" s="501"/>
      <c r="H121" s="501"/>
      <c r="I121" s="501"/>
      <c r="J121" s="530">
        <f>SUM(J119:J120)</f>
        <v>1366.91</v>
      </c>
      <c r="K121" s="501"/>
      <c r="L121" s="530">
        <f>SUM(L119:L120)</f>
        <v>0</v>
      </c>
      <c r="M121" s="501"/>
      <c r="N121" s="531">
        <f>SUM(N119:N120)</f>
        <v>0</v>
      </c>
      <c r="O121" s="501"/>
      <c r="P121" s="530">
        <f t="shared" ref="P121:P126" si="16">J121+L121+N121</f>
        <v>1366.91</v>
      </c>
      <c r="Q121" s="501"/>
      <c r="R121" s="530">
        <f>SUM(R119:R120)</f>
        <v>1092.83</v>
      </c>
      <c r="S121" s="530">
        <f>SUM(S119:S120)</f>
        <v>1218.3599999999999</v>
      </c>
      <c r="T121" s="530">
        <f>SUM(T119:T120)</f>
        <v>1366.91</v>
      </c>
      <c r="U121" s="501"/>
      <c r="V121" s="531">
        <f>SUM(V119:V120)</f>
        <v>148.55000000000018</v>
      </c>
      <c r="W121" s="501"/>
      <c r="X121" s="501"/>
    </row>
    <row r="122" spans="1:25" s="113" customFormat="1" ht="10.5" customHeight="1" outlineLevel="1">
      <c r="A122" s="503" t="s">
        <v>198</v>
      </c>
      <c r="B122" s="528" t="s">
        <v>198</v>
      </c>
      <c r="C122" s="528"/>
      <c r="D122" s="504">
        <v>20320</v>
      </c>
      <c r="E122" s="504" t="s">
        <v>1060</v>
      </c>
      <c r="F122" s="505"/>
      <c r="G122" s="505"/>
      <c r="H122" s="501"/>
      <c r="I122" s="501"/>
      <c r="J122" s="506">
        <v>6759.62</v>
      </c>
      <c r="K122" s="501"/>
      <c r="L122" s="506">
        <v>0</v>
      </c>
      <c r="M122" s="501"/>
      <c r="N122" s="507">
        <v>0</v>
      </c>
      <c r="O122" s="501"/>
      <c r="P122" s="506">
        <f t="shared" si="16"/>
        <v>6759.62</v>
      </c>
      <c r="Q122" s="501"/>
      <c r="R122" s="506">
        <v>3083.11</v>
      </c>
      <c r="S122" s="506">
        <v>6411.99</v>
      </c>
      <c r="T122" s="506">
        <f t="shared" ref="T122:T126" si="17">P122</f>
        <v>6759.62</v>
      </c>
      <c r="U122" s="501"/>
      <c r="V122" s="507">
        <f t="shared" ref="V122:V126" si="18">T122-S122</f>
        <v>347.63000000000011</v>
      </c>
      <c r="W122" s="501"/>
      <c r="X122" s="501"/>
      <c r="Y122" s="501"/>
    </row>
    <row r="123" spans="1:25" s="113" customFormat="1" ht="10.5" customHeight="1">
      <c r="A123" s="503" t="s">
        <v>914</v>
      </c>
      <c r="B123" s="528" t="s">
        <v>198</v>
      </c>
      <c r="C123" s="528"/>
      <c r="D123" s="504">
        <v>20321</v>
      </c>
      <c r="E123" s="504" t="s">
        <v>1061</v>
      </c>
      <c r="F123" s="505"/>
      <c r="G123" s="505"/>
      <c r="H123" s="501"/>
      <c r="I123" s="501"/>
      <c r="J123" s="506">
        <v>11241.33</v>
      </c>
      <c r="K123" s="501"/>
      <c r="L123" s="506">
        <v>0</v>
      </c>
      <c r="M123" s="501"/>
      <c r="N123" s="507">
        <v>0</v>
      </c>
      <c r="O123" s="501"/>
      <c r="P123" s="506">
        <f t="shared" si="16"/>
        <v>11241.33</v>
      </c>
      <c r="Q123" s="501"/>
      <c r="R123" s="506">
        <v>12627.8</v>
      </c>
      <c r="S123" s="506">
        <v>12360.34</v>
      </c>
      <c r="T123" s="506">
        <f t="shared" si="17"/>
        <v>11241.33</v>
      </c>
      <c r="U123" s="501"/>
      <c r="V123" s="507">
        <f t="shared" si="18"/>
        <v>-1119.0100000000002</v>
      </c>
      <c r="W123" s="501"/>
      <c r="X123" s="501"/>
      <c r="Y123" s="501"/>
    </row>
    <row r="124" spans="1:25" s="113" customFormat="1" ht="10.5" customHeight="1" outlineLevel="1">
      <c r="A124" s="501"/>
      <c r="B124" s="502" t="s">
        <v>912</v>
      </c>
      <c r="C124" s="503"/>
      <c r="D124" s="504">
        <v>20340</v>
      </c>
      <c r="E124" s="504" t="s">
        <v>1062</v>
      </c>
      <c r="F124" s="505"/>
      <c r="G124" s="505"/>
      <c r="H124" s="501"/>
      <c r="I124" s="501"/>
      <c r="J124" s="506">
        <v>751.07</v>
      </c>
      <c r="K124" s="501"/>
      <c r="L124" s="506">
        <v>0</v>
      </c>
      <c r="M124" s="501"/>
      <c r="N124" s="507">
        <v>0</v>
      </c>
      <c r="O124" s="501"/>
      <c r="P124" s="506">
        <f t="shared" si="16"/>
        <v>751.07</v>
      </c>
      <c r="Q124" s="501"/>
      <c r="R124" s="506">
        <v>2703.73</v>
      </c>
      <c r="S124" s="506">
        <v>3191.36</v>
      </c>
      <c r="T124" s="506">
        <f t="shared" si="17"/>
        <v>751.07</v>
      </c>
      <c r="U124" s="501"/>
      <c r="V124" s="507">
        <f t="shared" si="18"/>
        <v>-2440.29</v>
      </c>
      <c r="W124" s="501"/>
      <c r="X124" s="501"/>
    </row>
    <row r="125" spans="1:25" s="113" customFormat="1" ht="10.5" customHeight="1" outlineLevel="1">
      <c r="A125" s="501"/>
      <c r="B125" s="502" t="s">
        <v>206</v>
      </c>
      <c r="C125" s="503"/>
      <c r="D125" s="504">
        <v>20351</v>
      </c>
      <c r="E125" s="504" t="s">
        <v>1063</v>
      </c>
      <c r="F125" s="505"/>
      <c r="G125" s="505"/>
      <c r="H125" s="501"/>
      <c r="I125" s="501"/>
      <c r="J125" s="506">
        <v>0</v>
      </c>
      <c r="K125" s="501"/>
      <c r="L125" s="506">
        <v>0</v>
      </c>
      <c r="M125" s="501"/>
      <c r="N125" s="507">
        <v>0</v>
      </c>
      <c r="O125" s="501"/>
      <c r="P125" s="506">
        <f t="shared" si="16"/>
        <v>0</v>
      </c>
      <c r="Q125" s="501"/>
      <c r="R125" s="506">
        <v>-1262.3399999999999</v>
      </c>
      <c r="S125" s="506">
        <v>-2176.69</v>
      </c>
      <c r="T125" s="506">
        <f t="shared" si="17"/>
        <v>0</v>
      </c>
      <c r="U125" s="501"/>
      <c r="V125" s="507">
        <f t="shared" si="18"/>
        <v>2176.69</v>
      </c>
      <c r="W125" s="501"/>
      <c r="X125" s="501"/>
    </row>
    <row r="126" spans="1:25" s="113" customFormat="1" ht="10.5" customHeight="1" outlineLevel="1">
      <c r="A126" s="501"/>
      <c r="B126" s="502" t="s">
        <v>206</v>
      </c>
      <c r="C126" s="503"/>
      <c r="D126" s="504">
        <v>20360</v>
      </c>
      <c r="E126" s="504" t="s">
        <v>1064</v>
      </c>
      <c r="F126" s="505"/>
      <c r="G126" s="505"/>
      <c r="H126" s="501"/>
      <c r="I126" s="501"/>
      <c r="J126" s="506">
        <v>0</v>
      </c>
      <c r="K126" s="501"/>
      <c r="L126" s="506">
        <v>0</v>
      </c>
      <c r="M126" s="501"/>
      <c r="N126" s="507">
        <v>0</v>
      </c>
      <c r="O126" s="501"/>
      <c r="P126" s="506">
        <f t="shared" si="16"/>
        <v>0</v>
      </c>
      <c r="Q126" s="501"/>
      <c r="R126" s="506">
        <v>0</v>
      </c>
      <c r="S126" s="506">
        <v>0</v>
      </c>
      <c r="T126" s="506">
        <f t="shared" si="17"/>
        <v>0</v>
      </c>
      <c r="U126" s="501"/>
      <c r="V126" s="507">
        <f t="shared" si="18"/>
        <v>0</v>
      </c>
      <c r="W126" s="501"/>
      <c r="X126" s="501"/>
    </row>
    <row r="127" spans="1:25" s="113" customFormat="1" ht="10.5" customHeight="1" outlineLevel="1">
      <c r="A127" s="501"/>
      <c r="B127" s="502" t="s">
        <v>206</v>
      </c>
      <c r="C127" s="503"/>
      <c r="D127" s="539"/>
      <c r="E127" s="501"/>
      <c r="F127" s="501"/>
      <c r="G127" s="501"/>
      <c r="H127" s="501"/>
      <c r="I127" s="501"/>
      <c r="J127" s="532"/>
      <c r="K127" s="501"/>
      <c r="L127" s="532"/>
      <c r="M127" s="501"/>
      <c r="N127" s="533"/>
      <c r="O127" s="501"/>
      <c r="P127" s="532"/>
      <c r="Q127" s="501"/>
      <c r="R127" s="532"/>
      <c r="S127" s="532"/>
      <c r="T127" s="532"/>
      <c r="U127" s="501"/>
      <c r="V127" s="533"/>
      <c r="W127" s="501"/>
      <c r="X127" s="501"/>
    </row>
    <row r="128" spans="1:25" s="113" customFormat="1" ht="10.5" customHeight="1" outlineLevel="1">
      <c r="A128" s="501"/>
      <c r="B128" s="502" t="s">
        <v>206</v>
      </c>
      <c r="C128" s="503"/>
      <c r="D128" s="501"/>
      <c r="E128" s="501"/>
      <c r="F128" s="501" t="s">
        <v>1065</v>
      </c>
      <c r="G128" s="501"/>
      <c r="H128" s="501"/>
      <c r="I128" s="501"/>
      <c r="J128" s="530">
        <f>SUM(J122:J127)</f>
        <v>18752.02</v>
      </c>
      <c r="K128" s="501"/>
      <c r="L128" s="530">
        <f>SUM(L122:L127)</f>
        <v>0</v>
      </c>
      <c r="M128" s="501"/>
      <c r="N128" s="531">
        <f>SUM(N122:N127)</f>
        <v>0</v>
      </c>
      <c r="O128" s="501"/>
      <c r="P128" s="530">
        <f>J128+L128+N128</f>
        <v>18752.02</v>
      </c>
      <c r="Q128" s="501"/>
      <c r="R128" s="530">
        <f>SUM(R122:R127)</f>
        <v>17152.3</v>
      </c>
      <c r="S128" s="530">
        <f>SUM(S122:S127)</f>
        <v>19787.000000000004</v>
      </c>
      <c r="T128" s="530">
        <f>SUM(T122:T127)</f>
        <v>18752.02</v>
      </c>
      <c r="U128" s="501"/>
      <c r="V128" s="531">
        <f>SUM(V122:V127)</f>
        <v>-1034.98</v>
      </c>
      <c r="W128" s="501"/>
      <c r="X128" s="501"/>
    </row>
    <row r="129" spans="1:25" s="113" customFormat="1" ht="10.5" customHeight="1" outlineLevel="1">
      <c r="A129" s="528" t="s">
        <v>198</v>
      </c>
      <c r="B129" s="528" t="s">
        <v>198</v>
      </c>
      <c r="C129" s="528"/>
      <c r="D129" s="501"/>
      <c r="E129" s="501"/>
      <c r="F129" s="501"/>
      <c r="G129" s="501"/>
      <c r="H129" s="501"/>
      <c r="I129" s="501"/>
      <c r="J129" s="535"/>
      <c r="K129" s="501"/>
      <c r="L129" s="535"/>
      <c r="M129" s="501"/>
      <c r="N129" s="507"/>
      <c r="O129" s="501"/>
      <c r="P129" s="535"/>
      <c r="Q129" s="501"/>
      <c r="R129" s="535"/>
      <c r="S129" s="535"/>
      <c r="T129" s="535"/>
      <c r="U129" s="501"/>
      <c r="V129" s="507"/>
      <c r="W129" s="501"/>
      <c r="X129" s="501"/>
      <c r="Y129" s="501"/>
    </row>
    <row r="130" spans="1:25" s="113" customFormat="1" ht="10.5" customHeight="1">
      <c r="A130" s="503" t="s">
        <v>912</v>
      </c>
      <c r="B130" s="528" t="s">
        <v>198</v>
      </c>
      <c r="C130" s="528"/>
      <c r="D130" s="501"/>
      <c r="E130" s="536" t="s">
        <v>1066</v>
      </c>
      <c r="F130" s="501"/>
      <c r="G130" s="501"/>
      <c r="H130" s="501"/>
      <c r="I130" s="501"/>
      <c r="J130" s="537">
        <f>SUM(J109,J118,J121,J128,J105)</f>
        <v>58616.840000000011</v>
      </c>
      <c r="K130" s="501"/>
      <c r="L130" s="537">
        <f>SUM(L109,L118,L121,L128,L105)</f>
        <v>0</v>
      </c>
      <c r="M130" s="501"/>
      <c r="N130" s="538">
        <f>SUM(N109,N118,N121,N128)</f>
        <v>0</v>
      </c>
      <c r="O130" s="501"/>
      <c r="P130" s="537">
        <f>SUM(P109,P118,P121,P128,P105)</f>
        <v>58616.840000000011</v>
      </c>
      <c r="Q130" s="501"/>
      <c r="R130" s="537">
        <f>SUM(R109,R118,R121,R128,R105)</f>
        <v>71748.479999999996</v>
      </c>
      <c r="S130" s="537">
        <f>SUM(S109,S118,S121,S128,S105)</f>
        <v>68241.27</v>
      </c>
      <c r="T130" s="537">
        <f>SUM(T109,T118,T121,T128,T105)</f>
        <v>58616.840000000011</v>
      </c>
      <c r="U130" s="501"/>
      <c r="V130" s="538">
        <f>SUM(V109,V118,V121,V128,V105)</f>
        <v>-9624.4299999999967</v>
      </c>
      <c r="W130" s="501"/>
      <c r="X130" s="501"/>
      <c r="Y130" s="501"/>
    </row>
    <row r="131" spans="1:25" s="113" customFormat="1" ht="10.5" customHeight="1">
      <c r="A131" s="528" t="s">
        <v>198</v>
      </c>
      <c r="B131" s="528" t="s">
        <v>198</v>
      </c>
      <c r="C131" s="528"/>
      <c r="D131" s="501"/>
      <c r="E131" s="501"/>
      <c r="F131" s="501"/>
      <c r="G131" s="501"/>
      <c r="H131" s="501"/>
      <c r="I131" s="501"/>
      <c r="J131" s="535"/>
      <c r="K131" s="501"/>
      <c r="L131" s="535"/>
      <c r="M131" s="501"/>
      <c r="N131" s="507"/>
      <c r="O131" s="501"/>
      <c r="P131" s="535"/>
      <c r="Q131" s="501"/>
      <c r="R131" s="535"/>
      <c r="S131" s="535"/>
      <c r="T131" s="535"/>
      <c r="U131" s="501"/>
      <c r="V131" s="507"/>
      <c r="W131" s="501"/>
      <c r="X131" s="501"/>
      <c r="Y131" s="501"/>
    </row>
    <row r="132" spans="1:25" s="113" customFormat="1" ht="0.75" customHeight="1">
      <c r="A132" s="528" t="s">
        <v>198</v>
      </c>
      <c r="B132" s="528" t="s">
        <v>198</v>
      </c>
      <c r="C132" s="528"/>
      <c r="D132" s="501"/>
      <c r="E132" s="501"/>
      <c r="F132" s="501"/>
      <c r="G132" s="501"/>
      <c r="H132" s="501"/>
      <c r="I132" s="501"/>
      <c r="J132" s="535"/>
      <c r="K132" s="501"/>
      <c r="L132" s="535"/>
      <c r="M132" s="501"/>
      <c r="N132" s="507"/>
      <c r="O132" s="501"/>
      <c r="P132" s="535"/>
      <c r="Q132" s="501"/>
      <c r="R132" s="535"/>
      <c r="S132" s="535"/>
      <c r="T132" s="535"/>
      <c r="U132" s="501"/>
      <c r="V132" s="507"/>
      <c r="W132" s="501"/>
      <c r="X132" s="501"/>
      <c r="Y132" s="501"/>
    </row>
    <row r="133" spans="1:25" s="113" customFormat="1" ht="10.5" hidden="1" customHeight="1">
      <c r="A133" s="528" t="s">
        <v>198</v>
      </c>
      <c r="B133" s="528" t="s">
        <v>198</v>
      </c>
      <c r="C133" s="528"/>
      <c r="D133" s="504"/>
      <c r="E133" s="504"/>
      <c r="F133" s="505"/>
      <c r="G133" s="505"/>
      <c r="H133" s="501"/>
      <c r="I133" s="501"/>
      <c r="J133" s="506"/>
      <c r="K133" s="501"/>
      <c r="L133" s="506"/>
      <c r="M133" s="501"/>
      <c r="N133" s="507"/>
      <c r="O133" s="501"/>
      <c r="P133" s="506">
        <f>J133+L133+N133</f>
        <v>0</v>
      </c>
      <c r="Q133" s="501"/>
      <c r="R133" s="506"/>
      <c r="S133" s="506"/>
      <c r="T133" s="506">
        <f>P133</f>
        <v>0</v>
      </c>
      <c r="U133" s="501"/>
      <c r="V133" s="507">
        <f>T133-S133</f>
        <v>0</v>
      </c>
      <c r="W133" s="501"/>
      <c r="X133" s="501"/>
      <c r="Y133" s="501"/>
    </row>
    <row r="134" spans="1:25" s="113" customFormat="1" ht="10.5" hidden="1" customHeight="1" outlineLevel="1">
      <c r="A134" s="528" t="s">
        <v>198</v>
      </c>
      <c r="B134" s="528" t="s">
        <v>198</v>
      </c>
      <c r="C134" s="528"/>
      <c r="D134" s="505"/>
      <c r="E134" s="505"/>
      <c r="F134" s="505"/>
      <c r="G134" s="505"/>
      <c r="H134" s="501"/>
      <c r="I134" s="501"/>
      <c r="J134" s="532"/>
      <c r="K134" s="501"/>
      <c r="L134" s="532"/>
      <c r="M134" s="501"/>
      <c r="N134" s="533"/>
      <c r="O134" s="501"/>
      <c r="P134" s="532"/>
      <c r="Q134" s="501"/>
      <c r="R134" s="532"/>
      <c r="S134" s="532"/>
      <c r="T134" s="532"/>
      <c r="U134" s="501"/>
      <c r="V134" s="533"/>
      <c r="W134" s="501"/>
      <c r="X134" s="501"/>
      <c r="Y134" s="501"/>
    </row>
    <row r="135" spans="1:25" s="113" customFormat="1" ht="10.5" hidden="1" customHeight="1" outlineLevel="1">
      <c r="A135" s="501"/>
      <c r="B135" s="502" t="s">
        <v>1067</v>
      </c>
      <c r="C135" s="503"/>
      <c r="D135" s="501"/>
      <c r="E135" s="501"/>
      <c r="F135" s="504" t="s">
        <v>1068</v>
      </c>
      <c r="G135" s="501"/>
      <c r="H135" s="501"/>
      <c r="I135" s="501"/>
      <c r="J135" s="530">
        <f>SUM(J133:J134)</f>
        <v>0</v>
      </c>
      <c r="K135" s="501"/>
      <c r="L135" s="530">
        <f>SUM(L133:L134)</f>
        <v>0</v>
      </c>
      <c r="M135" s="501"/>
      <c r="N135" s="531">
        <f>SUM(N133:N134)</f>
        <v>0</v>
      </c>
      <c r="O135" s="501"/>
      <c r="P135" s="530">
        <f>J135+L135+N135</f>
        <v>0</v>
      </c>
      <c r="Q135" s="501"/>
      <c r="R135" s="530">
        <f>SUM(R133:R134)</f>
        <v>0</v>
      </c>
      <c r="S135" s="530">
        <f>SUM(S133:S134)</f>
        <v>0</v>
      </c>
      <c r="T135" s="530">
        <f>SUM(T133:T134)</f>
        <v>0</v>
      </c>
      <c r="U135" s="501"/>
      <c r="V135" s="531">
        <f>SUM(V133:V134)</f>
        <v>0</v>
      </c>
      <c r="W135" s="501"/>
      <c r="X135" s="501"/>
    </row>
    <row r="136" spans="1:25" s="113" customFormat="1" ht="10.5" hidden="1" customHeight="1" outlineLevel="1">
      <c r="A136" s="528" t="s">
        <v>198</v>
      </c>
      <c r="B136" s="528" t="s">
        <v>198</v>
      </c>
      <c r="C136" s="528"/>
      <c r="D136" s="504"/>
      <c r="E136" s="504"/>
      <c r="F136" s="505"/>
      <c r="G136" s="505"/>
      <c r="H136" s="501"/>
      <c r="I136" s="501"/>
      <c r="J136" s="506"/>
      <c r="K136" s="501"/>
      <c r="L136" s="506"/>
      <c r="M136" s="501"/>
      <c r="N136" s="507"/>
      <c r="O136" s="501"/>
      <c r="P136" s="506">
        <f>J136+L136+N136</f>
        <v>0</v>
      </c>
      <c r="Q136" s="501"/>
      <c r="R136" s="506"/>
      <c r="S136" s="506"/>
      <c r="T136" s="506">
        <f>P136</f>
        <v>0</v>
      </c>
      <c r="U136" s="501"/>
      <c r="V136" s="507">
        <f>T136-S136</f>
        <v>0</v>
      </c>
      <c r="W136" s="501"/>
      <c r="X136" s="501"/>
      <c r="Y136" s="501"/>
    </row>
    <row r="137" spans="1:25" s="113" customFormat="1" ht="10.5" customHeight="1" collapsed="1">
      <c r="A137" s="503" t="s">
        <v>1067</v>
      </c>
      <c r="B137" s="528" t="s">
        <v>198</v>
      </c>
      <c r="C137" s="528"/>
      <c r="D137" s="505"/>
      <c r="E137" s="505"/>
      <c r="F137" s="505"/>
      <c r="G137" s="505"/>
      <c r="H137" s="501"/>
      <c r="I137" s="501"/>
      <c r="J137" s="532"/>
      <c r="K137" s="501"/>
      <c r="L137" s="532"/>
      <c r="M137" s="501"/>
      <c r="N137" s="533"/>
      <c r="O137" s="501"/>
      <c r="P137" s="532"/>
      <c r="Q137" s="501"/>
      <c r="R137" s="532"/>
      <c r="S137" s="532"/>
      <c r="T137" s="532"/>
      <c r="U137" s="501"/>
      <c r="V137" s="533"/>
      <c r="W137" s="501"/>
      <c r="X137" s="501"/>
      <c r="Y137" s="501"/>
    </row>
    <row r="138" spans="1:25" s="113" customFormat="1" ht="10.5" hidden="1" customHeight="1" outlineLevel="1">
      <c r="A138" s="501"/>
      <c r="B138" s="502" t="s">
        <v>910</v>
      </c>
      <c r="C138" s="503"/>
      <c r="D138" s="501"/>
      <c r="E138" s="501"/>
      <c r="F138" s="504" t="s">
        <v>1069</v>
      </c>
      <c r="G138" s="501"/>
      <c r="H138" s="501"/>
      <c r="I138" s="501"/>
      <c r="J138" s="530">
        <f>SUM(J136:J137)</f>
        <v>0</v>
      </c>
      <c r="K138" s="501"/>
      <c r="L138" s="530">
        <f>SUM(L136:L137)</f>
        <v>0</v>
      </c>
      <c r="M138" s="501"/>
      <c r="N138" s="531">
        <f>SUM(N136:N137)</f>
        <v>0</v>
      </c>
      <c r="O138" s="501"/>
      <c r="P138" s="530">
        <f>J138+L138+N138</f>
        <v>0</v>
      </c>
      <c r="Q138" s="501"/>
      <c r="R138" s="530">
        <f>SUM(R136:R137)</f>
        <v>0</v>
      </c>
      <c r="S138" s="530">
        <f>SUM(S136:S137)</f>
        <v>0</v>
      </c>
      <c r="T138" s="530">
        <f>SUM(T136:T137)</f>
        <v>0</v>
      </c>
      <c r="U138" s="501"/>
      <c r="V138" s="531">
        <f>SUM(V136:V137)</f>
        <v>0</v>
      </c>
      <c r="W138" s="501"/>
      <c r="X138" s="501"/>
    </row>
    <row r="139" spans="1:25" s="113" customFormat="1" ht="10.5" hidden="1" customHeight="1" outlineLevel="1">
      <c r="A139" s="528" t="s">
        <v>198</v>
      </c>
      <c r="B139" s="528" t="s">
        <v>198</v>
      </c>
      <c r="C139" s="528"/>
      <c r="D139" s="504"/>
      <c r="E139" s="504"/>
      <c r="F139" s="505"/>
      <c r="G139" s="505"/>
      <c r="H139" s="501"/>
      <c r="I139" s="501"/>
      <c r="J139" s="506"/>
      <c r="K139" s="501"/>
      <c r="L139" s="506"/>
      <c r="M139" s="501"/>
      <c r="N139" s="507"/>
      <c r="O139" s="501"/>
      <c r="P139" s="506">
        <f>J139+L139+N139</f>
        <v>0</v>
      </c>
      <c r="Q139" s="501"/>
      <c r="R139" s="506"/>
      <c r="S139" s="506"/>
      <c r="T139" s="506">
        <f>P139</f>
        <v>0</v>
      </c>
      <c r="U139" s="501"/>
      <c r="V139" s="507">
        <f>T139-S139</f>
        <v>0</v>
      </c>
      <c r="W139" s="501"/>
      <c r="X139" s="501"/>
      <c r="Y139" s="501"/>
    </row>
    <row r="140" spans="1:25" s="113" customFormat="1" ht="10.5" hidden="1" customHeight="1" collapsed="1">
      <c r="A140" s="503" t="s">
        <v>910</v>
      </c>
      <c r="B140" s="528" t="s">
        <v>198</v>
      </c>
      <c r="C140" s="528"/>
      <c r="D140" s="505"/>
      <c r="E140" s="505"/>
      <c r="F140" s="505"/>
      <c r="G140" s="505"/>
      <c r="H140" s="501"/>
      <c r="I140" s="501"/>
      <c r="J140" s="532"/>
      <c r="K140" s="501"/>
      <c r="L140" s="532"/>
      <c r="M140" s="501"/>
      <c r="N140" s="533"/>
      <c r="O140" s="501"/>
      <c r="P140" s="532"/>
      <c r="Q140" s="501"/>
      <c r="R140" s="532"/>
      <c r="S140" s="532"/>
      <c r="T140" s="532"/>
      <c r="U140" s="501"/>
      <c r="V140" s="533"/>
      <c r="W140" s="501"/>
      <c r="X140" s="501"/>
      <c r="Y140" s="501"/>
    </row>
    <row r="141" spans="1:25" s="113" customFormat="1" ht="10.5" hidden="1" customHeight="1" outlineLevel="1">
      <c r="A141" s="501"/>
      <c r="B141" s="502" t="s">
        <v>922</v>
      </c>
      <c r="C141" s="503"/>
      <c r="D141" s="501"/>
      <c r="E141" s="501"/>
      <c r="F141" s="504" t="s">
        <v>1070</v>
      </c>
      <c r="G141" s="501"/>
      <c r="H141" s="501"/>
      <c r="I141" s="501"/>
      <c r="J141" s="530">
        <f>SUM(J139:J140)</f>
        <v>0</v>
      </c>
      <c r="K141" s="501"/>
      <c r="L141" s="530">
        <f>SUM(L139:L140)</f>
        <v>0</v>
      </c>
      <c r="M141" s="501"/>
      <c r="N141" s="531">
        <f>SUM(N139:N140)</f>
        <v>0</v>
      </c>
      <c r="O141" s="501"/>
      <c r="P141" s="530">
        <f>J141+L141+N141</f>
        <v>0</v>
      </c>
      <c r="Q141" s="501"/>
      <c r="R141" s="530">
        <f>SUM(R139:R140)</f>
        <v>0</v>
      </c>
      <c r="S141" s="530">
        <f>SUM(S139:S140)</f>
        <v>0</v>
      </c>
      <c r="T141" s="530">
        <f>SUM(T139:T140)</f>
        <v>0</v>
      </c>
      <c r="U141" s="501"/>
      <c r="V141" s="531">
        <f>SUM(V139:V140)</f>
        <v>0</v>
      </c>
      <c r="W141" s="501"/>
      <c r="X141" s="501"/>
    </row>
    <row r="142" spans="1:25" s="113" customFormat="1" ht="10.5" hidden="1" customHeight="1" outlineLevel="1">
      <c r="A142" s="528" t="s">
        <v>198</v>
      </c>
      <c r="B142" s="503" t="s">
        <v>198</v>
      </c>
      <c r="C142" s="503"/>
      <c r="D142" s="504"/>
      <c r="E142" s="504"/>
      <c r="F142" s="505"/>
      <c r="G142" s="505"/>
      <c r="H142" s="501"/>
      <c r="I142" s="501"/>
      <c r="J142" s="506"/>
      <c r="K142" s="501"/>
      <c r="L142" s="506"/>
      <c r="M142" s="501"/>
      <c r="N142" s="507"/>
      <c r="O142" s="501"/>
      <c r="P142" s="506">
        <f>J142+L142+N142</f>
        <v>0</v>
      </c>
      <c r="Q142" s="501"/>
      <c r="R142" s="506"/>
      <c r="S142" s="506"/>
      <c r="T142" s="506">
        <f>P142</f>
        <v>0</v>
      </c>
      <c r="U142" s="501"/>
      <c r="V142" s="507">
        <f>T142-S142</f>
        <v>0</v>
      </c>
      <c r="W142" s="501"/>
      <c r="X142" s="501"/>
      <c r="Y142" s="501"/>
    </row>
    <row r="143" spans="1:25" s="113" customFormat="1" ht="10.5" hidden="1" customHeight="1" collapsed="1">
      <c r="A143" s="503" t="s">
        <v>922</v>
      </c>
      <c r="B143" s="503" t="s">
        <v>198</v>
      </c>
      <c r="C143" s="503"/>
      <c r="D143" s="504"/>
      <c r="E143" s="504"/>
      <c r="F143" s="501"/>
      <c r="G143" s="501"/>
      <c r="H143" s="501"/>
      <c r="I143" s="501"/>
      <c r="J143" s="532"/>
      <c r="K143" s="501"/>
      <c r="L143" s="532"/>
      <c r="M143" s="501"/>
      <c r="N143" s="533"/>
      <c r="O143" s="501"/>
      <c r="P143" s="532"/>
      <c r="Q143" s="501"/>
      <c r="R143" s="532"/>
      <c r="S143" s="532"/>
      <c r="T143" s="532"/>
      <c r="U143" s="501"/>
      <c r="V143" s="533"/>
      <c r="W143" s="501"/>
      <c r="X143" s="501"/>
      <c r="Y143" s="501"/>
    </row>
    <row r="144" spans="1:25" s="113" customFormat="1" ht="10.5" hidden="1" customHeight="1" outlineLevel="1">
      <c r="A144" s="501"/>
      <c r="B144" s="502" t="s">
        <v>1071</v>
      </c>
      <c r="C144" s="503"/>
      <c r="D144" s="501"/>
      <c r="E144" s="501"/>
      <c r="F144" s="501" t="s">
        <v>1072</v>
      </c>
      <c r="G144" s="501"/>
      <c r="H144" s="501"/>
      <c r="I144" s="501"/>
      <c r="J144" s="530">
        <f>SUM(J142:J143)</f>
        <v>0</v>
      </c>
      <c r="K144" s="501"/>
      <c r="L144" s="530">
        <f>SUM(L142:L143)</f>
        <v>0</v>
      </c>
      <c r="M144" s="501"/>
      <c r="N144" s="531">
        <f>SUM(N142:N143)</f>
        <v>0</v>
      </c>
      <c r="O144" s="501"/>
      <c r="P144" s="530">
        <f>J144+L144+N144</f>
        <v>0</v>
      </c>
      <c r="Q144" s="501"/>
      <c r="R144" s="530">
        <f>SUM(R142:R143)</f>
        <v>0</v>
      </c>
      <c r="S144" s="530">
        <f>SUM(S142:S143)</f>
        <v>0</v>
      </c>
      <c r="T144" s="530">
        <f>SUM(T142:T143)</f>
        <v>0</v>
      </c>
      <c r="U144" s="501"/>
      <c r="V144" s="531">
        <f>SUM(V142:V143)</f>
        <v>0</v>
      </c>
      <c r="W144" s="501"/>
      <c r="X144" s="501"/>
    </row>
    <row r="145" spans="1:25" s="113" customFormat="1" ht="10.5" hidden="1" customHeight="1" outlineLevel="1">
      <c r="A145" s="503" t="s">
        <v>198</v>
      </c>
      <c r="B145" s="528"/>
      <c r="C145" s="528"/>
      <c r="D145" s="504"/>
      <c r="E145" s="504"/>
      <c r="F145" s="505"/>
      <c r="G145" s="505"/>
      <c r="H145" s="501"/>
      <c r="I145" s="501"/>
      <c r="J145" s="506"/>
      <c r="K145" s="501"/>
      <c r="L145" s="506"/>
      <c r="M145" s="501"/>
      <c r="N145" s="507"/>
      <c r="O145" s="501"/>
      <c r="P145" s="506">
        <f>J145+L145+N145</f>
        <v>0</v>
      </c>
      <c r="Q145" s="501"/>
      <c r="R145" s="506"/>
      <c r="S145" s="506"/>
      <c r="T145" s="506">
        <f>P145</f>
        <v>0</v>
      </c>
      <c r="U145" s="501"/>
      <c r="V145" s="507">
        <f>T145-S145</f>
        <v>0</v>
      </c>
      <c r="W145" s="501"/>
      <c r="X145" s="501"/>
      <c r="Y145" s="501"/>
    </row>
    <row r="146" spans="1:25" s="113" customFormat="1" ht="10.5" hidden="1" customHeight="1" collapsed="1">
      <c r="A146" s="503" t="s">
        <v>1071</v>
      </c>
      <c r="B146" s="528" t="s">
        <v>198</v>
      </c>
      <c r="C146" s="528"/>
      <c r="D146" s="505"/>
      <c r="E146" s="505"/>
      <c r="F146" s="505"/>
      <c r="G146" s="505"/>
      <c r="H146" s="501"/>
      <c r="I146" s="501"/>
      <c r="J146" s="532"/>
      <c r="K146" s="501"/>
      <c r="L146" s="532"/>
      <c r="M146" s="501"/>
      <c r="N146" s="533"/>
      <c r="O146" s="501"/>
      <c r="P146" s="532"/>
      <c r="Q146" s="501"/>
      <c r="R146" s="532"/>
      <c r="S146" s="532"/>
      <c r="T146" s="532"/>
      <c r="U146" s="501"/>
      <c r="V146" s="533"/>
      <c r="W146" s="501"/>
      <c r="X146" s="501"/>
      <c r="Y146" s="501"/>
    </row>
    <row r="147" spans="1:25" s="113" customFormat="1" ht="10.5" hidden="1" customHeight="1" outlineLevel="1">
      <c r="A147" s="501"/>
      <c r="B147" s="502" t="s">
        <v>920</v>
      </c>
      <c r="C147" s="503"/>
      <c r="D147" s="501"/>
      <c r="E147" s="501"/>
      <c r="F147" s="504" t="s">
        <v>1073</v>
      </c>
      <c r="G147" s="501"/>
      <c r="H147" s="501"/>
      <c r="I147" s="501"/>
      <c r="J147" s="530">
        <f>SUM(J145:J146)</f>
        <v>0</v>
      </c>
      <c r="K147" s="501"/>
      <c r="L147" s="530">
        <f>SUM(L145:L146)</f>
        <v>0</v>
      </c>
      <c r="M147" s="501"/>
      <c r="N147" s="531">
        <f>SUM(N145:N146)</f>
        <v>0</v>
      </c>
      <c r="O147" s="501"/>
      <c r="P147" s="530">
        <f>J147+L147+N147</f>
        <v>0</v>
      </c>
      <c r="Q147" s="501"/>
      <c r="R147" s="530">
        <f>SUM(R145:R146)</f>
        <v>0</v>
      </c>
      <c r="S147" s="530">
        <f>SUM(S145:S146)</f>
        <v>0</v>
      </c>
      <c r="T147" s="530">
        <f>SUM(T145:T146)</f>
        <v>0</v>
      </c>
      <c r="U147" s="501"/>
      <c r="V147" s="531">
        <f>SUM(V145:V146)</f>
        <v>0</v>
      </c>
      <c r="W147" s="501"/>
      <c r="X147" s="501"/>
    </row>
    <row r="148" spans="1:25" s="113" customFormat="1" ht="10.5" hidden="1" customHeight="1" outlineLevel="1">
      <c r="A148" s="528" t="s">
        <v>198</v>
      </c>
      <c r="B148" s="503" t="s">
        <v>198</v>
      </c>
      <c r="C148" s="503"/>
      <c r="D148" s="504"/>
      <c r="E148" s="504"/>
      <c r="F148" s="505"/>
      <c r="G148" s="505"/>
      <c r="H148" s="501"/>
      <c r="I148" s="501"/>
      <c r="J148" s="506"/>
      <c r="K148" s="501"/>
      <c r="L148" s="506"/>
      <c r="M148" s="501"/>
      <c r="N148" s="507"/>
      <c r="O148" s="501"/>
      <c r="P148" s="506">
        <f>J148+L148+N148</f>
        <v>0</v>
      </c>
      <c r="Q148" s="501"/>
      <c r="R148" s="506"/>
      <c r="S148" s="506"/>
      <c r="T148" s="506">
        <f>P148</f>
        <v>0</v>
      </c>
      <c r="U148" s="501"/>
      <c r="V148" s="507">
        <f>T148-S148</f>
        <v>0</v>
      </c>
      <c r="W148" s="501"/>
      <c r="X148" s="501"/>
      <c r="Y148" s="501"/>
    </row>
    <row r="149" spans="1:25" s="113" customFormat="1" ht="10.5" hidden="1" customHeight="1" collapsed="1">
      <c r="A149" s="503" t="s">
        <v>920</v>
      </c>
      <c r="B149" s="503" t="s">
        <v>198</v>
      </c>
      <c r="C149" s="503"/>
      <c r="D149" s="505"/>
      <c r="E149" s="505"/>
      <c r="F149" s="505"/>
      <c r="G149" s="505"/>
      <c r="H149" s="501"/>
      <c r="I149" s="501"/>
      <c r="J149" s="532"/>
      <c r="K149" s="501"/>
      <c r="L149" s="532"/>
      <c r="M149" s="501"/>
      <c r="N149" s="533"/>
      <c r="O149" s="501"/>
      <c r="P149" s="532"/>
      <c r="Q149" s="501"/>
      <c r="R149" s="532"/>
      <c r="S149" s="532"/>
      <c r="T149" s="532"/>
      <c r="U149" s="501"/>
      <c r="V149" s="533"/>
      <c r="W149" s="501"/>
      <c r="X149" s="501"/>
      <c r="Y149" s="501"/>
    </row>
    <row r="150" spans="1:25" s="113" customFormat="1" ht="10.5" hidden="1" customHeight="1" outlineLevel="1">
      <c r="A150" s="501"/>
      <c r="B150" s="502" t="s">
        <v>1074</v>
      </c>
      <c r="C150" s="503"/>
      <c r="D150" s="501"/>
      <c r="E150" s="501"/>
      <c r="F150" s="504" t="s">
        <v>1075</v>
      </c>
      <c r="G150" s="501"/>
      <c r="H150" s="501"/>
      <c r="I150" s="501"/>
      <c r="J150" s="530">
        <f>SUM(J148:J149)</f>
        <v>0</v>
      </c>
      <c r="K150" s="501"/>
      <c r="L150" s="530">
        <f>SUM(L148:L149)</f>
        <v>0</v>
      </c>
      <c r="M150" s="501"/>
      <c r="N150" s="531">
        <f>SUM(N148:N149)</f>
        <v>0</v>
      </c>
      <c r="O150" s="501"/>
      <c r="P150" s="530">
        <f>J150+L150+N150</f>
        <v>0</v>
      </c>
      <c r="Q150" s="501"/>
      <c r="R150" s="530">
        <f>SUM(R148:R149)</f>
        <v>0</v>
      </c>
      <c r="S150" s="530">
        <f>SUM(S148:S149)</f>
        <v>0</v>
      </c>
      <c r="T150" s="530">
        <f>SUM(T148:T149)</f>
        <v>0</v>
      </c>
      <c r="U150" s="501"/>
      <c r="V150" s="531">
        <f>SUM(V148:V149)</f>
        <v>0</v>
      </c>
      <c r="W150" s="501"/>
      <c r="X150" s="501"/>
    </row>
    <row r="151" spans="1:25" s="113" customFormat="1" ht="10.5" hidden="1" customHeight="1" outlineLevel="1">
      <c r="A151" s="503" t="s">
        <v>198</v>
      </c>
      <c r="B151" s="503" t="s">
        <v>198</v>
      </c>
      <c r="C151" s="503"/>
      <c r="D151" s="504"/>
      <c r="E151" s="504"/>
      <c r="F151" s="505"/>
      <c r="G151" s="505"/>
      <c r="H151" s="501"/>
      <c r="I151" s="501"/>
      <c r="J151" s="506"/>
      <c r="K151" s="501"/>
      <c r="L151" s="506"/>
      <c r="M151" s="501"/>
      <c r="N151" s="507"/>
      <c r="O151" s="501"/>
      <c r="P151" s="506">
        <f>J151+L151+N151</f>
        <v>0</v>
      </c>
      <c r="Q151" s="501"/>
      <c r="R151" s="506"/>
      <c r="S151" s="506"/>
      <c r="T151" s="506">
        <f>P151</f>
        <v>0</v>
      </c>
      <c r="U151" s="501"/>
      <c r="V151" s="507">
        <f>T151-S151</f>
        <v>0</v>
      </c>
      <c r="W151" s="501"/>
      <c r="X151" s="501"/>
      <c r="Y151" s="501"/>
    </row>
    <row r="152" spans="1:25" s="113" customFormat="1" ht="10.5" hidden="1" customHeight="1" collapsed="1">
      <c r="A152" s="503" t="s">
        <v>1074</v>
      </c>
      <c r="B152" s="503" t="s">
        <v>198</v>
      </c>
      <c r="C152" s="503"/>
      <c r="D152" s="505"/>
      <c r="E152" s="505"/>
      <c r="F152" s="505"/>
      <c r="G152" s="505"/>
      <c r="H152" s="501"/>
      <c r="I152" s="501"/>
      <c r="J152" s="532"/>
      <c r="K152" s="501"/>
      <c r="L152" s="532"/>
      <c r="M152" s="501"/>
      <c r="N152" s="533"/>
      <c r="O152" s="501"/>
      <c r="P152" s="532"/>
      <c r="Q152" s="501"/>
      <c r="R152" s="532"/>
      <c r="S152" s="532"/>
      <c r="T152" s="532"/>
      <c r="U152" s="501"/>
      <c r="V152" s="533"/>
      <c r="W152" s="501"/>
      <c r="X152" s="501"/>
      <c r="Y152" s="501"/>
    </row>
    <row r="153" spans="1:25" s="113" customFormat="1" ht="10.5" hidden="1" customHeight="1" outlineLevel="1">
      <c r="A153" s="501"/>
      <c r="B153" s="502" t="s">
        <v>1076</v>
      </c>
      <c r="C153" s="503"/>
      <c r="D153" s="501"/>
      <c r="E153" s="501"/>
      <c r="F153" s="504" t="s">
        <v>1077</v>
      </c>
      <c r="G153" s="501"/>
      <c r="H153" s="501"/>
      <c r="I153" s="501"/>
      <c r="J153" s="530">
        <f>SUM(J151:J152)</f>
        <v>0</v>
      </c>
      <c r="K153" s="501"/>
      <c r="L153" s="530">
        <f>SUM(L151:L152)</f>
        <v>0</v>
      </c>
      <c r="M153" s="501"/>
      <c r="N153" s="531">
        <f>SUM(N151:N152)</f>
        <v>0</v>
      </c>
      <c r="O153" s="501"/>
      <c r="P153" s="530">
        <f>J153+L153+N153</f>
        <v>0</v>
      </c>
      <c r="Q153" s="501"/>
      <c r="R153" s="530">
        <f>SUM(R151:R152)</f>
        <v>0</v>
      </c>
      <c r="S153" s="530">
        <f>SUM(S151:S152)</f>
        <v>0</v>
      </c>
      <c r="T153" s="530">
        <f>SUM(T151:T152)</f>
        <v>0</v>
      </c>
      <c r="U153" s="501"/>
      <c r="V153" s="531">
        <f>SUM(V151:V152)</f>
        <v>0</v>
      </c>
      <c r="W153" s="501"/>
      <c r="X153" s="501"/>
    </row>
    <row r="154" spans="1:25" s="113" customFormat="1" ht="10.5" hidden="1" customHeight="1" outlineLevel="1">
      <c r="A154" s="528" t="s">
        <v>198</v>
      </c>
      <c r="B154" s="528" t="s">
        <v>198</v>
      </c>
      <c r="C154" s="528"/>
      <c r="D154" s="501"/>
      <c r="E154" s="501"/>
      <c r="F154" s="501"/>
      <c r="G154" s="501"/>
      <c r="H154" s="501"/>
      <c r="I154" s="501"/>
      <c r="J154" s="535"/>
      <c r="K154" s="501"/>
      <c r="L154" s="535"/>
      <c r="M154" s="501"/>
      <c r="N154" s="507"/>
      <c r="O154" s="501"/>
      <c r="P154" s="535"/>
      <c r="Q154" s="501"/>
      <c r="R154" s="535"/>
      <c r="S154" s="535"/>
      <c r="T154" s="535"/>
      <c r="U154" s="501"/>
      <c r="V154" s="507"/>
      <c r="W154" s="501"/>
      <c r="X154" s="501"/>
      <c r="Y154" s="501"/>
    </row>
    <row r="155" spans="1:25" s="113" customFormat="1" ht="10.5" customHeight="1" collapsed="1">
      <c r="A155" s="503" t="s">
        <v>1076</v>
      </c>
      <c r="B155" s="503" t="s">
        <v>198</v>
      </c>
      <c r="C155" s="503"/>
      <c r="D155" s="501"/>
      <c r="E155" s="536" t="s">
        <v>1078</v>
      </c>
      <c r="F155" s="501"/>
      <c r="G155" s="501"/>
      <c r="H155" s="501"/>
      <c r="I155" s="501"/>
      <c r="J155" s="537">
        <f>SUM(J135,J141,J150,J130,J138,J147,J144)</f>
        <v>58616.840000000011</v>
      </c>
      <c r="K155" s="501"/>
      <c r="L155" s="537">
        <f>SUM(L135,L141,L150,L130,L138,L147,L144)</f>
        <v>0</v>
      </c>
      <c r="M155" s="501"/>
      <c r="N155" s="538">
        <f>SUM(N135,N141,N150,N130,N138,N147,N144)</f>
        <v>0</v>
      </c>
      <c r="O155" s="501"/>
      <c r="P155" s="537">
        <f>SUM(P135,P141,P150,P130,P138,P147,P144)</f>
        <v>58616.840000000011</v>
      </c>
      <c r="Q155" s="501"/>
      <c r="R155" s="537">
        <f>SUM(R135,R141,R150,R130,R138,R147,R144)</f>
        <v>71748.479999999996</v>
      </c>
      <c r="S155" s="537">
        <f>SUM(S135,S141,S150,S130,S138,S147,S144)</f>
        <v>68241.27</v>
      </c>
      <c r="T155" s="537">
        <f>SUM(T135,T141,T150,T130,T138,T147,T144)</f>
        <v>58616.840000000011</v>
      </c>
      <c r="U155" s="501"/>
      <c r="V155" s="538">
        <f>SUM(V135,V141,V150,V130,V138,V147,V144)</f>
        <v>-9624.4299999999967</v>
      </c>
      <c r="W155" s="501"/>
      <c r="X155" s="501"/>
      <c r="Y155" s="501"/>
    </row>
    <row r="156" spans="1:25" s="113" customFormat="1" ht="10.5" customHeight="1">
      <c r="A156" s="503" t="s">
        <v>198</v>
      </c>
      <c r="B156" s="503" t="s">
        <v>198</v>
      </c>
      <c r="C156" s="503"/>
      <c r="D156" s="501"/>
      <c r="E156" s="501"/>
      <c r="F156" s="501"/>
      <c r="G156" s="501"/>
      <c r="H156" s="501"/>
      <c r="I156" s="501"/>
      <c r="J156" s="535"/>
      <c r="K156" s="501"/>
      <c r="L156" s="535"/>
      <c r="M156" s="501"/>
      <c r="N156" s="507"/>
      <c r="O156" s="501"/>
      <c r="P156" s="535"/>
      <c r="Q156" s="501"/>
      <c r="R156" s="535"/>
      <c r="S156" s="535"/>
      <c r="T156" s="535"/>
      <c r="U156" s="501"/>
      <c r="V156" s="507"/>
      <c r="W156" s="501"/>
      <c r="X156" s="501"/>
      <c r="Y156" s="501"/>
    </row>
    <row r="157" spans="1:25" s="113" customFormat="1" ht="10.5" hidden="1" customHeight="1">
      <c r="A157" s="503" t="s">
        <v>198</v>
      </c>
      <c r="B157" s="503" t="s">
        <v>198</v>
      </c>
      <c r="C157" s="503"/>
      <c r="D157" s="504"/>
      <c r="E157" s="504"/>
      <c r="F157" s="505"/>
      <c r="G157" s="505"/>
      <c r="H157" s="501"/>
      <c r="I157" s="501"/>
      <c r="J157" s="506"/>
      <c r="K157" s="501"/>
      <c r="L157" s="506"/>
      <c r="M157" s="501"/>
      <c r="N157" s="507"/>
      <c r="O157" s="501"/>
      <c r="P157" s="506">
        <f>J157+L157+N157</f>
        <v>0</v>
      </c>
      <c r="Q157" s="501"/>
      <c r="R157" s="506"/>
      <c r="S157" s="506"/>
      <c r="T157" s="506">
        <f>P157</f>
        <v>0</v>
      </c>
      <c r="U157" s="501"/>
      <c r="V157" s="507">
        <f>T157-S157</f>
        <v>0</v>
      </c>
      <c r="W157" s="501"/>
      <c r="X157" s="501"/>
      <c r="Y157" s="501"/>
    </row>
    <row r="158" spans="1:25" s="113" customFormat="1" ht="10.5" hidden="1" customHeight="1">
      <c r="A158" s="503" t="s">
        <v>198</v>
      </c>
      <c r="B158" s="503" t="s">
        <v>198</v>
      </c>
      <c r="C158" s="503"/>
      <c r="D158" s="505"/>
      <c r="E158" s="505"/>
      <c r="F158" s="505"/>
      <c r="G158" s="505"/>
      <c r="H158" s="501"/>
      <c r="I158" s="501"/>
      <c r="J158" s="532"/>
      <c r="K158" s="501"/>
      <c r="L158" s="532"/>
      <c r="M158" s="501"/>
      <c r="N158" s="533"/>
      <c r="O158" s="501"/>
      <c r="P158" s="532"/>
      <c r="Q158" s="501"/>
      <c r="R158" s="532"/>
      <c r="S158" s="532"/>
      <c r="T158" s="532"/>
      <c r="U158" s="501"/>
      <c r="V158" s="533"/>
      <c r="W158" s="501"/>
      <c r="X158" s="501"/>
      <c r="Y158" s="501"/>
    </row>
    <row r="159" spans="1:25" s="113" customFormat="1" ht="10.5" hidden="1" customHeight="1" outlineLevel="1">
      <c r="A159" s="501"/>
      <c r="B159" s="502" t="s">
        <v>926</v>
      </c>
      <c r="C159" s="503"/>
      <c r="D159" s="501"/>
      <c r="E159" s="501"/>
      <c r="F159" s="504" t="s">
        <v>1079</v>
      </c>
      <c r="G159" s="501"/>
      <c r="H159" s="501"/>
      <c r="I159" s="501"/>
      <c r="J159" s="530">
        <f>SUM(J157:J158)</f>
        <v>0</v>
      </c>
      <c r="K159" s="501"/>
      <c r="L159" s="530">
        <f>SUM(L157:L158)</f>
        <v>0</v>
      </c>
      <c r="M159" s="501"/>
      <c r="N159" s="531">
        <f>SUM(N157:N158)</f>
        <v>0</v>
      </c>
      <c r="O159" s="501"/>
      <c r="P159" s="530">
        <f>J159+L159+N159</f>
        <v>0</v>
      </c>
      <c r="Q159" s="501"/>
      <c r="R159" s="530">
        <f>SUM(R157:R158)</f>
        <v>0</v>
      </c>
      <c r="S159" s="530">
        <f>SUM(S157:S158)</f>
        <v>0</v>
      </c>
      <c r="T159" s="530">
        <f>SUM(T157:T158)</f>
        <v>0</v>
      </c>
      <c r="U159" s="501"/>
      <c r="V159" s="531">
        <f>SUM(V157:V158)</f>
        <v>0</v>
      </c>
      <c r="W159" s="501"/>
      <c r="X159" s="501"/>
    </row>
    <row r="160" spans="1:25" s="113" customFormat="1" ht="10.5" hidden="1" customHeight="1" outlineLevel="1">
      <c r="A160" s="503" t="s">
        <v>198</v>
      </c>
      <c r="B160" s="503" t="s">
        <v>198</v>
      </c>
      <c r="C160" s="503"/>
      <c r="D160" s="504"/>
      <c r="E160" s="504"/>
      <c r="F160" s="505"/>
      <c r="G160" s="505"/>
      <c r="H160" s="501"/>
      <c r="I160" s="501"/>
      <c r="J160" s="506"/>
      <c r="K160" s="501"/>
      <c r="L160" s="506"/>
      <c r="M160" s="501"/>
      <c r="N160" s="507"/>
      <c r="O160" s="501"/>
      <c r="P160" s="506">
        <f>J160+L160+N160</f>
        <v>0</v>
      </c>
      <c r="Q160" s="501"/>
      <c r="R160" s="506"/>
      <c r="S160" s="506"/>
      <c r="T160" s="506">
        <f>P160</f>
        <v>0</v>
      </c>
      <c r="U160" s="501"/>
      <c r="V160" s="507">
        <f>T160-S160</f>
        <v>0</v>
      </c>
      <c r="W160" s="501"/>
      <c r="X160" s="501"/>
      <c r="Y160" s="501"/>
    </row>
    <row r="161" spans="1:25" s="113" customFormat="1" ht="10.5" hidden="1" customHeight="1" collapsed="1">
      <c r="A161" s="503" t="s">
        <v>926</v>
      </c>
      <c r="B161" s="503" t="s">
        <v>198</v>
      </c>
      <c r="C161" s="503"/>
      <c r="D161" s="505"/>
      <c r="E161" s="505"/>
      <c r="F161" s="505"/>
      <c r="G161" s="505"/>
      <c r="H161" s="501"/>
      <c r="I161" s="501"/>
      <c r="J161" s="532"/>
      <c r="K161" s="501"/>
      <c r="L161" s="532"/>
      <c r="M161" s="501"/>
      <c r="N161" s="533"/>
      <c r="O161" s="501"/>
      <c r="P161" s="532"/>
      <c r="Q161" s="501"/>
      <c r="R161" s="532"/>
      <c r="S161" s="532"/>
      <c r="T161" s="532"/>
      <c r="U161" s="501"/>
      <c r="V161" s="533"/>
      <c r="W161" s="501"/>
      <c r="X161" s="501"/>
      <c r="Y161" s="501"/>
    </row>
    <row r="162" spans="1:25" s="113" customFormat="1" ht="10.5" hidden="1" customHeight="1" outlineLevel="1">
      <c r="A162" s="501"/>
      <c r="B162" s="502" t="s">
        <v>930</v>
      </c>
      <c r="C162" s="503"/>
      <c r="D162" s="501"/>
      <c r="E162" s="501"/>
      <c r="F162" s="504" t="s">
        <v>1080</v>
      </c>
      <c r="G162" s="501"/>
      <c r="H162" s="501"/>
      <c r="I162" s="501"/>
      <c r="J162" s="530">
        <f>SUM(J160:J161)</f>
        <v>0</v>
      </c>
      <c r="K162" s="501"/>
      <c r="L162" s="530">
        <f>SUM(L160:L161)</f>
        <v>0</v>
      </c>
      <c r="M162" s="501"/>
      <c r="N162" s="531">
        <f>SUM(N160:N161)</f>
        <v>0</v>
      </c>
      <c r="O162" s="501"/>
      <c r="P162" s="530">
        <f>J162+L162+N162</f>
        <v>0</v>
      </c>
      <c r="Q162" s="501"/>
      <c r="R162" s="530">
        <f>SUM(R160:R161)</f>
        <v>0</v>
      </c>
      <c r="S162" s="530">
        <f>SUM(S160:S161)</f>
        <v>0</v>
      </c>
      <c r="T162" s="530">
        <f>SUM(T160:T161)</f>
        <v>0</v>
      </c>
      <c r="U162" s="501"/>
      <c r="V162" s="531">
        <f>SUM(V160:V161)</f>
        <v>0</v>
      </c>
      <c r="W162" s="501"/>
      <c r="X162" s="501"/>
    </row>
    <row r="163" spans="1:25" s="113" customFormat="1" ht="10.5" hidden="1" customHeight="1" outlineLevel="1">
      <c r="A163" s="503" t="s">
        <v>198</v>
      </c>
      <c r="B163" s="503" t="s">
        <v>198</v>
      </c>
      <c r="C163" s="503"/>
      <c r="D163" s="504"/>
      <c r="E163" s="504"/>
      <c r="F163" s="505"/>
      <c r="G163" s="505"/>
      <c r="H163" s="501"/>
      <c r="I163" s="501"/>
      <c r="J163" s="506"/>
      <c r="K163" s="501"/>
      <c r="L163" s="506"/>
      <c r="M163" s="501"/>
      <c r="N163" s="507"/>
      <c r="O163" s="501"/>
      <c r="P163" s="506">
        <f>J163+L163+N163</f>
        <v>0</v>
      </c>
      <c r="Q163" s="501"/>
      <c r="R163" s="506"/>
      <c r="S163" s="506"/>
      <c r="T163" s="506">
        <f>P163</f>
        <v>0</v>
      </c>
      <c r="U163" s="501"/>
      <c r="V163" s="507">
        <f>T163-S163</f>
        <v>0</v>
      </c>
      <c r="W163" s="501"/>
      <c r="X163" s="501"/>
      <c r="Y163" s="501"/>
    </row>
    <row r="164" spans="1:25" s="113" customFormat="1" ht="10.5" hidden="1" customHeight="1" collapsed="1">
      <c r="A164" s="544" t="s">
        <v>930</v>
      </c>
      <c r="B164" s="503" t="s">
        <v>198</v>
      </c>
      <c r="C164" s="503"/>
      <c r="D164" s="505"/>
      <c r="E164" s="505"/>
      <c r="F164" s="505"/>
      <c r="G164" s="505"/>
      <c r="H164" s="501"/>
      <c r="I164" s="501"/>
      <c r="J164" s="532"/>
      <c r="K164" s="501"/>
      <c r="L164" s="532"/>
      <c r="M164" s="501"/>
      <c r="N164" s="533"/>
      <c r="O164" s="501"/>
      <c r="P164" s="532"/>
      <c r="Q164" s="501"/>
      <c r="R164" s="532"/>
      <c r="S164" s="532"/>
      <c r="T164" s="532"/>
      <c r="U164" s="501"/>
      <c r="V164" s="533"/>
      <c r="W164" s="501"/>
      <c r="X164" s="501"/>
      <c r="Y164" s="501"/>
    </row>
    <row r="165" spans="1:25" s="113" customFormat="1" ht="10.5" hidden="1" customHeight="1" outlineLevel="1">
      <c r="A165" s="501"/>
      <c r="B165" s="502" t="s">
        <v>931</v>
      </c>
      <c r="C165" s="503"/>
      <c r="D165" s="501"/>
      <c r="E165" s="501"/>
      <c r="F165" s="504" t="s">
        <v>1081</v>
      </c>
      <c r="G165" s="501"/>
      <c r="H165" s="501"/>
      <c r="I165" s="501"/>
      <c r="J165" s="530">
        <f>SUM(J163:J164)</f>
        <v>0</v>
      </c>
      <c r="K165" s="501"/>
      <c r="L165" s="530">
        <f>SUM(L163:L164)</f>
        <v>0</v>
      </c>
      <c r="M165" s="501"/>
      <c r="N165" s="531">
        <f>SUM(N163:N164)</f>
        <v>0</v>
      </c>
      <c r="O165" s="501"/>
      <c r="P165" s="530">
        <f>J165+L165+N165</f>
        <v>0</v>
      </c>
      <c r="Q165" s="501"/>
      <c r="R165" s="530">
        <f>SUM(R163:R164)</f>
        <v>0</v>
      </c>
      <c r="S165" s="530">
        <f>SUM(S163:S164)</f>
        <v>0</v>
      </c>
      <c r="T165" s="530">
        <f>SUM(T163:T164)</f>
        <v>0</v>
      </c>
      <c r="U165" s="501"/>
      <c r="V165" s="531">
        <f>SUM(V163:V164)</f>
        <v>0</v>
      </c>
      <c r="W165" s="501"/>
      <c r="X165" s="501"/>
    </row>
    <row r="166" spans="1:25" s="113" customFormat="1" ht="10.5" hidden="1" customHeight="1" outlineLevel="1">
      <c r="A166" s="503" t="s">
        <v>198</v>
      </c>
      <c r="B166" s="503" t="s">
        <v>198</v>
      </c>
      <c r="C166" s="503"/>
      <c r="D166" s="504"/>
      <c r="E166" s="504"/>
      <c r="F166" s="505"/>
      <c r="G166" s="505"/>
      <c r="H166" s="501"/>
      <c r="I166" s="501"/>
      <c r="J166" s="506"/>
      <c r="K166" s="501"/>
      <c r="L166" s="506"/>
      <c r="M166" s="501"/>
      <c r="N166" s="507"/>
      <c r="O166" s="501"/>
      <c r="P166" s="506">
        <f>J166+L166+N166</f>
        <v>0</v>
      </c>
      <c r="Q166" s="501"/>
      <c r="R166" s="506"/>
      <c r="S166" s="506"/>
      <c r="T166" s="506">
        <f>P166</f>
        <v>0</v>
      </c>
      <c r="U166" s="501"/>
      <c r="V166" s="507">
        <f>T166-S166</f>
        <v>0</v>
      </c>
      <c r="W166" s="501"/>
      <c r="X166" s="501"/>
      <c r="Y166" s="501"/>
    </row>
    <row r="167" spans="1:25" s="113" customFormat="1" ht="10.5" hidden="1" customHeight="1" collapsed="1">
      <c r="A167" s="544" t="s">
        <v>931</v>
      </c>
      <c r="B167" s="503" t="s">
        <v>198</v>
      </c>
      <c r="C167" s="503"/>
      <c r="D167" s="505"/>
      <c r="E167" s="505"/>
      <c r="F167" s="505"/>
      <c r="G167" s="505"/>
      <c r="H167" s="501"/>
      <c r="I167" s="501"/>
      <c r="J167" s="532"/>
      <c r="K167" s="501"/>
      <c r="L167" s="532"/>
      <c r="M167" s="501"/>
      <c r="N167" s="533"/>
      <c r="O167" s="501"/>
      <c r="P167" s="532"/>
      <c r="Q167" s="501"/>
      <c r="R167" s="532"/>
      <c r="S167" s="532"/>
      <c r="T167" s="532"/>
      <c r="U167" s="501"/>
      <c r="V167" s="533"/>
      <c r="W167" s="501"/>
      <c r="X167" s="501"/>
      <c r="Y167" s="501"/>
    </row>
    <row r="168" spans="1:25" s="113" customFormat="1" ht="10.5" hidden="1" customHeight="1" outlineLevel="1">
      <c r="A168" s="501"/>
      <c r="B168" s="502" t="s">
        <v>937</v>
      </c>
      <c r="C168" s="503"/>
      <c r="D168" s="501"/>
      <c r="E168" s="501"/>
      <c r="F168" s="504" t="s">
        <v>1082</v>
      </c>
      <c r="G168" s="501"/>
      <c r="H168" s="501"/>
      <c r="I168" s="501"/>
      <c r="J168" s="530">
        <f>SUM(J166:J167)</f>
        <v>0</v>
      </c>
      <c r="K168" s="501"/>
      <c r="L168" s="530">
        <f>SUM(L166:L167)</f>
        <v>0</v>
      </c>
      <c r="M168" s="501"/>
      <c r="N168" s="531">
        <f>SUM(N166:N167)</f>
        <v>0</v>
      </c>
      <c r="O168" s="501"/>
      <c r="P168" s="530">
        <f>J168+L168+N168</f>
        <v>0</v>
      </c>
      <c r="Q168" s="501"/>
      <c r="R168" s="530">
        <f>SUM(R166:R167)</f>
        <v>0</v>
      </c>
      <c r="S168" s="530">
        <f>SUM(S166:S167)</f>
        <v>0</v>
      </c>
      <c r="T168" s="530">
        <f>SUM(T166:T167)</f>
        <v>0</v>
      </c>
      <c r="U168" s="501"/>
      <c r="V168" s="531">
        <f>SUM(V166:V167)</f>
        <v>0</v>
      </c>
      <c r="W168" s="501"/>
      <c r="X168" s="501"/>
    </row>
    <row r="169" spans="1:25" s="113" customFormat="1" ht="10.5" hidden="1" customHeight="1" outlineLevel="1">
      <c r="A169" s="503" t="s">
        <v>198</v>
      </c>
      <c r="B169" s="503" t="s">
        <v>198</v>
      </c>
      <c r="C169" s="503"/>
      <c r="D169" s="504"/>
      <c r="E169" s="504"/>
      <c r="F169" s="505"/>
      <c r="G169" s="505"/>
      <c r="H169" s="501"/>
      <c r="I169" s="501"/>
      <c r="J169" s="506"/>
      <c r="K169" s="501"/>
      <c r="L169" s="506"/>
      <c r="M169" s="501"/>
      <c r="N169" s="507"/>
      <c r="O169" s="501"/>
      <c r="P169" s="506">
        <f>J169+L169+N169</f>
        <v>0</v>
      </c>
      <c r="Q169" s="501"/>
      <c r="R169" s="506"/>
      <c r="S169" s="506"/>
      <c r="T169" s="506">
        <f>P169</f>
        <v>0</v>
      </c>
      <c r="U169" s="501"/>
      <c r="V169" s="507">
        <f>T169-S169</f>
        <v>0</v>
      </c>
      <c r="W169" s="501"/>
      <c r="X169" s="501"/>
      <c r="Y169" s="501"/>
    </row>
    <row r="170" spans="1:25" s="113" customFormat="1" ht="10.5" hidden="1" customHeight="1" collapsed="1">
      <c r="A170" s="503" t="s">
        <v>937</v>
      </c>
      <c r="B170" s="503" t="s">
        <v>198</v>
      </c>
      <c r="C170" s="503"/>
      <c r="D170" s="505"/>
      <c r="E170" s="505"/>
      <c r="F170" s="505"/>
      <c r="G170" s="505"/>
      <c r="H170" s="501"/>
      <c r="I170" s="501"/>
      <c r="J170" s="532"/>
      <c r="K170" s="501"/>
      <c r="L170" s="532"/>
      <c r="M170" s="501"/>
      <c r="N170" s="533"/>
      <c r="O170" s="501"/>
      <c r="P170" s="532"/>
      <c r="Q170" s="501"/>
      <c r="R170" s="532"/>
      <c r="S170" s="532"/>
      <c r="T170" s="532"/>
      <c r="U170" s="501"/>
      <c r="V170" s="533"/>
      <c r="W170" s="501"/>
      <c r="X170" s="501"/>
      <c r="Y170" s="501"/>
    </row>
    <row r="171" spans="1:25" s="113" customFormat="1" ht="10.5" hidden="1" customHeight="1" outlineLevel="1">
      <c r="A171" s="501"/>
      <c r="B171" s="502" t="s">
        <v>928</v>
      </c>
      <c r="C171" s="503"/>
      <c r="D171" s="501"/>
      <c r="E171" s="501"/>
      <c r="F171" s="504" t="s">
        <v>1083</v>
      </c>
      <c r="G171" s="501"/>
      <c r="H171" s="501"/>
      <c r="I171" s="501"/>
      <c r="J171" s="530">
        <f>SUM(J169:J170)</f>
        <v>0</v>
      </c>
      <c r="K171" s="501"/>
      <c r="L171" s="530">
        <f>SUM(L169:L170)</f>
        <v>0</v>
      </c>
      <c r="M171" s="501"/>
      <c r="N171" s="531">
        <f>SUM(N169:N170)</f>
        <v>0</v>
      </c>
      <c r="O171" s="501"/>
      <c r="P171" s="530">
        <f>J171+L171+N171</f>
        <v>0</v>
      </c>
      <c r="Q171" s="501"/>
      <c r="R171" s="530">
        <f>SUM(R169:R170)</f>
        <v>0</v>
      </c>
      <c r="S171" s="530">
        <f>SUM(S169:S170)</f>
        <v>0</v>
      </c>
      <c r="T171" s="530">
        <f>SUM(T169:T170)</f>
        <v>0</v>
      </c>
      <c r="U171" s="501"/>
      <c r="V171" s="531">
        <f>SUM(V169:V170)</f>
        <v>0</v>
      </c>
      <c r="W171" s="501"/>
      <c r="X171" s="501"/>
    </row>
    <row r="172" spans="1:25" s="113" customFormat="1" ht="10.5" hidden="1" customHeight="1" outlineLevel="1">
      <c r="A172" s="503" t="s">
        <v>198</v>
      </c>
      <c r="B172" s="503" t="s">
        <v>198</v>
      </c>
      <c r="C172" s="503"/>
      <c r="D172" s="504"/>
      <c r="E172" s="504"/>
      <c r="F172" s="505"/>
      <c r="G172" s="505"/>
      <c r="H172" s="501"/>
      <c r="I172" s="501"/>
      <c r="J172" s="506"/>
      <c r="K172" s="501"/>
      <c r="L172" s="506"/>
      <c r="M172" s="501"/>
      <c r="N172" s="507"/>
      <c r="O172" s="501"/>
      <c r="P172" s="506">
        <f>J172+L172+N172</f>
        <v>0</v>
      </c>
      <c r="Q172" s="501"/>
      <c r="R172" s="506"/>
      <c r="S172" s="506"/>
      <c r="T172" s="506">
        <f>P172</f>
        <v>0</v>
      </c>
      <c r="U172" s="501"/>
      <c r="V172" s="507">
        <f>T172-S172</f>
        <v>0</v>
      </c>
      <c r="W172" s="501"/>
      <c r="X172" s="501"/>
      <c r="Y172" s="501"/>
    </row>
    <row r="173" spans="1:25" s="113" customFormat="1" ht="10.5" hidden="1" customHeight="1" collapsed="1">
      <c r="A173" s="503" t="s">
        <v>928</v>
      </c>
      <c r="B173" s="503" t="s">
        <v>198</v>
      </c>
      <c r="C173" s="503"/>
      <c r="D173" s="505"/>
      <c r="E173" s="505"/>
      <c r="F173" s="505"/>
      <c r="G173" s="505"/>
      <c r="H173" s="501"/>
      <c r="I173" s="501"/>
      <c r="J173" s="532"/>
      <c r="K173" s="501"/>
      <c r="L173" s="532"/>
      <c r="M173" s="501"/>
      <c r="N173" s="533"/>
      <c r="O173" s="501"/>
      <c r="P173" s="532"/>
      <c r="Q173" s="501"/>
      <c r="R173" s="532"/>
      <c r="S173" s="532"/>
      <c r="T173" s="532"/>
      <c r="U173" s="501"/>
      <c r="V173" s="533"/>
      <c r="W173" s="501"/>
      <c r="X173" s="501"/>
      <c r="Y173" s="501"/>
    </row>
    <row r="174" spans="1:25" s="113" customFormat="1" ht="10.5" hidden="1" customHeight="1" outlineLevel="1">
      <c r="A174" s="501"/>
      <c r="B174" s="502" t="s">
        <v>932</v>
      </c>
      <c r="C174" s="503"/>
      <c r="D174" s="501"/>
      <c r="E174" s="501"/>
      <c r="F174" s="504" t="s">
        <v>1084</v>
      </c>
      <c r="G174" s="501"/>
      <c r="H174" s="501"/>
      <c r="I174" s="501"/>
      <c r="J174" s="530">
        <f>SUM(J172:J173)</f>
        <v>0</v>
      </c>
      <c r="K174" s="501"/>
      <c r="L174" s="530">
        <f>SUM(L172:L173)</f>
        <v>0</v>
      </c>
      <c r="M174" s="501"/>
      <c r="N174" s="531">
        <f>SUM(N172:N173)</f>
        <v>0</v>
      </c>
      <c r="O174" s="501"/>
      <c r="P174" s="530">
        <f>J174+L174+N174</f>
        <v>0</v>
      </c>
      <c r="Q174" s="501"/>
      <c r="R174" s="530">
        <f>SUM(R172:R173)</f>
        <v>0</v>
      </c>
      <c r="S174" s="530">
        <f>SUM(S172:S173)</f>
        <v>0</v>
      </c>
      <c r="T174" s="530">
        <f>SUM(T172:T173)</f>
        <v>0</v>
      </c>
      <c r="U174" s="501"/>
      <c r="V174" s="531">
        <f>SUM(V172:V173)</f>
        <v>0</v>
      </c>
      <c r="W174" s="501"/>
      <c r="X174" s="501"/>
    </row>
    <row r="175" spans="1:25" s="113" customFormat="1" ht="10.5" hidden="1" customHeight="1" outlineLevel="1">
      <c r="A175" s="503" t="s">
        <v>198</v>
      </c>
      <c r="B175" s="503" t="s">
        <v>198</v>
      </c>
      <c r="C175" s="503"/>
      <c r="D175" s="504"/>
      <c r="E175" s="504"/>
      <c r="F175" s="505"/>
      <c r="G175" s="505"/>
      <c r="H175" s="501"/>
      <c r="I175" s="501"/>
      <c r="J175" s="506"/>
      <c r="K175" s="501"/>
      <c r="L175" s="506"/>
      <c r="M175" s="501"/>
      <c r="N175" s="507"/>
      <c r="O175" s="501"/>
      <c r="P175" s="506">
        <f>J175+L175+N175</f>
        <v>0</v>
      </c>
      <c r="Q175" s="501"/>
      <c r="R175" s="506"/>
      <c r="S175" s="506"/>
      <c r="T175" s="506">
        <f>P175</f>
        <v>0</v>
      </c>
      <c r="U175" s="501"/>
      <c r="V175" s="507">
        <f>T175-S175</f>
        <v>0</v>
      </c>
      <c r="W175" s="501"/>
      <c r="X175" s="501"/>
      <c r="Y175" s="501"/>
    </row>
    <row r="176" spans="1:25" s="113" customFormat="1" ht="10.5" hidden="1" customHeight="1" collapsed="1">
      <c r="A176" s="503" t="s">
        <v>932</v>
      </c>
      <c r="B176" s="503" t="s">
        <v>198</v>
      </c>
      <c r="C176" s="503"/>
      <c r="D176" s="505"/>
      <c r="E176" s="505"/>
      <c r="F176" s="505"/>
      <c r="G176" s="505"/>
      <c r="H176" s="501"/>
      <c r="I176" s="501"/>
      <c r="J176" s="532"/>
      <c r="K176" s="501"/>
      <c r="L176" s="532"/>
      <c r="M176" s="501"/>
      <c r="N176" s="533"/>
      <c r="O176" s="501"/>
      <c r="P176" s="532"/>
      <c r="Q176" s="501"/>
      <c r="R176" s="532"/>
      <c r="S176" s="532"/>
      <c r="T176" s="532"/>
      <c r="U176" s="501"/>
      <c r="V176" s="533"/>
      <c r="W176" s="501"/>
      <c r="X176" s="501"/>
      <c r="Y176" s="501"/>
    </row>
    <row r="177" spans="1:25" s="113" customFormat="1" ht="10.5" hidden="1" customHeight="1" outlineLevel="1">
      <c r="A177" s="501"/>
      <c r="B177" s="502" t="s">
        <v>934</v>
      </c>
      <c r="C177" s="503"/>
      <c r="D177" s="501"/>
      <c r="E177" s="501"/>
      <c r="F177" s="504" t="s">
        <v>1085</v>
      </c>
      <c r="G177" s="501"/>
      <c r="H177" s="501"/>
      <c r="I177" s="501"/>
      <c r="J177" s="530">
        <f>SUM(J175:J176)</f>
        <v>0</v>
      </c>
      <c r="K177" s="501"/>
      <c r="L177" s="530">
        <f>SUM(L175:L176)</f>
        <v>0</v>
      </c>
      <c r="M177" s="501"/>
      <c r="N177" s="531">
        <f>SUM(N175:N176)</f>
        <v>0</v>
      </c>
      <c r="O177" s="501"/>
      <c r="P177" s="530">
        <f>J177+L177+N177</f>
        <v>0</v>
      </c>
      <c r="Q177" s="501"/>
      <c r="R177" s="530">
        <f>SUM(R175:R176)</f>
        <v>0</v>
      </c>
      <c r="S177" s="530">
        <f>SUM(S175:S176)</f>
        <v>0</v>
      </c>
      <c r="T177" s="530">
        <f>SUM(T175:T176)</f>
        <v>0</v>
      </c>
      <c r="U177" s="501"/>
      <c r="V177" s="531">
        <f>SUM(V175:V176)</f>
        <v>0</v>
      </c>
      <c r="W177" s="501"/>
      <c r="X177" s="501"/>
    </row>
    <row r="178" spans="1:25" s="113" customFormat="1" ht="10.5" hidden="1" customHeight="1" outlineLevel="1">
      <c r="A178" s="503" t="s">
        <v>198</v>
      </c>
      <c r="B178" s="528"/>
      <c r="C178" s="528"/>
      <c r="D178" s="501"/>
      <c r="E178" s="501"/>
      <c r="F178" s="501"/>
      <c r="G178" s="501"/>
      <c r="H178" s="501"/>
      <c r="I178" s="501"/>
      <c r="J178" s="535"/>
      <c r="K178" s="501"/>
      <c r="L178" s="535"/>
      <c r="M178" s="501"/>
      <c r="N178" s="507"/>
      <c r="O178" s="501"/>
      <c r="P178" s="535"/>
      <c r="Q178" s="501"/>
      <c r="R178" s="535"/>
      <c r="S178" s="535"/>
      <c r="T178" s="535"/>
      <c r="U178" s="501"/>
      <c r="V178" s="507"/>
      <c r="W178" s="501"/>
      <c r="X178" s="501"/>
      <c r="Y178" s="501"/>
    </row>
    <row r="179" spans="1:25" s="113" customFormat="1" ht="10.5" customHeight="1" collapsed="1">
      <c r="A179" s="503" t="s">
        <v>934</v>
      </c>
      <c r="B179" s="528"/>
      <c r="C179" s="528"/>
      <c r="D179" s="504">
        <v>29100</v>
      </c>
      <c r="E179" s="504" t="s">
        <v>1086</v>
      </c>
      <c r="F179" s="505"/>
      <c r="G179" s="505"/>
      <c r="H179" s="501"/>
      <c r="I179" s="501"/>
      <c r="J179" s="506">
        <v>80849.53</v>
      </c>
      <c r="K179" s="501"/>
      <c r="L179" s="506">
        <v>0</v>
      </c>
      <c r="M179" s="501"/>
      <c r="N179" s="507">
        <v>0</v>
      </c>
      <c r="O179" s="501"/>
      <c r="P179" s="506">
        <f>J179+L179+N179</f>
        <v>80849.53</v>
      </c>
      <c r="Q179" s="501"/>
      <c r="R179" s="506">
        <v>69541.78</v>
      </c>
      <c r="S179" s="506">
        <v>66548.83</v>
      </c>
      <c r="T179" s="506">
        <f>P179</f>
        <v>80849.53</v>
      </c>
      <c r="U179" s="501"/>
      <c r="V179" s="507">
        <f>T179-S179</f>
        <v>14300.699999999997</v>
      </c>
      <c r="W179" s="501"/>
      <c r="X179" s="501"/>
      <c r="Y179" s="501"/>
    </row>
    <row r="180" spans="1:25" s="113" customFormat="1" ht="10.5" customHeight="1">
      <c r="A180" s="528"/>
      <c r="B180" s="503"/>
      <c r="C180" s="503"/>
      <c r="D180" s="505"/>
      <c r="E180" s="505"/>
      <c r="F180" s="505"/>
      <c r="G180" s="505"/>
      <c r="H180" s="501"/>
      <c r="I180" s="501"/>
      <c r="J180" s="532"/>
      <c r="K180" s="501"/>
      <c r="L180" s="532"/>
      <c r="M180" s="501"/>
      <c r="N180" s="533"/>
      <c r="O180" s="501"/>
      <c r="P180" s="532"/>
      <c r="Q180" s="501"/>
      <c r="R180" s="532"/>
      <c r="S180" s="532"/>
      <c r="T180" s="532"/>
      <c r="U180" s="501"/>
      <c r="V180" s="533"/>
      <c r="W180" s="501"/>
      <c r="X180" s="501"/>
      <c r="Y180" s="501"/>
    </row>
    <row r="181" spans="1:25" s="113" customFormat="1" ht="10.5" customHeight="1" outlineLevel="1">
      <c r="A181" s="501"/>
      <c r="B181" s="502" t="s">
        <v>935</v>
      </c>
      <c r="C181" s="503"/>
      <c r="D181" s="501"/>
      <c r="E181" s="501"/>
      <c r="F181" s="504" t="s">
        <v>1086</v>
      </c>
      <c r="G181" s="501"/>
      <c r="H181" s="501"/>
      <c r="I181" s="501"/>
      <c r="J181" s="530">
        <f>SUM(J179:J180)</f>
        <v>80849.53</v>
      </c>
      <c r="K181" s="501"/>
      <c r="L181" s="530">
        <f>SUM(L179:L180)</f>
        <v>0</v>
      </c>
      <c r="M181" s="501"/>
      <c r="N181" s="531">
        <f>SUM(N179:N180)</f>
        <v>0</v>
      </c>
      <c r="O181" s="501"/>
      <c r="P181" s="530">
        <f>J181+L181+N181</f>
        <v>80849.53</v>
      </c>
      <c r="Q181" s="501"/>
      <c r="R181" s="530">
        <f>SUM(R179:R180)</f>
        <v>69541.78</v>
      </c>
      <c r="S181" s="530">
        <f>SUM(S179:S180)</f>
        <v>66548.83</v>
      </c>
      <c r="T181" s="530">
        <f>SUM(T179:T180)</f>
        <v>80849.53</v>
      </c>
      <c r="U181" s="501"/>
      <c r="V181" s="531">
        <f>SUM(V179:V180)</f>
        <v>14300.699999999997</v>
      </c>
      <c r="W181" s="501"/>
      <c r="X181" s="501"/>
    </row>
    <row r="182" spans="1:25" s="113" customFormat="1" ht="10.5" customHeight="1" outlineLevel="1">
      <c r="A182" s="503" t="s">
        <v>198</v>
      </c>
      <c r="B182" s="528"/>
      <c r="C182" s="528"/>
      <c r="D182" s="501"/>
      <c r="E182" s="501"/>
      <c r="F182" s="501"/>
      <c r="G182" s="501"/>
      <c r="H182" s="501"/>
      <c r="I182" s="501"/>
      <c r="J182" s="535"/>
      <c r="K182" s="501"/>
      <c r="L182" s="535"/>
      <c r="M182" s="501"/>
      <c r="N182" s="507"/>
      <c r="O182" s="501"/>
      <c r="P182" s="535"/>
      <c r="Q182" s="501"/>
      <c r="R182" s="535"/>
      <c r="S182" s="535"/>
      <c r="T182" s="535"/>
      <c r="U182" s="501"/>
      <c r="V182" s="507"/>
      <c r="W182" s="501"/>
      <c r="X182" s="501"/>
      <c r="Y182" s="501"/>
    </row>
    <row r="183" spans="1:25" s="113" customFormat="1" ht="10.5" customHeight="1">
      <c r="A183" s="503" t="s">
        <v>935</v>
      </c>
      <c r="B183" s="528"/>
      <c r="C183" s="528"/>
      <c r="D183" s="501"/>
      <c r="E183" s="536" t="s">
        <v>1086</v>
      </c>
      <c r="F183" s="501"/>
      <c r="G183" s="501"/>
      <c r="H183" s="501"/>
      <c r="I183" s="501"/>
      <c r="J183" s="537">
        <f>SUM(J159,J165,J171,J177,J168,J162,J174,J181)</f>
        <v>80849.53</v>
      </c>
      <c r="K183" s="501"/>
      <c r="L183" s="537">
        <f>SUM(L159,L165,L171,L177,L168,L162,L174,L181)</f>
        <v>0</v>
      </c>
      <c r="M183" s="501"/>
      <c r="N183" s="538">
        <f>SUM(N159,N165,N171,N177,N168,N162,N174,N181)</f>
        <v>0</v>
      </c>
      <c r="O183" s="501"/>
      <c r="P183" s="537">
        <f>SUM(P159,P165,P171,P177,P168,P162,P174,P181)</f>
        <v>80849.53</v>
      </c>
      <c r="Q183" s="501"/>
      <c r="R183" s="537">
        <f>SUM(R159,R165,R171,R177,R168,R162,R174,R181)</f>
        <v>69541.78</v>
      </c>
      <c r="S183" s="537">
        <f>SUM(S159,S165,S171,S177,S168,S162,S174,S181)</f>
        <v>66548.83</v>
      </c>
      <c r="T183" s="537">
        <f>SUM(T159,T165,T171,T177,T168,T162,T174,T181)</f>
        <v>80849.53</v>
      </c>
      <c r="U183" s="501"/>
      <c r="V183" s="538">
        <f>SUM(V159,V165,V171,V177,V168,V162,V174,V181)</f>
        <v>14300.699999999997</v>
      </c>
      <c r="W183" s="501"/>
      <c r="X183" s="501"/>
      <c r="Y183" s="501"/>
    </row>
    <row r="184" spans="1:25" s="113" customFormat="1" ht="10.5" customHeight="1">
      <c r="A184" s="528"/>
      <c r="B184" s="503"/>
      <c r="C184" s="503"/>
      <c r="D184" s="501"/>
      <c r="E184" s="501"/>
      <c r="F184" s="501"/>
      <c r="G184" s="501"/>
      <c r="H184" s="501"/>
      <c r="I184" s="501"/>
      <c r="J184" s="535"/>
      <c r="K184" s="501"/>
      <c r="L184" s="535"/>
      <c r="M184" s="501"/>
      <c r="N184" s="507"/>
      <c r="O184" s="501"/>
      <c r="P184" s="535"/>
      <c r="Q184" s="501"/>
      <c r="R184" s="535"/>
      <c r="S184" s="535"/>
      <c r="T184" s="535"/>
      <c r="U184" s="501"/>
      <c r="V184" s="507"/>
      <c r="W184" s="501"/>
      <c r="X184" s="501"/>
      <c r="Y184" s="501"/>
    </row>
    <row r="185" spans="1:25" s="113" customFormat="1" ht="10.5" customHeight="1" thickBot="1">
      <c r="A185" s="528"/>
      <c r="B185" s="503"/>
      <c r="C185" s="503"/>
      <c r="D185" s="501"/>
      <c r="E185" s="536" t="s">
        <v>1087</v>
      </c>
      <c r="F185" s="501"/>
      <c r="G185" s="501"/>
      <c r="H185" s="501"/>
      <c r="I185" s="501"/>
      <c r="J185" s="542">
        <f>+J155+J183</f>
        <v>139466.37</v>
      </c>
      <c r="K185" s="501"/>
      <c r="L185" s="542">
        <f>+L155+L183</f>
        <v>0</v>
      </c>
      <c r="M185" s="501"/>
      <c r="N185" s="543">
        <f>+N155+N183</f>
        <v>0</v>
      </c>
      <c r="O185" s="501"/>
      <c r="P185" s="542">
        <f>+P155+P183</f>
        <v>139466.37</v>
      </c>
      <c r="Q185" s="501"/>
      <c r="R185" s="542">
        <f>+R155+R183</f>
        <v>141290.26</v>
      </c>
      <c r="S185" s="542">
        <f>+S155+S183</f>
        <v>134790.1</v>
      </c>
      <c r="T185" s="542">
        <f>+T155+T183</f>
        <v>139466.37</v>
      </c>
      <c r="U185" s="501"/>
      <c r="V185" s="543">
        <f>+V155+V183</f>
        <v>4676.2700000000004</v>
      </c>
      <c r="W185" s="501"/>
      <c r="X185" s="501"/>
      <c r="Y185" s="501"/>
    </row>
    <row r="186" spans="1:25" s="113" customFormat="1" ht="10.5" customHeight="1" thickTop="1">
      <c r="A186" s="503"/>
      <c r="B186" s="503"/>
      <c r="C186" s="503"/>
      <c r="D186" s="501"/>
      <c r="E186" s="501"/>
      <c r="F186" s="501"/>
      <c r="G186" s="501"/>
      <c r="H186" s="501"/>
      <c r="I186" s="501"/>
      <c r="J186" s="535"/>
      <c r="K186" s="501"/>
      <c r="L186" s="535"/>
      <c r="M186" s="501"/>
      <c r="N186" s="507"/>
      <c r="O186" s="501"/>
      <c r="P186" s="535"/>
      <c r="Q186" s="501"/>
      <c r="R186" s="535"/>
      <c r="S186" s="535"/>
      <c r="T186" s="535"/>
      <c r="U186" s="501"/>
      <c r="V186" s="507"/>
      <c r="W186" s="501"/>
      <c r="X186" s="501"/>
      <c r="Y186" s="501"/>
    </row>
    <row r="187" spans="1:25" s="113" customFormat="1">
      <c r="A187" s="503"/>
      <c r="B187" s="503"/>
      <c r="C187" s="503"/>
      <c r="D187" s="501"/>
      <c r="E187" s="501"/>
      <c r="F187" s="501" t="s">
        <v>1088</v>
      </c>
      <c r="G187" s="501"/>
      <c r="H187" s="501"/>
      <c r="I187" s="501"/>
      <c r="J187" s="535">
        <f>J101-J185</f>
        <v>0</v>
      </c>
      <c r="K187" s="501"/>
      <c r="L187" s="535">
        <f>L101-L185</f>
        <v>0</v>
      </c>
      <c r="M187" s="501"/>
      <c r="N187" s="535">
        <f>N101-N185</f>
        <v>0</v>
      </c>
      <c r="O187" s="501"/>
      <c r="P187" s="535">
        <f>P101-P185</f>
        <v>0</v>
      </c>
      <c r="Q187" s="501"/>
      <c r="R187" s="535">
        <f>R101-R185</f>
        <v>2.3283064365386963E-10</v>
      </c>
      <c r="S187" s="535">
        <f>S101-S185</f>
        <v>4.3655745685100555E-10</v>
      </c>
      <c r="T187" s="535">
        <f>T101-T185</f>
        <v>0</v>
      </c>
      <c r="U187" s="501"/>
      <c r="V187" s="535">
        <f>V101-V185</f>
        <v>-2.9103830456733704E-11</v>
      </c>
      <c r="W187" s="501"/>
      <c r="X187" s="501"/>
      <c r="Y187" s="501"/>
    </row>
    <row r="188" spans="1:25" s="113" customFormat="1">
      <c r="A188" s="503"/>
      <c r="B188" s="503"/>
      <c r="C188" s="503"/>
      <c r="D188" s="501"/>
      <c r="E188" s="501"/>
      <c r="F188" s="504"/>
      <c r="G188" s="501"/>
      <c r="H188" s="503"/>
      <c r="I188" s="503"/>
      <c r="J188" s="546"/>
      <c r="K188" s="503"/>
      <c r="L188" s="503"/>
      <c r="M188" s="503"/>
      <c r="N188" s="503"/>
      <c r="O188" s="503"/>
      <c r="P188" s="503"/>
      <c r="Q188" s="503"/>
      <c r="R188" s="503"/>
      <c r="S188" s="503"/>
      <c r="T188" s="503"/>
      <c r="U188" s="503"/>
      <c r="V188" s="503"/>
      <c r="W188" s="503"/>
      <c r="X188" s="501"/>
      <c r="Y188" s="501"/>
    </row>
    <row r="189" spans="1:25" s="545" customFormat="1" ht="12">
      <c r="A189" s="503"/>
      <c r="B189" s="503"/>
      <c r="C189" s="503"/>
      <c r="D189" s="504"/>
      <c r="E189" s="504"/>
      <c r="F189" s="505"/>
      <c r="G189" s="505"/>
      <c r="H189" s="501"/>
      <c r="I189" s="501"/>
      <c r="J189" s="506"/>
      <c r="K189" s="501"/>
      <c r="L189" s="506"/>
      <c r="M189" s="501"/>
      <c r="N189" s="507"/>
      <c r="O189" s="501"/>
      <c r="P189" s="506"/>
      <c r="Q189" s="501"/>
      <c r="R189" s="506"/>
      <c r="S189" s="506"/>
      <c r="T189" s="506"/>
      <c r="U189" s="501"/>
      <c r="V189" s="507"/>
      <c r="W189" s="501"/>
      <c r="X189" s="501"/>
      <c r="Y189" s="501"/>
    </row>
    <row r="190" spans="1:25" s="547" customFormat="1">
      <c r="A190" s="503"/>
      <c r="B190" s="528"/>
      <c r="C190" s="528"/>
      <c r="D190" s="503"/>
      <c r="E190" s="503"/>
      <c r="F190" s="503"/>
      <c r="G190" s="503"/>
      <c r="H190" s="503"/>
      <c r="I190" s="503"/>
      <c r="J190" s="532"/>
      <c r="K190" s="535"/>
      <c r="L190" s="532"/>
      <c r="M190" s="503"/>
      <c r="N190" s="532"/>
      <c r="O190" s="503"/>
      <c r="P190" s="532"/>
      <c r="Q190" s="503"/>
      <c r="R190" s="532"/>
      <c r="S190" s="532"/>
      <c r="T190" s="532"/>
      <c r="U190" s="503"/>
      <c r="V190" s="532"/>
      <c r="W190" s="503"/>
      <c r="X190" s="503"/>
      <c r="Y190" s="503"/>
    </row>
    <row r="191" spans="1:25" s="113" customFormat="1" outlineLevel="1">
      <c r="A191" s="503"/>
      <c r="B191" s="502" t="s">
        <v>310</v>
      </c>
      <c r="C191" s="503"/>
      <c r="D191" s="548"/>
      <c r="E191" s="548" t="s">
        <v>311</v>
      </c>
      <c r="F191" s="548"/>
      <c r="G191" s="548"/>
      <c r="H191" s="548"/>
      <c r="I191" s="548"/>
      <c r="J191" s="549">
        <f>SUM(J189:J190)</f>
        <v>0</v>
      </c>
      <c r="K191" s="550"/>
      <c r="L191" s="549">
        <f>SUM(L189:L190)</f>
        <v>0</v>
      </c>
      <c r="M191" s="550"/>
      <c r="N191" s="549">
        <f>SUM(N189:N190)</f>
        <v>0</v>
      </c>
      <c r="O191" s="550"/>
      <c r="P191" s="549">
        <f>SUM(P189:P190)</f>
        <v>0</v>
      </c>
      <c r="Q191" s="550"/>
      <c r="R191" s="549">
        <f>SUM(R189:R190)</f>
        <v>0</v>
      </c>
      <c r="S191" s="549">
        <f>SUM(S189:S190)</f>
        <v>0</v>
      </c>
      <c r="T191" s="549">
        <f>SUM(T189:T190)</f>
        <v>0</v>
      </c>
      <c r="U191" s="550"/>
      <c r="V191" s="549">
        <f>SUM(V189:V190)</f>
        <v>0</v>
      </c>
      <c r="W191" s="503"/>
      <c r="X191" s="501"/>
      <c r="Y191" s="501"/>
    </row>
    <row r="192" spans="1:25" outlineLevel="1">
      <c r="A192" s="528"/>
      <c r="B192" s="503"/>
      <c r="C192" s="503"/>
      <c r="D192" s="503"/>
      <c r="E192" s="503"/>
      <c r="F192" s="503"/>
      <c r="G192" s="503"/>
      <c r="H192" s="503"/>
      <c r="I192" s="503"/>
      <c r="J192" s="552"/>
      <c r="K192" s="552"/>
      <c r="L192" s="553"/>
      <c r="M192" s="553"/>
      <c r="N192" s="553"/>
      <c r="O192" s="553"/>
      <c r="P192" s="553"/>
      <c r="Q192" s="553"/>
      <c r="R192" s="553"/>
      <c r="S192" s="553"/>
      <c r="T192" s="553"/>
      <c r="U192" s="553"/>
      <c r="V192" s="553"/>
      <c r="W192" s="503"/>
      <c r="X192" s="503"/>
      <c r="Y192" s="503"/>
    </row>
    <row r="193" spans="1:25" s="109" customFormat="1">
      <c r="A193" s="503" t="s">
        <v>310</v>
      </c>
      <c r="B193" s="548"/>
      <c r="C193" s="548"/>
      <c r="X193" s="503"/>
      <c r="Y193" s="503"/>
    </row>
    <row r="194" spans="1:25">
      <c r="A194" s="551"/>
      <c r="B194" s="503"/>
      <c r="C194" s="503"/>
      <c r="X194" s="503"/>
      <c r="Y194" s="503"/>
    </row>
    <row r="195" spans="1:25">
      <c r="B195" s="503"/>
      <c r="C195" s="503"/>
      <c r="D195" s="503"/>
      <c r="E195" s="503"/>
      <c r="F195" s="503"/>
      <c r="G195" s="503"/>
      <c r="H195" s="503"/>
      <c r="I195" s="503"/>
      <c r="J195" s="503"/>
      <c r="K195" s="503"/>
      <c r="L195" s="503"/>
      <c r="M195" s="503"/>
      <c r="N195" s="503"/>
      <c r="O195" s="503"/>
      <c r="P195" s="503"/>
      <c r="Q195" s="503"/>
      <c r="R195" s="503"/>
      <c r="S195" s="503"/>
      <c r="T195" s="503"/>
      <c r="U195" s="503"/>
      <c r="V195" s="503"/>
      <c r="W195" s="503"/>
      <c r="X195" s="503"/>
      <c r="Y195" s="503"/>
    </row>
    <row r="196" spans="1:25">
      <c r="B196" s="503"/>
      <c r="C196" s="503"/>
      <c r="D196" s="503"/>
      <c r="E196" s="503"/>
      <c r="F196" s="503"/>
      <c r="G196" s="503"/>
      <c r="H196" s="503"/>
      <c r="I196" s="503"/>
      <c r="J196" s="503"/>
      <c r="K196" s="503"/>
      <c r="L196" s="503"/>
      <c r="M196" s="503"/>
      <c r="N196" s="503"/>
      <c r="O196" s="503"/>
      <c r="P196" s="503"/>
      <c r="Q196" s="503"/>
      <c r="R196" s="503"/>
      <c r="S196" s="503"/>
      <c r="T196" s="503"/>
      <c r="U196" s="503"/>
      <c r="V196" s="503"/>
      <c r="W196" s="503"/>
      <c r="X196" s="503"/>
      <c r="Y196" s="503"/>
    </row>
  </sheetData>
  <dataValidations count="1">
    <dataValidation type="list" allowBlank="1" showInputMessage="1" showErrorMessage="1" sqref="V5">
      <formula1>"TRUE,FALSE"</formula1>
    </dataValidation>
  </dataValidations>
  <pageMargins left="0.25" right="0.25" top="0.75" bottom="0.75" header="0.3" footer="0.3"/>
  <pageSetup scale="60" fitToHeight="0" orientation="landscape" errors="blank" horizontalDpi="4294967292" r:id="rId1"/>
  <headerFooter alignWithMargins="0">
    <oddHeader>&amp;R&amp;D - &amp;T</oddHeader>
    <oddFooter>&amp;L&amp;F - &amp;A&amp;RPage &amp;P of &amp;N</oddFooter>
  </headerFooter>
  <rowBreaks count="2" manualBreakCount="2">
    <brk id="79" min="3" max="21" man="1"/>
    <brk id="191" min="3" max="21"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39997558519241921"/>
    <pageSetUpPr fitToPage="1"/>
  </sheetPr>
  <dimension ref="A1:Y196"/>
  <sheetViews>
    <sheetView showGridLines="0" view="pageBreakPreview" topLeftCell="D7" zoomScaleNormal="75" zoomScaleSheetLayoutView="100" workbookViewId="0">
      <pane xSplit="5" ySplit="7" topLeftCell="I105" activePane="bottomRight" state="frozen"/>
      <selection activeCell="AC71" sqref="AC71"/>
      <selection pane="topRight" activeCell="AC71" sqref="AC71"/>
      <selection pane="bottomLeft" activeCell="AC71" sqref="AC71"/>
      <selection pane="bottomRight" activeCell="I121" sqref="I121"/>
    </sheetView>
  </sheetViews>
  <sheetFormatPr defaultColWidth="13.85546875" defaultRowHeight="12.75" outlineLevelRow="1"/>
  <cols>
    <col min="1" max="1" width="116.7109375" style="106" customWidth="1"/>
    <col min="2" max="2" width="16.5703125" style="106" customWidth="1"/>
    <col min="3" max="3" width="12.42578125" style="106" customWidth="1"/>
    <col min="4" max="4" width="6.85546875" style="106" customWidth="1"/>
    <col min="5" max="6" width="2.28515625" style="106" customWidth="1"/>
    <col min="7" max="7" width="27" style="106" customWidth="1"/>
    <col min="8" max="8" width="3.85546875" style="106" customWidth="1"/>
    <col min="9" max="9" width="2" style="106" customWidth="1"/>
    <col min="10" max="10" width="14.42578125" style="106" customWidth="1"/>
    <col min="11" max="11" width="1.28515625" style="106" customWidth="1"/>
    <col min="12" max="12" width="14" style="106" customWidth="1"/>
    <col min="13" max="13" width="1.85546875" style="106" customWidth="1"/>
    <col min="14" max="14" width="8.140625" style="106" customWidth="1"/>
    <col min="15" max="15" width="1.85546875" style="106" customWidth="1"/>
    <col min="16" max="16" width="14.42578125" style="106" customWidth="1"/>
    <col min="17" max="17" width="1.42578125" style="106" customWidth="1"/>
    <col min="18" max="18" width="16.5703125" style="106" customWidth="1"/>
    <col min="19" max="20" width="15.7109375" style="106" customWidth="1"/>
    <col min="21" max="21" width="1.28515625" style="106" customWidth="1"/>
    <col min="22" max="22" width="13.85546875" style="106" customWidth="1"/>
    <col min="23" max="23" width="2.85546875" style="106" customWidth="1"/>
    <col min="24" max="16384" width="13.85546875" style="106"/>
  </cols>
  <sheetData>
    <row r="1" spans="1:25">
      <c r="D1" s="106" t="s">
        <v>179</v>
      </c>
      <c r="E1" s="106" t="s">
        <v>180</v>
      </c>
      <c r="F1" s="107"/>
      <c r="G1" s="108"/>
      <c r="J1" s="106" t="s">
        <v>192</v>
      </c>
      <c r="L1" s="106" t="s">
        <v>974</v>
      </c>
      <c r="N1" s="106" t="s">
        <v>975</v>
      </c>
      <c r="R1" s="500" t="s">
        <v>190</v>
      </c>
      <c r="S1" s="500" t="s">
        <v>191</v>
      </c>
    </row>
    <row r="2" spans="1:25" s="557" customFormat="1" outlineLevel="1">
      <c r="A2" s="554"/>
      <c r="B2" s="502"/>
      <c r="C2" s="503"/>
      <c r="D2" s="555"/>
      <c r="E2" s="555"/>
      <c r="F2" s="556"/>
      <c r="G2" s="556"/>
      <c r="H2" s="554"/>
      <c r="I2" s="554"/>
      <c r="J2" s="506">
        <v>0</v>
      </c>
      <c r="K2" s="554"/>
      <c r="L2" s="506">
        <v>0</v>
      </c>
      <c r="M2" s="554"/>
      <c r="N2" s="507">
        <v>0</v>
      </c>
      <c r="O2" s="554"/>
      <c r="P2" s="506">
        <f>J2+L2+N2</f>
        <v>0</v>
      </c>
      <c r="Q2" s="554"/>
      <c r="R2" s="506">
        <v>0</v>
      </c>
      <c r="S2" s="506">
        <v>0</v>
      </c>
      <c r="T2" s="506">
        <f>P2</f>
        <v>0</v>
      </c>
      <c r="U2" s="554"/>
      <c r="V2" s="507">
        <f>T2-S2</f>
        <v>0</v>
      </c>
      <c r="W2" s="554"/>
      <c r="X2" s="554"/>
    </row>
    <row r="3" spans="1:25">
      <c r="G3" s="108"/>
      <c r="J3" s="106" t="str">
        <f>D9</f>
        <v>2016-12</v>
      </c>
      <c r="L3" s="106" t="str">
        <f>D9</f>
        <v>2016-12</v>
      </c>
      <c r="N3" s="106" t="str">
        <f>YearMonth</f>
        <v>2016-12</v>
      </c>
      <c r="P3" s="106" t="str">
        <f>D9</f>
        <v>2016-12</v>
      </c>
      <c r="R3" s="106" t="str">
        <f>IFERROR(TEXT(EDATE($B$7,MID(LEFT(R1,FIND(")",R1)-1),FIND("(",R1)+1,LEN(R1))),"yyyy-mm"),"")</f>
        <v>2016-10</v>
      </c>
      <c r="S3" s="106" t="str">
        <f>IFERROR(TEXT(EDATE($B$7,MID(LEFT(S1,FIND(")",S1)-1),FIND("(",S1)+1,LEN(S1))),"yyyy-mm"),"")</f>
        <v>2016-11</v>
      </c>
      <c r="T3" s="106" t="str">
        <f>D9</f>
        <v>2016-12</v>
      </c>
    </row>
    <row r="4" spans="1:25">
      <c r="A4" s="106" t="str">
        <f>_xll.jBinder("MarkerCell")</f>
        <v>jBinderOption{MarkerCell}: This cell will be used to note the tab was created from the binder.</v>
      </c>
      <c r="B4" s="106" t="str">
        <f ca="1">_xll.ReportVariable("FinCube",B11:B196,A1:Y1,A2:Y2,_xll.Param("BS"&amp;IF(ExcludeIC=TRUE,",!Eliminated",""),District,System,,,,"*",,RIGHT(YearMonth,2),LEFT(YearMonth,4),,,1,,FALSE))</f>
        <v>OK!: ReportVariable Formula OK [jAction{}]</v>
      </c>
      <c r="G4" s="108"/>
      <c r="J4" s="106" t="s">
        <v>976</v>
      </c>
      <c r="L4" s="106" t="s">
        <v>977</v>
      </c>
      <c r="N4" s="106" t="s">
        <v>975</v>
      </c>
      <c r="P4" s="106" t="s">
        <v>978</v>
      </c>
      <c r="R4" s="106" t="s">
        <v>978</v>
      </c>
      <c r="S4" s="106" t="s">
        <v>978</v>
      </c>
      <c r="T4" s="106" t="s">
        <v>978</v>
      </c>
    </row>
    <row r="5" spans="1:25">
      <c r="A5" s="106" t="str">
        <f>_xll.jBinder("ChooseSegmentListtoIterateThru","Dist")</f>
        <v>jBinderOption{ChooseSegmentListtoIterateThru|Dist}: Option "ChooseSegmentListtoIterateThru" has value "Dist"</v>
      </c>
      <c r="B5" s="106" t="str">
        <f ca="1">_xll.ReportDrill(,"JEQuery_WithStaged",_xll.PairGroup(_xll.PairExt("C:d","Accounts"),_xll.PairExt(System,"Systems","N"),_xll.PairExt("R:3","DateFrom","Y"),_xll.PairExt("R:3","DateTo","Y"),_xll.PairExt(District,"Districts"),_xll.PairExt("","SubSystems","n"),_xll.PairExt("","VendorCode","n"),_xll.PairExt("","AmountFrom","N"),_xll.PairExt("","AmountTo","n"),_xll.PairExt("R:4","Posting","Y")),"Drill To JEQuery")</f>
        <v>OK!: ReportDrill 'Drill To JEQuery' Formula OK [jAction{}]</v>
      </c>
    </row>
    <row r="6" spans="1:25">
      <c r="A6" s="106" t="str">
        <f>_xll.jBinder("CreateSummaryTab","False")</f>
        <v>jBinderOption{CreateSummaryTab|False}: Option "CreateSummaryTab" has value "False"</v>
      </c>
      <c r="B6" s="106" t="str">
        <f ca="1">_xll.ReportDrill(,"JEQuery_WithStaged",_xll.PairGroup(_xll.PairExt("C:a","Accounts"),_xll.PairExt(System,"Systems","N"),_xll.PairExt("R:3","DateFrom","Y"),_xll.PairExt("R:3","DateTo","Y"),_xll.PairExt(District,"Districts"),_xll.PairExt("","SubSystems","n"),_xll.PairExt("","VendorCode","n"),_xll.PairExt("","AmountFrom","N"),_xll.PairExt("","AmountTo","n"),_xll.PairExt("R:4","Posting","Y")),"Drill To JEQuery")</f>
        <v>OK!: ReportDrill 'Drill To JEQuery' Formula OK [jAction{}]</v>
      </c>
    </row>
    <row r="7" spans="1:25" s="559" customFormat="1" ht="15.75">
      <c r="A7" s="106" t="str">
        <f ca="1">_xll.jBinder("Dist",District)</f>
        <v>jBinderOption{Dist||N7}: "Dist" can iterate on cell "N7"</v>
      </c>
      <c r="B7" s="508">
        <f>DATEVALUE(RIGHT(YearMonth,2)&amp;"/1/"&amp;LEFT(YearMonth,4))</f>
        <v>42705</v>
      </c>
      <c r="C7" s="106"/>
      <c r="D7" s="558" t="s">
        <v>193</v>
      </c>
      <c r="L7" s="560" t="s">
        <v>194</v>
      </c>
      <c r="N7" s="561">
        <v>2025</v>
      </c>
      <c r="T7" s="560" t="s">
        <v>196</v>
      </c>
      <c r="U7" s="562"/>
      <c r="V7" s="561"/>
      <c r="X7" s="563"/>
    </row>
    <row r="8" spans="1:25" s="559" customFormat="1" ht="15.75">
      <c r="A8" s="559" t="str">
        <f>_xll.jBinder("TabSuffix","_BS")</f>
        <v>jBinderOption{TabSuffix|_BS}: Option "TabSuffix" has value "_BS"</v>
      </c>
      <c r="B8" s="511"/>
      <c r="C8" s="511"/>
      <c r="D8" s="558" t="s">
        <v>979</v>
      </c>
      <c r="J8" s="564" t="str">
        <f>IF(ISERROR($B$7),"The date cell in D9  must be in YYYY-MM format","")</f>
        <v/>
      </c>
      <c r="N8" s="561"/>
      <c r="T8" s="560" t="s">
        <v>199</v>
      </c>
      <c r="V8" s="565" t="s">
        <v>198</v>
      </c>
    </row>
    <row r="9" spans="1:25" s="559" customFormat="1" ht="15.75">
      <c r="B9" s="511"/>
      <c r="C9" s="511"/>
      <c r="D9" s="566" t="s">
        <v>1089</v>
      </c>
      <c r="J9" s="567" t="s">
        <v>980</v>
      </c>
      <c r="K9" s="568"/>
      <c r="L9" s="567" t="s">
        <v>980</v>
      </c>
      <c r="M9" s="568"/>
      <c r="N9" s="567" t="s">
        <v>980</v>
      </c>
      <c r="O9" s="568"/>
      <c r="P9" s="567" t="s">
        <v>980</v>
      </c>
      <c r="Q9" s="568"/>
      <c r="R9" s="567" t="s">
        <v>980</v>
      </c>
      <c r="S9" s="567" t="s">
        <v>980</v>
      </c>
      <c r="T9" s="567" t="s">
        <v>980</v>
      </c>
    </row>
    <row r="10" spans="1:25" s="559" customFormat="1" ht="15">
      <c r="B10" s="503"/>
      <c r="C10" s="503"/>
      <c r="D10" s="569"/>
      <c r="E10" s="570"/>
      <c r="F10" s="570"/>
      <c r="G10" s="570"/>
      <c r="H10" s="570"/>
      <c r="I10" s="570"/>
      <c r="J10" s="571" t="s">
        <v>981</v>
      </c>
      <c r="K10" s="571"/>
      <c r="L10" s="571"/>
      <c r="M10" s="571"/>
      <c r="N10" s="571"/>
      <c r="O10" s="571"/>
      <c r="P10" s="571"/>
      <c r="Q10" s="570"/>
      <c r="R10" s="571" t="s">
        <v>982</v>
      </c>
      <c r="S10" s="571"/>
      <c r="T10" s="571"/>
      <c r="U10" s="570"/>
      <c r="V10" s="570"/>
      <c r="W10" s="570"/>
      <c r="X10" s="570"/>
      <c r="Y10" s="570"/>
    </row>
    <row r="11" spans="1:25" s="572" customFormat="1">
      <c r="B11" s="503"/>
      <c r="C11" s="503"/>
      <c r="D11" s="570"/>
      <c r="E11" s="570"/>
      <c r="F11" s="570"/>
      <c r="G11" s="570"/>
      <c r="H11" s="570"/>
      <c r="I11" s="570"/>
      <c r="J11" s="570"/>
      <c r="K11" s="570"/>
      <c r="L11" s="570"/>
      <c r="M11" s="570"/>
      <c r="N11" s="570"/>
      <c r="O11" s="570"/>
      <c r="P11" s="570"/>
      <c r="Q11" s="570"/>
      <c r="R11" s="570"/>
      <c r="S11" s="570"/>
      <c r="T11" s="517"/>
      <c r="U11" s="570"/>
      <c r="V11" s="570"/>
      <c r="W11" s="570"/>
      <c r="X11" s="570"/>
      <c r="Y11" s="570"/>
    </row>
    <row r="12" spans="1:25" s="572" customFormat="1">
      <c r="B12" s="503"/>
      <c r="C12" s="503"/>
      <c r="D12" s="570"/>
      <c r="E12" s="570"/>
      <c r="F12" s="570"/>
      <c r="G12" s="570"/>
      <c r="H12" s="570"/>
      <c r="I12" s="570"/>
      <c r="J12" s="570"/>
      <c r="K12" s="570"/>
      <c r="L12" s="518" t="s">
        <v>983</v>
      </c>
      <c r="M12" s="573"/>
      <c r="N12" s="518"/>
      <c r="O12" s="570"/>
      <c r="P12" s="520"/>
      <c r="Q12" s="570"/>
      <c r="R12" s="574"/>
      <c r="S12" s="574"/>
      <c r="T12" s="575" t="s">
        <v>20</v>
      </c>
      <c r="U12" s="570"/>
      <c r="V12" s="576" t="s">
        <v>984</v>
      </c>
      <c r="W12" s="570"/>
      <c r="X12" s="570"/>
      <c r="Y12" s="570"/>
    </row>
    <row r="13" spans="1:25" s="572" customFormat="1" ht="13.5" thickBot="1">
      <c r="B13" s="503"/>
      <c r="C13" s="503"/>
      <c r="D13" s="570"/>
      <c r="E13" s="570"/>
      <c r="F13" s="570"/>
      <c r="G13" s="570"/>
      <c r="H13" s="570"/>
      <c r="I13" s="570"/>
      <c r="J13" s="524" t="s">
        <v>976</v>
      </c>
      <c r="K13" s="570"/>
      <c r="L13" s="524" t="s">
        <v>977</v>
      </c>
      <c r="M13" s="570"/>
      <c r="N13" s="525" t="s">
        <v>975</v>
      </c>
      <c r="O13" s="570"/>
      <c r="P13" s="524" t="s">
        <v>20</v>
      </c>
      <c r="Q13" s="570"/>
      <c r="R13" s="577">
        <f>IFERROR(EDATE(S13,-1),"")</f>
        <v>42644</v>
      </c>
      <c r="S13" s="577">
        <f>IFERROR(EDATE(T13,-1),"")</f>
        <v>42675</v>
      </c>
      <c r="T13" s="577">
        <f>$B$7</f>
        <v>42705</v>
      </c>
      <c r="U13" s="570"/>
      <c r="V13" s="525" t="s">
        <v>985</v>
      </c>
      <c r="W13" s="570"/>
      <c r="X13" s="570"/>
      <c r="Y13" s="570"/>
    </row>
    <row r="14" spans="1:25" s="572" customFormat="1" ht="5.25" customHeight="1">
      <c r="B14" s="503"/>
      <c r="C14" s="503"/>
      <c r="D14" s="570"/>
      <c r="E14" s="570"/>
      <c r="F14" s="578"/>
      <c r="G14" s="570"/>
      <c r="H14" s="570"/>
      <c r="I14" s="570"/>
      <c r="J14" s="567"/>
      <c r="K14" s="570"/>
      <c r="L14" s="567"/>
      <c r="M14" s="570"/>
      <c r="N14" s="567"/>
      <c r="O14" s="570"/>
      <c r="P14" s="567"/>
      <c r="Q14" s="570"/>
      <c r="R14" s="567"/>
      <c r="S14" s="567"/>
      <c r="T14" s="567"/>
      <c r="U14" s="570"/>
      <c r="V14" s="567"/>
      <c r="W14" s="570"/>
      <c r="X14" s="570"/>
      <c r="Y14" s="570"/>
    </row>
    <row r="15" spans="1:25" s="557" customFormat="1" ht="4.5" customHeight="1">
      <c r="B15" s="503"/>
      <c r="C15" s="503"/>
      <c r="D15" s="554"/>
      <c r="E15" s="554"/>
      <c r="F15" s="554"/>
      <c r="G15" s="554"/>
      <c r="H15" s="554"/>
      <c r="I15" s="554"/>
      <c r="J15" s="554"/>
      <c r="K15" s="554"/>
      <c r="L15" s="554"/>
      <c r="M15" s="554"/>
      <c r="N15" s="554"/>
      <c r="O15" s="554"/>
      <c r="P15" s="554"/>
      <c r="Q15" s="570"/>
      <c r="R15" s="554"/>
      <c r="S15" s="554"/>
      <c r="T15" s="554"/>
      <c r="U15" s="554"/>
      <c r="V15" s="554"/>
      <c r="W15" s="554"/>
      <c r="X15" s="554"/>
      <c r="Y15" s="554"/>
    </row>
    <row r="16" spans="1:25" s="557" customFormat="1" outlineLevel="1">
      <c r="A16" s="554"/>
      <c r="B16" s="502" t="s">
        <v>886</v>
      </c>
      <c r="C16" s="503"/>
      <c r="D16" s="555">
        <v>10001</v>
      </c>
      <c r="E16" s="555" t="s">
        <v>1090</v>
      </c>
      <c r="F16" s="556"/>
      <c r="G16" s="556"/>
      <c r="H16" s="554"/>
      <c r="I16" s="554"/>
      <c r="J16" s="506">
        <v>0</v>
      </c>
      <c r="K16" s="554"/>
      <c r="L16" s="506">
        <v>0</v>
      </c>
      <c r="M16" s="554"/>
      <c r="N16" s="507">
        <v>0</v>
      </c>
      <c r="O16" s="554"/>
      <c r="P16" s="506">
        <f t="shared" ref="P16:P26" si="0">J16+L16+N16</f>
        <v>0</v>
      </c>
      <c r="Q16" s="554"/>
      <c r="R16" s="506">
        <v>0</v>
      </c>
      <c r="S16" s="506">
        <v>0</v>
      </c>
      <c r="T16" s="506">
        <f t="shared" ref="T16:T26" si="1">P16</f>
        <v>0</v>
      </c>
      <c r="U16" s="554"/>
      <c r="V16" s="507">
        <f t="shared" ref="V16:V26" si="2">T16-S16</f>
        <v>0</v>
      </c>
      <c r="W16" s="554"/>
      <c r="X16" s="554"/>
    </row>
    <row r="17" spans="1:25" s="557" customFormat="1" outlineLevel="1">
      <c r="A17" s="554"/>
      <c r="B17" s="502" t="s">
        <v>206</v>
      </c>
      <c r="C17" s="503"/>
      <c r="D17" s="555">
        <v>10050</v>
      </c>
      <c r="E17" s="555" t="s">
        <v>986</v>
      </c>
      <c r="F17" s="556"/>
      <c r="G17" s="556"/>
      <c r="H17" s="554"/>
      <c r="I17" s="554"/>
      <c r="J17" s="506">
        <v>698.25</v>
      </c>
      <c r="K17" s="554"/>
      <c r="L17" s="506">
        <v>0</v>
      </c>
      <c r="M17" s="554"/>
      <c r="N17" s="507">
        <v>0</v>
      </c>
      <c r="O17" s="554"/>
      <c r="P17" s="506">
        <f t="shared" si="0"/>
        <v>698.25</v>
      </c>
      <c r="Q17" s="554"/>
      <c r="R17" s="506">
        <v>-1192.78</v>
      </c>
      <c r="S17" s="506">
        <v>75</v>
      </c>
      <c r="T17" s="506">
        <f t="shared" si="1"/>
        <v>698.25</v>
      </c>
      <c r="U17" s="554"/>
      <c r="V17" s="507">
        <f t="shared" si="2"/>
        <v>623.25</v>
      </c>
      <c r="W17" s="554"/>
      <c r="X17" s="554"/>
    </row>
    <row r="18" spans="1:25" s="557" customFormat="1" outlineLevel="1">
      <c r="A18" s="554"/>
      <c r="B18" s="502" t="s">
        <v>206</v>
      </c>
      <c r="C18" s="503"/>
      <c r="D18" s="555">
        <v>10070</v>
      </c>
      <c r="E18" s="555" t="s">
        <v>987</v>
      </c>
      <c r="F18" s="556"/>
      <c r="G18" s="556"/>
      <c r="H18" s="554"/>
      <c r="I18" s="554"/>
      <c r="J18" s="506">
        <v>-15024.4</v>
      </c>
      <c r="K18" s="554"/>
      <c r="L18" s="506">
        <v>0</v>
      </c>
      <c r="M18" s="554"/>
      <c r="N18" s="507">
        <v>0</v>
      </c>
      <c r="O18" s="554"/>
      <c r="P18" s="506">
        <f t="shared" si="0"/>
        <v>-15024.4</v>
      </c>
      <c r="Q18" s="554"/>
      <c r="R18" s="506">
        <v>-15024.4</v>
      </c>
      <c r="S18" s="506">
        <v>-15024.4</v>
      </c>
      <c r="T18" s="506">
        <f t="shared" si="1"/>
        <v>-15024.4</v>
      </c>
      <c r="U18" s="554"/>
      <c r="V18" s="507">
        <f t="shared" si="2"/>
        <v>0</v>
      </c>
      <c r="W18" s="554"/>
      <c r="X18" s="554"/>
    </row>
    <row r="19" spans="1:25" s="557" customFormat="1" outlineLevel="1">
      <c r="A19" s="554"/>
      <c r="B19" s="502" t="s">
        <v>206</v>
      </c>
      <c r="C19" s="503"/>
      <c r="D19" s="555">
        <v>10071</v>
      </c>
      <c r="E19" s="555" t="s">
        <v>988</v>
      </c>
      <c r="F19" s="556"/>
      <c r="G19" s="556"/>
      <c r="H19" s="554"/>
      <c r="I19" s="554"/>
      <c r="J19" s="506">
        <v>15024.4</v>
      </c>
      <c r="K19" s="554"/>
      <c r="L19" s="506">
        <v>0</v>
      </c>
      <c r="M19" s="554"/>
      <c r="N19" s="507">
        <v>0</v>
      </c>
      <c r="O19" s="554"/>
      <c r="P19" s="506">
        <f t="shared" si="0"/>
        <v>15024.4</v>
      </c>
      <c r="Q19" s="554"/>
      <c r="R19" s="506">
        <v>15024.4</v>
      </c>
      <c r="S19" s="506">
        <v>15024.4</v>
      </c>
      <c r="T19" s="506">
        <f t="shared" si="1"/>
        <v>15024.4</v>
      </c>
      <c r="U19" s="554"/>
      <c r="V19" s="507">
        <f t="shared" si="2"/>
        <v>0</v>
      </c>
      <c r="W19" s="554"/>
      <c r="X19" s="554"/>
    </row>
    <row r="20" spans="1:25" s="557" customFormat="1" outlineLevel="1">
      <c r="A20" s="554"/>
      <c r="B20" s="502" t="s">
        <v>206</v>
      </c>
      <c r="C20" s="503"/>
      <c r="D20" s="555">
        <v>10092</v>
      </c>
      <c r="E20" s="555" t="s">
        <v>989</v>
      </c>
      <c r="F20" s="556"/>
      <c r="G20" s="556"/>
      <c r="H20" s="554"/>
      <c r="I20" s="554"/>
      <c r="J20" s="506">
        <v>0</v>
      </c>
      <c r="K20" s="554"/>
      <c r="L20" s="506">
        <v>0</v>
      </c>
      <c r="M20" s="554"/>
      <c r="N20" s="507">
        <v>0</v>
      </c>
      <c r="O20" s="554"/>
      <c r="P20" s="506">
        <f t="shared" si="0"/>
        <v>0</v>
      </c>
      <c r="Q20" s="554"/>
      <c r="R20" s="506">
        <v>0</v>
      </c>
      <c r="S20" s="506">
        <v>0</v>
      </c>
      <c r="T20" s="506">
        <f t="shared" si="1"/>
        <v>0</v>
      </c>
      <c r="U20" s="554"/>
      <c r="V20" s="507">
        <f t="shared" si="2"/>
        <v>0</v>
      </c>
      <c r="W20" s="554"/>
      <c r="X20" s="554"/>
    </row>
    <row r="21" spans="1:25" s="557" customFormat="1" outlineLevel="1">
      <c r="A21" s="554"/>
      <c r="B21" s="502" t="s">
        <v>206</v>
      </c>
      <c r="C21" s="503"/>
      <c r="D21" s="555">
        <v>10093</v>
      </c>
      <c r="E21" s="555" t="s">
        <v>990</v>
      </c>
      <c r="F21" s="556"/>
      <c r="G21" s="556"/>
      <c r="H21" s="554"/>
      <c r="I21" s="554"/>
      <c r="J21" s="506">
        <v>0</v>
      </c>
      <c r="K21" s="554"/>
      <c r="L21" s="506">
        <v>0</v>
      </c>
      <c r="M21" s="554"/>
      <c r="N21" s="507">
        <v>0</v>
      </c>
      <c r="O21" s="554"/>
      <c r="P21" s="506">
        <f t="shared" si="0"/>
        <v>0</v>
      </c>
      <c r="Q21" s="554"/>
      <c r="R21" s="506">
        <v>0</v>
      </c>
      <c r="S21" s="506">
        <v>0</v>
      </c>
      <c r="T21" s="506">
        <f t="shared" si="1"/>
        <v>0</v>
      </c>
      <c r="U21" s="554"/>
      <c r="V21" s="507">
        <f t="shared" si="2"/>
        <v>0</v>
      </c>
      <c r="W21" s="554"/>
      <c r="X21" s="554"/>
    </row>
    <row r="22" spans="1:25" s="557" customFormat="1" outlineLevel="1">
      <c r="A22" s="554"/>
      <c r="B22" s="502" t="s">
        <v>206</v>
      </c>
      <c r="C22" s="503"/>
      <c r="D22" s="555">
        <v>10095</v>
      </c>
      <c r="E22" s="555" t="s">
        <v>991</v>
      </c>
      <c r="F22" s="556"/>
      <c r="G22" s="556"/>
      <c r="H22" s="554"/>
      <c r="I22" s="554"/>
      <c r="J22" s="506">
        <v>551.04999999999995</v>
      </c>
      <c r="K22" s="554"/>
      <c r="L22" s="506">
        <v>0</v>
      </c>
      <c r="M22" s="554"/>
      <c r="N22" s="507">
        <v>0</v>
      </c>
      <c r="O22" s="554"/>
      <c r="P22" s="506">
        <f t="shared" si="0"/>
        <v>551.04999999999995</v>
      </c>
      <c r="Q22" s="554"/>
      <c r="R22" s="506">
        <v>453.9</v>
      </c>
      <c r="S22" s="506">
        <v>551.04999999999995</v>
      </c>
      <c r="T22" s="506">
        <f t="shared" si="1"/>
        <v>551.04999999999995</v>
      </c>
      <c r="U22" s="554"/>
      <c r="V22" s="507">
        <f t="shared" si="2"/>
        <v>0</v>
      </c>
      <c r="W22" s="554"/>
      <c r="X22" s="554"/>
    </row>
    <row r="23" spans="1:25" s="557" customFormat="1" outlineLevel="1">
      <c r="A23" s="554"/>
      <c r="B23" s="502" t="s">
        <v>206</v>
      </c>
      <c r="C23" s="503"/>
      <c r="D23" s="555">
        <v>10096</v>
      </c>
      <c r="E23" s="555" t="s">
        <v>992</v>
      </c>
      <c r="F23" s="556"/>
      <c r="G23" s="556"/>
      <c r="H23" s="554"/>
      <c r="I23" s="554"/>
      <c r="J23" s="506">
        <v>0</v>
      </c>
      <c r="K23" s="554"/>
      <c r="L23" s="506">
        <v>0</v>
      </c>
      <c r="M23" s="554"/>
      <c r="N23" s="507">
        <v>0</v>
      </c>
      <c r="O23" s="554"/>
      <c r="P23" s="506">
        <f t="shared" si="0"/>
        <v>0</v>
      </c>
      <c r="Q23" s="554"/>
      <c r="R23" s="506">
        <v>0</v>
      </c>
      <c r="S23" s="506">
        <v>0</v>
      </c>
      <c r="T23" s="506">
        <f t="shared" si="1"/>
        <v>0</v>
      </c>
      <c r="U23" s="554"/>
      <c r="V23" s="507">
        <f t="shared" si="2"/>
        <v>0</v>
      </c>
      <c r="W23" s="554"/>
      <c r="X23" s="554"/>
    </row>
    <row r="24" spans="1:25" s="557" customFormat="1" outlineLevel="1">
      <c r="A24" s="554"/>
      <c r="B24" s="502" t="s">
        <v>206</v>
      </c>
      <c r="C24" s="503"/>
      <c r="D24" s="555">
        <v>10097</v>
      </c>
      <c r="E24" s="555" t="s">
        <v>993</v>
      </c>
      <c r="F24" s="556"/>
      <c r="G24" s="556"/>
      <c r="H24" s="554"/>
      <c r="I24" s="554"/>
      <c r="J24" s="506">
        <v>0</v>
      </c>
      <c r="K24" s="554"/>
      <c r="L24" s="506">
        <v>0</v>
      </c>
      <c r="M24" s="554"/>
      <c r="N24" s="507">
        <v>0</v>
      </c>
      <c r="O24" s="554"/>
      <c r="P24" s="506">
        <f t="shared" si="0"/>
        <v>0</v>
      </c>
      <c r="Q24" s="554"/>
      <c r="R24" s="506">
        <v>-2349.41</v>
      </c>
      <c r="S24" s="506">
        <v>-3866.24</v>
      </c>
      <c r="T24" s="506">
        <f t="shared" si="1"/>
        <v>0</v>
      </c>
      <c r="U24" s="554"/>
      <c r="V24" s="507">
        <f t="shared" si="2"/>
        <v>3866.24</v>
      </c>
      <c r="W24" s="554"/>
      <c r="X24" s="554"/>
    </row>
    <row r="25" spans="1:25" s="557" customFormat="1" outlineLevel="1">
      <c r="A25" s="554"/>
      <c r="B25" s="502" t="s">
        <v>206</v>
      </c>
      <c r="C25" s="503"/>
      <c r="D25" s="555">
        <v>10098</v>
      </c>
      <c r="E25" s="555" t="s">
        <v>994</v>
      </c>
      <c r="F25" s="556"/>
      <c r="G25" s="556"/>
      <c r="H25" s="554"/>
      <c r="I25" s="554"/>
      <c r="J25" s="506">
        <v>0</v>
      </c>
      <c r="K25" s="554"/>
      <c r="L25" s="506">
        <v>0</v>
      </c>
      <c r="M25" s="554"/>
      <c r="N25" s="507">
        <v>0</v>
      </c>
      <c r="O25" s="554"/>
      <c r="P25" s="506">
        <f t="shared" si="0"/>
        <v>0</v>
      </c>
      <c r="Q25" s="554"/>
      <c r="R25" s="506">
        <v>0</v>
      </c>
      <c r="S25" s="506">
        <v>0</v>
      </c>
      <c r="T25" s="506">
        <f t="shared" si="1"/>
        <v>0</v>
      </c>
      <c r="U25" s="554"/>
      <c r="V25" s="507">
        <f t="shared" si="2"/>
        <v>0</v>
      </c>
      <c r="W25" s="554"/>
      <c r="X25" s="554"/>
    </row>
    <row r="26" spans="1:25" s="557" customFormat="1" outlineLevel="1">
      <c r="A26" s="554"/>
      <c r="B26" s="502" t="s">
        <v>206</v>
      </c>
      <c r="C26" s="503"/>
      <c r="D26" s="555">
        <v>10099</v>
      </c>
      <c r="E26" s="555" t="s">
        <v>995</v>
      </c>
      <c r="F26" s="556"/>
      <c r="G26" s="556"/>
      <c r="H26" s="554"/>
      <c r="I26" s="554"/>
      <c r="J26" s="506">
        <v>-283.5</v>
      </c>
      <c r="K26" s="554"/>
      <c r="L26" s="506">
        <v>0</v>
      </c>
      <c r="M26" s="554"/>
      <c r="N26" s="507">
        <v>0</v>
      </c>
      <c r="O26" s="554"/>
      <c r="P26" s="506">
        <f t="shared" si="0"/>
        <v>-283.5</v>
      </c>
      <c r="Q26" s="554"/>
      <c r="R26" s="506">
        <v>-283.5</v>
      </c>
      <c r="S26" s="506">
        <v>-283.5</v>
      </c>
      <c r="T26" s="506">
        <f t="shared" si="1"/>
        <v>-283.5</v>
      </c>
      <c r="U26" s="554"/>
      <c r="V26" s="507">
        <f t="shared" si="2"/>
        <v>0</v>
      </c>
      <c r="W26" s="554"/>
      <c r="X26" s="554"/>
    </row>
    <row r="27" spans="1:25" s="557" customFormat="1" ht="4.5" customHeight="1" outlineLevel="1">
      <c r="A27" s="154"/>
      <c r="B27" s="528" t="s">
        <v>198</v>
      </c>
      <c r="C27" s="528"/>
      <c r="D27" s="554"/>
      <c r="E27" s="554"/>
      <c r="F27" s="554"/>
      <c r="G27" s="554"/>
      <c r="H27" s="554"/>
      <c r="I27" s="554"/>
      <c r="J27" s="579"/>
      <c r="K27" s="554"/>
      <c r="L27" s="579"/>
      <c r="M27" s="554"/>
      <c r="N27" s="579"/>
      <c r="O27" s="554"/>
      <c r="P27" s="579"/>
      <c r="Q27" s="554"/>
      <c r="R27" s="579"/>
      <c r="S27" s="579"/>
      <c r="T27" s="579"/>
      <c r="U27" s="554"/>
      <c r="V27" s="579"/>
      <c r="W27" s="554"/>
      <c r="X27" s="554"/>
      <c r="Y27" s="554"/>
    </row>
    <row r="28" spans="1:25" s="557" customFormat="1">
      <c r="A28" s="503" t="s">
        <v>886</v>
      </c>
      <c r="B28" s="503" t="s">
        <v>198</v>
      </c>
      <c r="C28" s="503"/>
      <c r="D28" s="554"/>
      <c r="E28" s="554"/>
      <c r="F28" s="554" t="s">
        <v>996</v>
      </c>
      <c r="G28" s="554"/>
      <c r="H28" s="554"/>
      <c r="I28" s="554"/>
      <c r="J28" s="530">
        <f>SUM(J16:J27)</f>
        <v>965.8</v>
      </c>
      <c r="K28" s="554"/>
      <c r="L28" s="530">
        <f>SUM(L16:L27)</f>
        <v>0</v>
      </c>
      <c r="M28" s="554"/>
      <c r="N28" s="531">
        <f>SUM(N16:N27)</f>
        <v>0</v>
      </c>
      <c r="O28" s="554"/>
      <c r="P28" s="530">
        <f t="shared" ref="P28:P36" si="3">J28+L28+N28</f>
        <v>965.8</v>
      </c>
      <c r="Q28" s="554"/>
      <c r="R28" s="530">
        <f>SUM(R16:R27)</f>
        <v>-3371.7900000000004</v>
      </c>
      <c r="S28" s="530">
        <f>SUM(S16:S27)</f>
        <v>-3523.6899999999996</v>
      </c>
      <c r="T28" s="530">
        <f>SUM(T16:T27)</f>
        <v>965.8</v>
      </c>
      <c r="U28" s="554"/>
      <c r="V28" s="531">
        <f>SUM(V16:V27)</f>
        <v>4489.49</v>
      </c>
      <c r="W28" s="554"/>
      <c r="X28" s="554"/>
      <c r="Y28" s="554"/>
    </row>
    <row r="29" spans="1:25" s="557" customFormat="1" outlineLevel="1">
      <c r="A29" s="554"/>
      <c r="B29" s="502" t="s">
        <v>888</v>
      </c>
      <c r="C29" s="503"/>
      <c r="D29" s="555">
        <v>11500</v>
      </c>
      <c r="E29" s="555" t="s">
        <v>1091</v>
      </c>
      <c r="F29" s="556"/>
      <c r="G29" s="556"/>
      <c r="H29" s="554"/>
      <c r="I29" s="554"/>
      <c r="J29" s="506">
        <v>0</v>
      </c>
      <c r="K29" s="554"/>
      <c r="L29" s="506">
        <v>0</v>
      </c>
      <c r="M29" s="554"/>
      <c r="N29" s="507">
        <v>0</v>
      </c>
      <c r="O29" s="554"/>
      <c r="P29" s="506">
        <f t="shared" si="3"/>
        <v>0</v>
      </c>
      <c r="Q29" s="554"/>
      <c r="R29" s="506">
        <v>0</v>
      </c>
      <c r="S29" s="506">
        <v>0</v>
      </c>
      <c r="T29" s="506">
        <f t="shared" ref="T29:T36" si="4">P29</f>
        <v>0</v>
      </c>
      <c r="U29" s="554"/>
      <c r="V29" s="507">
        <f t="shared" ref="V29:V36" si="5">T29-S29</f>
        <v>0</v>
      </c>
      <c r="W29" s="554"/>
      <c r="X29" s="554"/>
    </row>
    <row r="30" spans="1:25" s="557" customFormat="1" outlineLevel="1">
      <c r="A30" s="554"/>
      <c r="B30" s="502" t="s">
        <v>206</v>
      </c>
      <c r="C30" s="503"/>
      <c r="D30" s="555">
        <v>11501</v>
      </c>
      <c r="E30" s="555" t="s">
        <v>997</v>
      </c>
      <c r="F30" s="556"/>
      <c r="G30" s="556"/>
      <c r="H30" s="554"/>
      <c r="I30" s="554"/>
      <c r="J30" s="506">
        <v>116857.4</v>
      </c>
      <c r="K30" s="554"/>
      <c r="L30" s="506">
        <v>0</v>
      </c>
      <c r="M30" s="554"/>
      <c r="N30" s="507">
        <v>0</v>
      </c>
      <c r="O30" s="554"/>
      <c r="P30" s="506">
        <f t="shared" si="3"/>
        <v>116857.4</v>
      </c>
      <c r="Q30" s="554"/>
      <c r="R30" s="506">
        <v>116313.82</v>
      </c>
      <c r="S30" s="506">
        <v>113511.02</v>
      </c>
      <c r="T30" s="506">
        <f t="shared" si="4"/>
        <v>116857.4</v>
      </c>
      <c r="U30" s="554"/>
      <c r="V30" s="507">
        <f t="shared" si="5"/>
        <v>3346.3799999999901</v>
      </c>
      <c r="W30" s="554"/>
      <c r="X30" s="554"/>
    </row>
    <row r="31" spans="1:25" s="557" customFormat="1" outlineLevel="1">
      <c r="A31" s="554"/>
      <c r="B31" s="502" t="s">
        <v>206</v>
      </c>
      <c r="C31" s="503"/>
      <c r="D31" s="555">
        <v>11502</v>
      </c>
      <c r="E31" s="555" t="s">
        <v>998</v>
      </c>
      <c r="F31" s="556"/>
      <c r="G31" s="556"/>
      <c r="H31" s="554"/>
      <c r="I31" s="554"/>
      <c r="J31" s="506">
        <v>-17</v>
      </c>
      <c r="K31" s="554"/>
      <c r="L31" s="506">
        <v>0</v>
      </c>
      <c r="M31" s="554"/>
      <c r="N31" s="507">
        <v>0</v>
      </c>
      <c r="O31" s="554"/>
      <c r="P31" s="506">
        <f t="shared" si="3"/>
        <v>-17</v>
      </c>
      <c r="Q31" s="554"/>
      <c r="R31" s="506">
        <v>0</v>
      </c>
      <c r="S31" s="506">
        <v>-20</v>
      </c>
      <c r="T31" s="506">
        <f t="shared" si="4"/>
        <v>-17</v>
      </c>
      <c r="U31" s="554"/>
      <c r="V31" s="507">
        <f t="shared" si="5"/>
        <v>3</v>
      </c>
      <c r="W31" s="554"/>
      <c r="X31" s="554"/>
    </row>
    <row r="32" spans="1:25" s="557" customFormat="1" outlineLevel="1">
      <c r="A32" s="554"/>
      <c r="B32" s="502" t="s">
        <v>206</v>
      </c>
      <c r="C32" s="503"/>
      <c r="D32" s="555">
        <v>11510</v>
      </c>
      <c r="E32" s="555" t="s">
        <v>999</v>
      </c>
      <c r="F32" s="556"/>
      <c r="G32" s="556"/>
      <c r="H32" s="554"/>
      <c r="I32" s="554"/>
      <c r="J32" s="506">
        <v>1198.26</v>
      </c>
      <c r="K32" s="554"/>
      <c r="L32" s="506">
        <v>0</v>
      </c>
      <c r="M32" s="554"/>
      <c r="N32" s="507">
        <v>0</v>
      </c>
      <c r="O32" s="554"/>
      <c r="P32" s="506">
        <f t="shared" si="3"/>
        <v>1198.26</v>
      </c>
      <c r="Q32" s="554"/>
      <c r="R32" s="506">
        <v>201.87</v>
      </c>
      <c r="S32" s="506">
        <v>142.55000000000001</v>
      </c>
      <c r="T32" s="506">
        <f t="shared" si="4"/>
        <v>1198.26</v>
      </c>
      <c r="U32" s="554"/>
      <c r="V32" s="507">
        <f t="shared" si="5"/>
        <v>1055.71</v>
      </c>
      <c r="W32" s="554"/>
      <c r="X32" s="554"/>
    </row>
    <row r="33" spans="1:25" s="557" customFormat="1" outlineLevel="1">
      <c r="A33" s="554"/>
      <c r="B33" s="502" t="s">
        <v>206</v>
      </c>
      <c r="C33" s="503"/>
      <c r="D33" s="555">
        <v>11901</v>
      </c>
      <c r="E33" s="555" t="s">
        <v>1001</v>
      </c>
      <c r="F33" s="556"/>
      <c r="G33" s="556"/>
      <c r="H33" s="554"/>
      <c r="I33" s="554"/>
      <c r="J33" s="506">
        <v>-15853.12</v>
      </c>
      <c r="K33" s="554"/>
      <c r="L33" s="506">
        <v>0</v>
      </c>
      <c r="M33" s="554"/>
      <c r="N33" s="507">
        <v>0</v>
      </c>
      <c r="O33" s="554"/>
      <c r="P33" s="506">
        <f t="shared" si="3"/>
        <v>-15853.12</v>
      </c>
      <c r="Q33" s="554"/>
      <c r="R33" s="506">
        <v>-14572.34</v>
      </c>
      <c r="S33" s="506">
        <v>-15200.16</v>
      </c>
      <c r="T33" s="506">
        <f t="shared" si="4"/>
        <v>-15853.12</v>
      </c>
      <c r="U33" s="554"/>
      <c r="V33" s="507">
        <f t="shared" si="5"/>
        <v>-652.96000000000095</v>
      </c>
      <c r="W33" s="554"/>
      <c r="X33" s="554"/>
    </row>
    <row r="34" spans="1:25" s="557" customFormat="1" outlineLevel="1">
      <c r="A34" s="554"/>
      <c r="B34" s="502" t="s">
        <v>206</v>
      </c>
      <c r="C34" s="503"/>
      <c r="D34" s="555">
        <v>11902</v>
      </c>
      <c r="E34" s="555" t="s">
        <v>1002</v>
      </c>
      <c r="F34" s="556"/>
      <c r="G34" s="556"/>
      <c r="H34" s="554"/>
      <c r="I34" s="554"/>
      <c r="J34" s="506">
        <v>20032.21</v>
      </c>
      <c r="K34" s="554"/>
      <c r="L34" s="506">
        <v>0</v>
      </c>
      <c r="M34" s="554"/>
      <c r="N34" s="507">
        <v>0</v>
      </c>
      <c r="O34" s="554"/>
      <c r="P34" s="506">
        <f t="shared" si="3"/>
        <v>20032.21</v>
      </c>
      <c r="Q34" s="554"/>
      <c r="R34" s="506">
        <v>18510.21</v>
      </c>
      <c r="S34" s="506">
        <v>19202.919999999998</v>
      </c>
      <c r="T34" s="506">
        <f t="shared" si="4"/>
        <v>20032.21</v>
      </c>
      <c r="U34" s="554"/>
      <c r="V34" s="507">
        <f t="shared" si="5"/>
        <v>829.29000000000087</v>
      </c>
      <c r="W34" s="554"/>
      <c r="X34" s="554"/>
    </row>
    <row r="35" spans="1:25" s="557" customFormat="1" outlineLevel="1">
      <c r="A35" s="554"/>
      <c r="B35" s="502" t="s">
        <v>206</v>
      </c>
      <c r="C35" s="503"/>
      <c r="D35" s="555">
        <v>11903</v>
      </c>
      <c r="E35" s="555" t="s">
        <v>1003</v>
      </c>
      <c r="F35" s="556"/>
      <c r="G35" s="556"/>
      <c r="H35" s="554"/>
      <c r="I35" s="554"/>
      <c r="J35" s="506">
        <v>-4770.62</v>
      </c>
      <c r="K35" s="554"/>
      <c r="L35" s="506">
        <v>0</v>
      </c>
      <c r="M35" s="554"/>
      <c r="N35" s="507">
        <v>0</v>
      </c>
      <c r="O35" s="554"/>
      <c r="P35" s="506">
        <f t="shared" si="3"/>
        <v>-4770.62</v>
      </c>
      <c r="Q35" s="554"/>
      <c r="R35" s="506">
        <v>-4405.6000000000004</v>
      </c>
      <c r="S35" s="506">
        <v>-4707.1000000000004</v>
      </c>
      <c r="T35" s="506">
        <f t="shared" si="4"/>
        <v>-4770.62</v>
      </c>
      <c r="U35" s="554"/>
      <c r="V35" s="507">
        <f t="shared" si="5"/>
        <v>-63.519999999999527</v>
      </c>
      <c r="W35" s="554"/>
      <c r="X35" s="554"/>
    </row>
    <row r="36" spans="1:25" s="557" customFormat="1" outlineLevel="1">
      <c r="A36" s="554"/>
      <c r="B36" s="502" t="s">
        <v>206</v>
      </c>
      <c r="C36" s="503"/>
      <c r="D36" s="555">
        <v>11905</v>
      </c>
      <c r="E36" s="555" t="s">
        <v>1092</v>
      </c>
      <c r="F36" s="556"/>
      <c r="G36" s="556"/>
      <c r="H36" s="554"/>
      <c r="I36" s="554"/>
      <c r="J36" s="506">
        <v>0</v>
      </c>
      <c r="K36" s="554"/>
      <c r="L36" s="506">
        <v>0</v>
      </c>
      <c r="M36" s="554"/>
      <c r="N36" s="507">
        <v>0</v>
      </c>
      <c r="O36" s="554"/>
      <c r="P36" s="506">
        <f t="shared" si="3"/>
        <v>0</v>
      </c>
      <c r="Q36" s="554"/>
      <c r="R36" s="506">
        <v>0</v>
      </c>
      <c r="S36" s="506">
        <v>0</v>
      </c>
      <c r="T36" s="506">
        <f t="shared" si="4"/>
        <v>0</v>
      </c>
      <c r="U36" s="554"/>
      <c r="V36" s="507">
        <f t="shared" si="5"/>
        <v>0</v>
      </c>
      <c r="W36" s="554"/>
      <c r="X36" s="554"/>
    </row>
    <row r="37" spans="1:25" s="557" customFormat="1" ht="5.0999999999999996" customHeight="1" outlineLevel="1">
      <c r="A37" s="503" t="s">
        <v>198</v>
      </c>
      <c r="B37" s="528" t="s">
        <v>198</v>
      </c>
      <c r="C37" s="528"/>
      <c r="D37" s="556"/>
      <c r="E37" s="556"/>
      <c r="F37" s="556"/>
      <c r="G37" s="556"/>
      <c r="H37" s="554"/>
      <c r="I37" s="554"/>
      <c r="J37" s="532"/>
      <c r="K37" s="554"/>
      <c r="L37" s="532"/>
      <c r="M37" s="554"/>
      <c r="N37" s="533"/>
      <c r="O37" s="554"/>
      <c r="P37" s="532"/>
      <c r="Q37" s="554"/>
      <c r="R37" s="532"/>
      <c r="S37" s="532"/>
      <c r="T37" s="532"/>
      <c r="U37" s="554"/>
      <c r="V37" s="533"/>
      <c r="W37" s="554"/>
      <c r="X37" s="554"/>
      <c r="Y37" s="554"/>
    </row>
    <row r="38" spans="1:25" s="557" customFormat="1">
      <c r="A38" s="503" t="s">
        <v>888</v>
      </c>
      <c r="B38" s="503" t="s">
        <v>198</v>
      </c>
      <c r="C38" s="503"/>
      <c r="D38" s="554"/>
      <c r="E38" s="554"/>
      <c r="F38" s="555" t="s">
        <v>1004</v>
      </c>
      <c r="G38" s="554"/>
      <c r="H38" s="554"/>
      <c r="I38" s="554"/>
      <c r="J38" s="530">
        <f>SUM(J29:J37)</f>
        <v>117447.13</v>
      </c>
      <c r="K38" s="554"/>
      <c r="L38" s="530">
        <f>SUM(L29:L37)</f>
        <v>0</v>
      </c>
      <c r="M38" s="554"/>
      <c r="N38" s="531">
        <f>SUM(N29:N37)</f>
        <v>0</v>
      </c>
      <c r="O38" s="554"/>
      <c r="P38" s="530">
        <f>J38+L38+N38</f>
        <v>117447.13</v>
      </c>
      <c r="Q38" s="554"/>
      <c r="R38" s="530">
        <f>SUM(R29:R37)</f>
        <v>116047.95999999999</v>
      </c>
      <c r="S38" s="530">
        <f>SUM(S29:S37)</f>
        <v>112929.23</v>
      </c>
      <c r="T38" s="530">
        <f>SUM(T29:T37)</f>
        <v>117447.13</v>
      </c>
      <c r="U38" s="554"/>
      <c r="V38" s="531">
        <f>SUM(V29:V37)</f>
        <v>4517.8999999999905</v>
      </c>
      <c r="W38" s="554"/>
      <c r="X38" s="554"/>
      <c r="Y38" s="554"/>
    </row>
    <row r="39" spans="1:25" s="557" customFormat="1" outlineLevel="1">
      <c r="A39" s="554"/>
      <c r="B39" s="502" t="s">
        <v>892</v>
      </c>
      <c r="C39" s="503"/>
      <c r="D39" s="555">
        <v>12005</v>
      </c>
      <c r="E39" s="555" t="s">
        <v>1093</v>
      </c>
      <c r="F39" s="556"/>
      <c r="G39" s="556"/>
      <c r="H39" s="554"/>
      <c r="I39" s="554"/>
      <c r="J39" s="506">
        <v>0</v>
      </c>
      <c r="K39" s="554"/>
      <c r="L39" s="506">
        <v>0</v>
      </c>
      <c r="M39" s="554"/>
      <c r="N39" s="507">
        <v>0</v>
      </c>
      <c r="O39" s="554"/>
      <c r="P39" s="506">
        <f>J39+L39+N39</f>
        <v>0</v>
      </c>
      <c r="Q39" s="554"/>
      <c r="R39" s="506">
        <v>0</v>
      </c>
      <c r="S39" s="506">
        <v>0</v>
      </c>
      <c r="T39" s="506">
        <f>P39</f>
        <v>0</v>
      </c>
      <c r="U39" s="554"/>
      <c r="V39" s="507">
        <f>T39-S39</f>
        <v>0</v>
      </c>
      <c r="W39" s="554"/>
      <c r="X39" s="554"/>
    </row>
    <row r="40" spans="1:25" s="557" customFormat="1" ht="5.0999999999999996" customHeight="1" outlineLevel="1">
      <c r="A40" s="503" t="s">
        <v>198</v>
      </c>
      <c r="B40" s="528" t="s">
        <v>198</v>
      </c>
      <c r="C40" s="528"/>
      <c r="D40" s="556"/>
      <c r="E40" s="556"/>
      <c r="F40" s="556"/>
      <c r="G40" s="556"/>
      <c r="H40" s="554"/>
      <c r="I40" s="554"/>
      <c r="J40" s="532"/>
      <c r="K40" s="554"/>
      <c r="L40" s="532"/>
      <c r="M40" s="554"/>
      <c r="N40" s="533"/>
      <c r="O40" s="554"/>
      <c r="P40" s="532"/>
      <c r="Q40" s="554"/>
      <c r="R40" s="532"/>
      <c r="S40" s="532"/>
      <c r="T40" s="532"/>
      <c r="U40" s="554"/>
      <c r="V40" s="533"/>
      <c r="W40" s="554"/>
      <c r="X40" s="554"/>
      <c r="Y40" s="554"/>
    </row>
    <row r="41" spans="1:25" s="557" customFormat="1">
      <c r="A41" s="503" t="s">
        <v>892</v>
      </c>
      <c r="B41" s="503" t="s">
        <v>198</v>
      </c>
      <c r="C41" s="503"/>
      <c r="D41" s="554"/>
      <c r="E41" s="554"/>
      <c r="F41" s="555" t="s">
        <v>893</v>
      </c>
      <c r="G41" s="554"/>
      <c r="H41" s="554"/>
      <c r="I41" s="554"/>
      <c r="J41" s="530">
        <f>SUM(J39:J40)</f>
        <v>0</v>
      </c>
      <c r="K41" s="554"/>
      <c r="L41" s="530">
        <f>SUM(L39:L40)</f>
        <v>0</v>
      </c>
      <c r="M41" s="554"/>
      <c r="N41" s="531">
        <f>SUM(N39:N40)</f>
        <v>0</v>
      </c>
      <c r="O41" s="554"/>
      <c r="P41" s="530">
        <f>J41+L41+N41</f>
        <v>0</v>
      </c>
      <c r="Q41" s="554"/>
      <c r="R41" s="530">
        <f>SUM(R39:R40)</f>
        <v>0</v>
      </c>
      <c r="S41" s="530">
        <f>SUM(S39:S40)</f>
        <v>0</v>
      </c>
      <c r="T41" s="530">
        <f>SUM(T39:T40)</f>
        <v>0</v>
      </c>
      <c r="U41" s="554"/>
      <c r="V41" s="531">
        <f>SUM(V39:V40)</f>
        <v>0</v>
      </c>
      <c r="W41" s="554"/>
      <c r="X41" s="554"/>
      <c r="Y41" s="554"/>
    </row>
    <row r="42" spans="1:25" s="557" customFormat="1" outlineLevel="1">
      <c r="A42" s="554"/>
      <c r="B42" s="502" t="s">
        <v>894</v>
      </c>
      <c r="C42" s="503"/>
      <c r="D42" s="555">
        <v>13001</v>
      </c>
      <c r="E42" s="555" t="s">
        <v>1005</v>
      </c>
      <c r="F42" s="556"/>
      <c r="G42" s="556"/>
      <c r="H42" s="554"/>
      <c r="I42" s="554"/>
      <c r="J42" s="506">
        <v>0</v>
      </c>
      <c r="K42" s="554"/>
      <c r="L42" s="506">
        <v>0</v>
      </c>
      <c r="M42" s="554"/>
      <c r="N42" s="507">
        <v>0</v>
      </c>
      <c r="O42" s="554"/>
      <c r="P42" s="506">
        <f>J42+L42+N42</f>
        <v>0</v>
      </c>
      <c r="Q42" s="554"/>
      <c r="R42" s="506">
        <v>634.84</v>
      </c>
      <c r="S42" s="506">
        <v>317.43</v>
      </c>
      <c r="T42" s="506">
        <f t="shared" ref="T42:T44" si="6">P42</f>
        <v>0</v>
      </c>
      <c r="U42" s="554"/>
      <c r="V42" s="507">
        <f t="shared" ref="V42:V44" si="7">T42-S42</f>
        <v>-317.43</v>
      </c>
      <c r="W42" s="554"/>
      <c r="X42" s="554"/>
    </row>
    <row r="43" spans="1:25" s="557" customFormat="1" outlineLevel="1">
      <c r="A43" s="554"/>
      <c r="B43" s="502" t="s">
        <v>206</v>
      </c>
      <c r="C43" s="503"/>
      <c r="D43" s="555">
        <v>13007</v>
      </c>
      <c r="E43" s="555" t="s">
        <v>1094</v>
      </c>
      <c r="F43" s="556"/>
      <c r="G43" s="556"/>
      <c r="H43" s="554"/>
      <c r="I43" s="554"/>
      <c r="J43" s="506">
        <v>0</v>
      </c>
      <c r="K43" s="554"/>
      <c r="L43" s="506">
        <v>0</v>
      </c>
      <c r="M43" s="554"/>
      <c r="N43" s="507">
        <v>0</v>
      </c>
      <c r="O43" s="554"/>
      <c r="P43" s="506">
        <f>J43+L43+N43</f>
        <v>0</v>
      </c>
      <c r="Q43" s="554"/>
      <c r="R43" s="506">
        <v>0</v>
      </c>
      <c r="S43" s="506">
        <v>0</v>
      </c>
      <c r="T43" s="506">
        <f t="shared" si="6"/>
        <v>0</v>
      </c>
      <c r="U43" s="554"/>
      <c r="V43" s="507">
        <f t="shared" si="7"/>
        <v>0</v>
      </c>
      <c r="W43" s="554"/>
      <c r="X43" s="554"/>
    </row>
    <row r="44" spans="1:25" s="557" customFormat="1" outlineLevel="1">
      <c r="A44" s="554"/>
      <c r="B44" s="502" t="s">
        <v>206</v>
      </c>
      <c r="C44" s="503"/>
      <c r="D44" s="555">
        <v>13008</v>
      </c>
      <c r="E44" s="555" t="s">
        <v>1008</v>
      </c>
      <c r="F44" s="556"/>
      <c r="G44" s="556"/>
      <c r="H44" s="554"/>
      <c r="I44" s="554"/>
      <c r="J44" s="506">
        <v>918</v>
      </c>
      <c r="K44" s="554"/>
      <c r="L44" s="506">
        <v>0</v>
      </c>
      <c r="M44" s="554"/>
      <c r="N44" s="507">
        <v>0</v>
      </c>
      <c r="O44" s="554"/>
      <c r="P44" s="506">
        <f>J44+L44+N44</f>
        <v>918</v>
      </c>
      <c r="Q44" s="554"/>
      <c r="R44" s="506">
        <v>750</v>
      </c>
      <c r="S44" s="506">
        <v>918</v>
      </c>
      <c r="T44" s="506">
        <f t="shared" si="6"/>
        <v>918</v>
      </c>
      <c r="U44" s="554"/>
      <c r="V44" s="507">
        <f t="shared" si="7"/>
        <v>0</v>
      </c>
      <c r="W44" s="554"/>
      <c r="X44" s="554"/>
    </row>
    <row r="45" spans="1:25" s="557" customFormat="1" ht="3.75" customHeight="1" outlineLevel="1">
      <c r="A45" s="503" t="s">
        <v>198</v>
      </c>
      <c r="B45" s="528" t="s">
        <v>198</v>
      </c>
      <c r="C45" s="528"/>
      <c r="D45" s="556"/>
      <c r="E45" s="556"/>
      <c r="F45" s="556"/>
      <c r="G45" s="556"/>
      <c r="H45" s="554"/>
      <c r="I45" s="554"/>
      <c r="J45" s="532"/>
      <c r="K45" s="554"/>
      <c r="L45" s="532"/>
      <c r="M45" s="554"/>
      <c r="N45" s="533"/>
      <c r="O45" s="554"/>
      <c r="P45" s="532"/>
      <c r="Q45" s="554"/>
      <c r="R45" s="532"/>
      <c r="S45" s="532"/>
      <c r="T45" s="532"/>
      <c r="U45" s="554"/>
      <c r="V45" s="533"/>
      <c r="W45" s="554"/>
      <c r="X45" s="554"/>
      <c r="Y45" s="554"/>
    </row>
    <row r="46" spans="1:25" s="557" customFormat="1">
      <c r="A46" s="503" t="s">
        <v>894</v>
      </c>
      <c r="B46" s="503" t="s">
        <v>198</v>
      </c>
      <c r="C46" s="503"/>
      <c r="D46" s="554"/>
      <c r="E46" s="554"/>
      <c r="F46" s="555" t="s">
        <v>1009</v>
      </c>
      <c r="G46" s="554"/>
      <c r="H46" s="554"/>
      <c r="I46" s="554"/>
      <c r="J46" s="530">
        <f>SUM(J42:J45)</f>
        <v>918</v>
      </c>
      <c r="K46" s="554"/>
      <c r="L46" s="530">
        <f>SUM(L42:L45)</f>
        <v>0</v>
      </c>
      <c r="M46" s="554"/>
      <c r="N46" s="531">
        <f>SUM(N42:N45)</f>
        <v>0</v>
      </c>
      <c r="O46" s="554"/>
      <c r="P46" s="530">
        <f>J46+L46+N46</f>
        <v>918</v>
      </c>
      <c r="Q46" s="554"/>
      <c r="R46" s="530">
        <f>SUM(R42:R45)</f>
        <v>1384.8400000000001</v>
      </c>
      <c r="S46" s="530">
        <f>SUM(S42:S45)</f>
        <v>1235.43</v>
      </c>
      <c r="T46" s="530">
        <f>SUM(T42:T45)</f>
        <v>918</v>
      </c>
      <c r="U46" s="580"/>
      <c r="V46" s="531">
        <f>SUM(V42:V45)</f>
        <v>-317.43</v>
      </c>
      <c r="W46" s="554"/>
      <c r="X46" s="554"/>
      <c r="Y46" s="554"/>
    </row>
    <row r="47" spans="1:25" s="557" customFormat="1" ht="11.25" customHeight="1" outlineLevel="1">
      <c r="A47" s="554"/>
      <c r="B47" s="502" t="s">
        <v>890</v>
      </c>
      <c r="C47" s="503"/>
      <c r="D47" s="555"/>
      <c r="E47" s="555"/>
      <c r="F47" s="556"/>
      <c r="G47" s="556"/>
      <c r="H47" s="554"/>
      <c r="I47" s="554"/>
      <c r="J47" s="506"/>
      <c r="K47" s="554"/>
      <c r="L47" s="506"/>
      <c r="M47" s="554"/>
      <c r="N47" s="507"/>
      <c r="O47" s="554"/>
      <c r="P47" s="506">
        <f>J47+L47+N47</f>
        <v>0</v>
      </c>
      <c r="Q47" s="554"/>
      <c r="R47" s="506"/>
      <c r="S47" s="506"/>
      <c r="T47" s="506">
        <f>P47</f>
        <v>0</v>
      </c>
      <c r="U47" s="554"/>
      <c r="V47" s="507">
        <f>T47-S47</f>
        <v>0</v>
      </c>
      <c r="W47" s="554"/>
      <c r="X47" s="554"/>
    </row>
    <row r="48" spans="1:25" s="557" customFormat="1" ht="3.75" hidden="1" customHeight="1" outlineLevel="1">
      <c r="A48" s="503" t="s">
        <v>198</v>
      </c>
      <c r="B48" s="528" t="s">
        <v>198</v>
      </c>
      <c r="C48" s="528"/>
      <c r="D48" s="556"/>
      <c r="E48" s="556"/>
      <c r="F48" s="556"/>
      <c r="G48" s="556"/>
      <c r="H48" s="554"/>
      <c r="I48" s="554"/>
      <c r="J48" s="532"/>
      <c r="K48" s="554"/>
      <c r="L48" s="532"/>
      <c r="M48" s="554"/>
      <c r="N48" s="533"/>
      <c r="O48" s="554"/>
      <c r="P48" s="532"/>
      <c r="Q48" s="554"/>
      <c r="R48" s="532"/>
      <c r="S48" s="532"/>
      <c r="T48" s="532"/>
      <c r="U48" s="554"/>
      <c r="V48" s="533"/>
      <c r="W48" s="554"/>
      <c r="X48" s="554"/>
      <c r="Y48" s="554"/>
    </row>
    <row r="49" spans="1:25" s="557" customFormat="1" hidden="1">
      <c r="A49" s="503" t="s">
        <v>890</v>
      </c>
      <c r="B49" s="503" t="s">
        <v>198</v>
      </c>
      <c r="C49" s="503"/>
      <c r="D49" s="554"/>
      <c r="E49" s="554"/>
      <c r="F49" s="555" t="s">
        <v>1010</v>
      </c>
      <c r="G49" s="554"/>
      <c r="H49" s="554"/>
      <c r="I49" s="554"/>
      <c r="J49" s="530">
        <f>SUM(J47:J48)</f>
        <v>0</v>
      </c>
      <c r="K49" s="554"/>
      <c r="L49" s="530">
        <f>SUM(L47:L48)</f>
        <v>0</v>
      </c>
      <c r="M49" s="554"/>
      <c r="N49" s="531">
        <f>SUM(N47:N48)</f>
        <v>0</v>
      </c>
      <c r="O49" s="554"/>
      <c r="P49" s="530">
        <f>J49+L49+N49</f>
        <v>0</v>
      </c>
      <c r="Q49" s="554"/>
      <c r="R49" s="530">
        <f>SUM(R47:R48)</f>
        <v>0</v>
      </c>
      <c r="S49" s="530">
        <f>SUM(S47:S48)</f>
        <v>0</v>
      </c>
      <c r="T49" s="530">
        <f>SUM(T47:T48)</f>
        <v>0</v>
      </c>
      <c r="U49" s="580"/>
      <c r="V49" s="531">
        <f>SUM(V47:V48)</f>
        <v>0</v>
      </c>
      <c r="W49" s="554"/>
      <c r="X49" s="554"/>
      <c r="Y49" s="554"/>
    </row>
    <row r="50" spans="1:25" s="557" customFormat="1" ht="7.5" hidden="1" customHeight="1">
      <c r="A50" s="528" t="s">
        <v>198</v>
      </c>
      <c r="B50" s="528" t="s">
        <v>198</v>
      </c>
      <c r="C50" s="528"/>
      <c r="D50" s="554"/>
      <c r="E50" s="554"/>
      <c r="F50" s="554"/>
      <c r="G50" s="554"/>
      <c r="H50" s="554"/>
      <c r="I50" s="554"/>
      <c r="J50" s="535"/>
      <c r="K50" s="554"/>
      <c r="L50" s="535"/>
      <c r="M50" s="554"/>
      <c r="N50" s="535"/>
      <c r="O50" s="554"/>
      <c r="P50" s="535"/>
      <c r="Q50" s="554"/>
      <c r="R50" s="535"/>
      <c r="S50" s="535"/>
      <c r="T50" s="535"/>
      <c r="U50" s="554"/>
      <c r="V50" s="535"/>
      <c r="W50" s="554"/>
      <c r="X50" s="554"/>
      <c r="Y50" s="554"/>
    </row>
    <row r="51" spans="1:25" s="557" customFormat="1">
      <c r="A51" s="503" t="s">
        <v>198</v>
      </c>
      <c r="B51" s="528" t="s">
        <v>198</v>
      </c>
      <c r="C51" s="528"/>
      <c r="D51" s="554"/>
      <c r="E51" s="581" t="s">
        <v>1011</v>
      </c>
      <c r="F51" s="554"/>
      <c r="G51" s="554"/>
      <c r="H51" s="554"/>
      <c r="I51" s="554"/>
      <c r="J51" s="537">
        <f>SUM(J28,J38,J41,J46,J49)</f>
        <v>119330.93000000001</v>
      </c>
      <c r="K51" s="554"/>
      <c r="L51" s="537">
        <f>SUM(L28,L38,L41,L46,L49)</f>
        <v>0</v>
      </c>
      <c r="M51" s="554"/>
      <c r="N51" s="538">
        <f>SUM(N28,N38,N41,N46,N49)</f>
        <v>0</v>
      </c>
      <c r="O51" s="554"/>
      <c r="P51" s="537">
        <f>SUM(P28,P38,P41,P46,P49)</f>
        <v>119330.93000000001</v>
      </c>
      <c r="Q51" s="554"/>
      <c r="R51" s="537">
        <f>SUM(R28,R38,R41,R46,R49)</f>
        <v>114061.01</v>
      </c>
      <c r="S51" s="537">
        <f>SUM(S28,S38,S41,S46,S49)</f>
        <v>110640.96999999999</v>
      </c>
      <c r="T51" s="537">
        <f>SUM(T28,T38,T41,T46,T49)</f>
        <v>119330.93000000001</v>
      </c>
      <c r="U51" s="554"/>
      <c r="V51" s="538">
        <f>SUM(V28,V38,V41,V46,V49)</f>
        <v>8689.95999999999</v>
      </c>
      <c r="W51" s="554"/>
      <c r="X51" s="554"/>
      <c r="Y51" s="554"/>
    </row>
    <row r="52" spans="1:25" s="557" customFormat="1" ht="7.5" customHeight="1">
      <c r="A52" s="528" t="s">
        <v>198</v>
      </c>
      <c r="B52" s="528" t="s">
        <v>198</v>
      </c>
      <c r="C52" s="528"/>
      <c r="D52" s="554"/>
      <c r="E52" s="554"/>
      <c r="F52" s="554"/>
      <c r="G52" s="554"/>
      <c r="H52" s="554"/>
      <c r="I52" s="554"/>
      <c r="J52" s="535"/>
      <c r="K52" s="554"/>
      <c r="L52" s="535"/>
      <c r="M52" s="554"/>
      <c r="N52" s="507"/>
      <c r="O52" s="554"/>
      <c r="P52" s="535"/>
      <c r="Q52" s="554"/>
      <c r="R52" s="535"/>
      <c r="S52" s="535"/>
      <c r="T52" s="535"/>
      <c r="U52" s="554"/>
      <c r="V52" s="507"/>
      <c r="W52" s="554"/>
      <c r="X52" s="554"/>
      <c r="Y52" s="554"/>
    </row>
    <row r="53" spans="1:25" s="557" customFormat="1" ht="7.5" customHeight="1" outlineLevel="1">
      <c r="A53" s="528" t="s">
        <v>198</v>
      </c>
      <c r="B53" s="528" t="s">
        <v>198</v>
      </c>
      <c r="C53" s="528"/>
      <c r="D53" s="554"/>
      <c r="E53" s="554"/>
      <c r="F53" s="554"/>
      <c r="G53" s="554"/>
      <c r="H53" s="554"/>
      <c r="I53" s="554"/>
      <c r="J53" s="535"/>
      <c r="K53" s="554"/>
      <c r="L53" s="535"/>
      <c r="M53" s="554"/>
      <c r="N53" s="507"/>
      <c r="O53" s="554"/>
      <c r="P53" s="535"/>
      <c r="Q53" s="554"/>
      <c r="R53" s="535"/>
      <c r="S53" s="535"/>
      <c r="T53" s="535"/>
      <c r="U53" s="554"/>
      <c r="V53" s="507"/>
      <c r="W53" s="554"/>
      <c r="X53" s="554"/>
      <c r="Y53" s="554"/>
    </row>
    <row r="54" spans="1:25" s="557" customFormat="1" outlineLevel="1">
      <c r="A54" s="554"/>
      <c r="B54" s="502" t="s">
        <v>896</v>
      </c>
      <c r="C54" s="503"/>
      <c r="D54" s="555">
        <v>14032</v>
      </c>
      <c r="E54" s="555" t="s">
        <v>1012</v>
      </c>
      <c r="F54" s="556"/>
      <c r="G54" s="556"/>
      <c r="H54" s="554"/>
      <c r="I54" s="554"/>
      <c r="J54" s="506">
        <v>4500</v>
      </c>
      <c r="K54" s="554"/>
      <c r="L54" s="506">
        <v>0</v>
      </c>
      <c r="M54" s="554"/>
      <c r="N54" s="507">
        <v>0</v>
      </c>
      <c r="O54" s="554"/>
      <c r="P54" s="506">
        <f t="shared" ref="P54:P75" si="8">J54+L54+N54</f>
        <v>4500</v>
      </c>
      <c r="Q54" s="554"/>
      <c r="R54" s="506">
        <v>4500</v>
      </c>
      <c r="S54" s="506">
        <v>4500</v>
      </c>
      <c r="T54" s="506">
        <f t="shared" ref="T54:T75" si="9">P54</f>
        <v>4500</v>
      </c>
      <c r="U54" s="554"/>
      <c r="V54" s="507">
        <f t="shared" ref="V54:V75" si="10">T54-S54</f>
        <v>0</v>
      </c>
      <c r="W54" s="554"/>
      <c r="X54" s="554"/>
    </row>
    <row r="55" spans="1:25" s="557" customFormat="1" outlineLevel="1">
      <c r="A55" s="554"/>
      <c r="B55" s="502" t="s">
        <v>206</v>
      </c>
      <c r="C55" s="503"/>
      <c r="D55" s="555">
        <v>14034</v>
      </c>
      <c r="E55" s="555" t="s">
        <v>1013</v>
      </c>
      <c r="F55" s="556"/>
      <c r="G55" s="556"/>
      <c r="H55" s="554"/>
      <c r="I55" s="554"/>
      <c r="J55" s="506">
        <v>-4500</v>
      </c>
      <c r="K55" s="554"/>
      <c r="L55" s="506">
        <v>0</v>
      </c>
      <c r="M55" s="554"/>
      <c r="N55" s="507">
        <v>0</v>
      </c>
      <c r="O55" s="554"/>
      <c r="P55" s="506">
        <f t="shared" si="8"/>
        <v>-4500</v>
      </c>
      <c r="Q55" s="554"/>
      <c r="R55" s="506">
        <v>-4500</v>
      </c>
      <c r="S55" s="506">
        <v>-4500</v>
      </c>
      <c r="T55" s="506">
        <f t="shared" si="9"/>
        <v>-4500</v>
      </c>
      <c r="U55" s="554"/>
      <c r="V55" s="507">
        <f t="shared" si="10"/>
        <v>0</v>
      </c>
      <c r="W55" s="554"/>
      <c r="X55" s="554"/>
    </row>
    <row r="56" spans="1:25" s="557" customFormat="1" outlineLevel="1">
      <c r="A56" s="554"/>
      <c r="B56" s="502" t="s">
        <v>206</v>
      </c>
      <c r="C56" s="503"/>
      <c r="D56" s="555">
        <v>14036</v>
      </c>
      <c r="E56" s="555" t="s">
        <v>1014</v>
      </c>
      <c r="F56" s="556"/>
      <c r="G56" s="556"/>
      <c r="H56" s="554"/>
      <c r="I56" s="554"/>
      <c r="J56" s="506">
        <v>-125.01</v>
      </c>
      <c r="K56" s="554"/>
      <c r="L56" s="506">
        <v>0</v>
      </c>
      <c r="M56" s="554"/>
      <c r="N56" s="507">
        <v>0</v>
      </c>
      <c r="O56" s="554"/>
      <c r="P56" s="506">
        <f t="shared" si="8"/>
        <v>-125.01</v>
      </c>
      <c r="Q56" s="554"/>
      <c r="R56" s="506">
        <v>-125.01</v>
      </c>
      <c r="S56" s="506">
        <v>-125.01</v>
      </c>
      <c r="T56" s="506">
        <f t="shared" si="9"/>
        <v>-125.01</v>
      </c>
      <c r="U56" s="554"/>
      <c r="V56" s="507">
        <f t="shared" si="10"/>
        <v>0</v>
      </c>
      <c r="W56" s="554"/>
      <c r="X56" s="554"/>
    </row>
    <row r="57" spans="1:25" s="557" customFormat="1" outlineLevel="1">
      <c r="A57" s="554"/>
      <c r="B57" s="502" t="s">
        <v>206</v>
      </c>
      <c r="C57" s="503"/>
      <c r="D57" s="555">
        <v>14038</v>
      </c>
      <c r="E57" s="555" t="s">
        <v>1013</v>
      </c>
      <c r="F57" s="556"/>
      <c r="G57" s="556"/>
      <c r="H57" s="554"/>
      <c r="I57" s="554"/>
      <c r="J57" s="506">
        <v>125.01</v>
      </c>
      <c r="K57" s="554"/>
      <c r="L57" s="506">
        <v>0</v>
      </c>
      <c r="M57" s="554"/>
      <c r="N57" s="507">
        <v>0</v>
      </c>
      <c r="O57" s="554"/>
      <c r="P57" s="506">
        <f t="shared" si="8"/>
        <v>125.01</v>
      </c>
      <c r="Q57" s="554"/>
      <c r="R57" s="506">
        <v>125.01</v>
      </c>
      <c r="S57" s="506">
        <v>125.01</v>
      </c>
      <c r="T57" s="506">
        <f t="shared" si="9"/>
        <v>125.01</v>
      </c>
      <c r="U57" s="554"/>
      <c r="V57" s="507">
        <f t="shared" si="10"/>
        <v>0</v>
      </c>
      <c r="W57" s="554"/>
      <c r="X57" s="554"/>
    </row>
    <row r="58" spans="1:25" s="557" customFormat="1" outlineLevel="1">
      <c r="A58" s="554"/>
      <c r="B58" s="502" t="s">
        <v>206</v>
      </c>
      <c r="C58" s="503"/>
      <c r="D58" s="555">
        <v>14041</v>
      </c>
      <c r="E58" s="555" t="s">
        <v>1015</v>
      </c>
      <c r="F58" s="556"/>
      <c r="G58" s="556"/>
      <c r="H58" s="554"/>
      <c r="I58" s="554"/>
      <c r="J58" s="506">
        <v>617689.68999999994</v>
      </c>
      <c r="K58" s="554"/>
      <c r="L58" s="506">
        <v>0</v>
      </c>
      <c r="M58" s="554"/>
      <c r="N58" s="507">
        <v>0</v>
      </c>
      <c r="O58" s="554"/>
      <c r="P58" s="506">
        <f t="shared" si="8"/>
        <v>617689.68999999994</v>
      </c>
      <c r="Q58" s="554"/>
      <c r="R58" s="506">
        <v>607685.68999999994</v>
      </c>
      <c r="S58" s="506">
        <v>607685.68999999994</v>
      </c>
      <c r="T58" s="506">
        <f t="shared" si="9"/>
        <v>617689.68999999994</v>
      </c>
      <c r="U58" s="554"/>
      <c r="V58" s="507">
        <f t="shared" si="10"/>
        <v>10004</v>
      </c>
      <c r="W58" s="554"/>
      <c r="X58" s="554"/>
    </row>
    <row r="59" spans="1:25" s="557" customFormat="1" outlineLevel="1">
      <c r="A59" s="554"/>
      <c r="B59" s="502" t="s">
        <v>206</v>
      </c>
      <c r="C59" s="503"/>
      <c r="D59" s="555">
        <v>14042</v>
      </c>
      <c r="E59" s="555" t="s">
        <v>1016</v>
      </c>
      <c r="F59" s="556"/>
      <c r="G59" s="556"/>
      <c r="H59" s="554"/>
      <c r="I59" s="554"/>
      <c r="J59" s="506">
        <v>57883.199999999997</v>
      </c>
      <c r="K59" s="554"/>
      <c r="L59" s="506">
        <v>0</v>
      </c>
      <c r="M59" s="554"/>
      <c r="N59" s="507">
        <v>0</v>
      </c>
      <c r="O59" s="554"/>
      <c r="P59" s="506">
        <f t="shared" si="8"/>
        <v>57883.199999999997</v>
      </c>
      <c r="Q59" s="554"/>
      <c r="R59" s="506">
        <v>57883.199999999997</v>
      </c>
      <c r="S59" s="506">
        <v>57883.199999999997</v>
      </c>
      <c r="T59" s="506">
        <f t="shared" si="9"/>
        <v>57883.199999999997</v>
      </c>
      <c r="U59" s="554"/>
      <c r="V59" s="507">
        <f t="shared" si="10"/>
        <v>0</v>
      </c>
      <c r="W59" s="554"/>
      <c r="X59" s="554"/>
    </row>
    <row r="60" spans="1:25" s="557" customFormat="1" outlineLevel="1">
      <c r="A60" s="554"/>
      <c r="B60" s="502" t="s">
        <v>206</v>
      </c>
      <c r="C60" s="503"/>
      <c r="D60" s="555">
        <v>14043</v>
      </c>
      <c r="E60" s="555" t="s">
        <v>1017</v>
      </c>
      <c r="F60" s="556"/>
      <c r="G60" s="556"/>
      <c r="H60" s="554"/>
      <c r="I60" s="554"/>
      <c r="J60" s="506">
        <v>207786.88</v>
      </c>
      <c r="K60" s="554"/>
      <c r="L60" s="506">
        <v>0</v>
      </c>
      <c r="M60" s="554"/>
      <c r="N60" s="507">
        <v>0</v>
      </c>
      <c r="O60" s="554"/>
      <c r="P60" s="506">
        <f t="shared" si="8"/>
        <v>207786.88</v>
      </c>
      <c r="Q60" s="554"/>
      <c r="R60" s="506">
        <v>207786.88</v>
      </c>
      <c r="S60" s="506">
        <v>207786.88</v>
      </c>
      <c r="T60" s="506">
        <f t="shared" si="9"/>
        <v>207786.88</v>
      </c>
      <c r="U60" s="554"/>
      <c r="V60" s="507">
        <f t="shared" si="10"/>
        <v>0</v>
      </c>
      <c r="W60" s="554"/>
      <c r="X60" s="554"/>
    </row>
    <row r="61" spans="1:25" s="557" customFormat="1" outlineLevel="1">
      <c r="A61" s="554"/>
      <c r="B61" s="502" t="s">
        <v>206</v>
      </c>
      <c r="C61" s="503"/>
      <c r="D61" s="555">
        <v>14044</v>
      </c>
      <c r="E61" s="555" t="s">
        <v>1018</v>
      </c>
      <c r="F61" s="556"/>
      <c r="G61" s="556"/>
      <c r="H61" s="554"/>
      <c r="I61" s="554"/>
      <c r="J61" s="506">
        <v>-57954.15</v>
      </c>
      <c r="K61" s="554"/>
      <c r="L61" s="506">
        <v>0</v>
      </c>
      <c r="M61" s="554"/>
      <c r="N61" s="507">
        <v>0</v>
      </c>
      <c r="O61" s="554"/>
      <c r="P61" s="506">
        <f t="shared" si="8"/>
        <v>-57954.15</v>
      </c>
      <c r="Q61" s="554"/>
      <c r="R61" s="506">
        <v>-57954.15</v>
      </c>
      <c r="S61" s="506">
        <v>-57954.15</v>
      </c>
      <c r="T61" s="506">
        <f t="shared" si="9"/>
        <v>-57954.15</v>
      </c>
      <c r="U61" s="554"/>
      <c r="V61" s="507">
        <f t="shared" si="10"/>
        <v>0</v>
      </c>
      <c r="W61" s="554"/>
      <c r="X61" s="554"/>
    </row>
    <row r="62" spans="1:25" s="557" customFormat="1" outlineLevel="1">
      <c r="A62" s="554"/>
      <c r="B62" s="502" t="s">
        <v>206</v>
      </c>
      <c r="C62" s="503"/>
      <c r="D62" s="555">
        <v>14046</v>
      </c>
      <c r="E62" s="555" t="s">
        <v>1019</v>
      </c>
      <c r="F62" s="556"/>
      <c r="G62" s="556"/>
      <c r="H62" s="554"/>
      <c r="I62" s="554"/>
      <c r="J62" s="506">
        <v>-200043.1</v>
      </c>
      <c r="K62" s="554"/>
      <c r="L62" s="506">
        <v>0</v>
      </c>
      <c r="M62" s="554"/>
      <c r="N62" s="507">
        <v>0</v>
      </c>
      <c r="O62" s="554"/>
      <c r="P62" s="506">
        <f t="shared" si="8"/>
        <v>-200043.1</v>
      </c>
      <c r="Q62" s="554"/>
      <c r="R62" s="506">
        <v>-178821.3</v>
      </c>
      <c r="S62" s="506">
        <v>-189154.31</v>
      </c>
      <c r="T62" s="506">
        <f t="shared" si="9"/>
        <v>-200043.1</v>
      </c>
      <c r="U62" s="554"/>
      <c r="V62" s="507">
        <f t="shared" si="10"/>
        <v>-10888.790000000008</v>
      </c>
      <c r="W62" s="554"/>
      <c r="X62" s="554"/>
    </row>
    <row r="63" spans="1:25" s="557" customFormat="1" outlineLevel="1">
      <c r="A63" s="554"/>
      <c r="B63" s="502" t="s">
        <v>206</v>
      </c>
      <c r="C63" s="503"/>
      <c r="D63" s="555">
        <v>14047</v>
      </c>
      <c r="E63" s="555" t="s">
        <v>1017</v>
      </c>
      <c r="F63" s="556"/>
      <c r="G63" s="556"/>
      <c r="H63" s="554"/>
      <c r="I63" s="554"/>
      <c r="J63" s="506">
        <v>-119911.25</v>
      </c>
      <c r="K63" s="554"/>
      <c r="L63" s="506">
        <v>0</v>
      </c>
      <c r="M63" s="554"/>
      <c r="N63" s="507">
        <v>0</v>
      </c>
      <c r="O63" s="554"/>
      <c r="P63" s="506">
        <f t="shared" si="8"/>
        <v>-119911.25</v>
      </c>
      <c r="Q63" s="554"/>
      <c r="R63" s="506">
        <v>-119911.25</v>
      </c>
      <c r="S63" s="506">
        <v>-119911.25</v>
      </c>
      <c r="T63" s="506">
        <f t="shared" si="9"/>
        <v>-119911.25</v>
      </c>
      <c r="U63" s="554"/>
      <c r="V63" s="507">
        <f t="shared" si="10"/>
        <v>0</v>
      </c>
      <c r="W63" s="554"/>
      <c r="X63" s="554"/>
    </row>
    <row r="64" spans="1:25" s="557" customFormat="1" outlineLevel="1">
      <c r="A64" s="554"/>
      <c r="B64" s="502" t="s">
        <v>206</v>
      </c>
      <c r="C64" s="503"/>
      <c r="D64" s="555">
        <v>14048</v>
      </c>
      <c r="E64" s="555" t="s">
        <v>1018</v>
      </c>
      <c r="F64" s="556"/>
      <c r="G64" s="556"/>
      <c r="H64" s="554"/>
      <c r="I64" s="554"/>
      <c r="J64" s="506">
        <v>40833.51</v>
      </c>
      <c r="K64" s="554"/>
      <c r="L64" s="506">
        <v>0</v>
      </c>
      <c r="M64" s="554"/>
      <c r="N64" s="507">
        <v>0</v>
      </c>
      <c r="O64" s="554"/>
      <c r="P64" s="506">
        <f t="shared" si="8"/>
        <v>40833.51</v>
      </c>
      <c r="Q64" s="554"/>
      <c r="R64" s="506">
        <v>40833.51</v>
      </c>
      <c r="S64" s="506">
        <v>40833.51</v>
      </c>
      <c r="T64" s="506">
        <f t="shared" si="9"/>
        <v>40833.51</v>
      </c>
      <c r="U64" s="554"/>
      <c r="V64" s="507">
        <f t="shared" si="10"/>
        <v>0</v>
      </c>
      <c r="W64" s="554"/>
      <c r="X64" s="554"/>
    </row>
    <row r="65" spans="1:25" s="557" customFormat="1" outlineLevel="1">
      <c r="A65" s="554"/>
      <c r="B65" s="502" t="s">
        <v>206</v>
      </c>
      <c r="C65" s="503"/>
      <c r="D65" s="555">
        <v>14051</v>
      </c>
      <c r="E65" s="555" t="s">
        <v>1020</v>
      </c>
      <c r="F65" s="556"/>
      <c r="G65" s="556"/>
      <c r="H65" s="554"/>
      <c r="I65" s="554"/>
      <c r="J65" s="506">
        <v>119377.16</v>
      </c>
      <c r="K65" s="554"/>
      <c r="L65" s="506">
        <v>0</v>
      </c>
      <c r="M65" s="554"/>
      <c r="N65" s="507">
        <v>0</v>
      </c>
      <c r="O65" s="554"/>
      <c r="P65" s="506">
        <f t="shared" si="8"/>
        <v>119377.16</v>
      </c>
      <c r="Q65" s="554"/>
      <c r="R65" s="506">
        <v>43311.16</v>
      </c>
      <c r="S65" s="506">
        <v>119377.16</v>
      </c>
      <c r="T65" s="506">
        <f t="shared" si="9"/>
        <v>119377.16</v>
      </c>
      <c r="U65" s="554"/>
      <c r="V65" s="507">
        <f t="shared" si="10"/>
        <v>0</v>
      </c>
      <c r="W65" s="554"/>
      <c r="X65" s="554"/>
    </row>
    <row r="66" spans="1:25" s="557" customFormat="1" outlineLevel="1">
      <c r="A66" s="554"/>
      <c r="B66" s="502" t="s">
        <v>206</v>
      </c>
      <c r="C66" s="503"/>
      <c r="D66" s="555">
        <v>14052</v>
      </c>
      <c r="E66" s="555" t="s">
        <v>1021</v>
      </c>
      <c r="F66" s="556"/>
      <c r="G66" s="556"/>
      <c r="H66" s="554"/>
      <c r="I66" s="554"/>
      <c r="J66" s="506">
        <v>85500</v>
      </c>
      <c r="K66" s="554"/>
      <c r="L66" s="506">
        <v>0</v>
      </c>
      <c r="M66" s="554"/>
      <c r="N66" s="507">
        <v>0</v>
      </c>
      <c r="O66" s="554"/>
      <c r="P66" s="506">
        <f t="shared" si="8"/>
        <v>85500</v>
      </c>
      <c r="Q66" s="554"/>
      <c r="R66" s="506">
        <v>85500</v>
      </c>
      <c r="S66" s="506">
        <v>85500</v>
      </c>
      <c r="T66" s="506">
        <f t="shared" si="9"/>
        <v>85500</v>
      </c>
      <c r="U66" s="554"/>
      <c r="V66" s="507">
        <f t="shared" si="10"/>
        <v>0</v>
      </c>
      <c r="W66" s="554"/>
      <c r="X66" s="554"/>
    </row>
    <row r="67" spans="1:25" s="557" customFormat="1" outlineLevel="1">
      <c r="A67" s="554"/>
      <c r="B67" s="502" t="s">
        <v>206</v>
      </c>
      <c r="C67" s="503"/>
      <c r="D67" s="555">
        <v>14056</v>
      </c>
      <c r="E67" s="555" t="s">
        <v>1022</v>
      </c>
      <c r="F67" s="556"/>
      <c r="G67" s="556"/>
      <c r="H67" s="554"/>
      <c r="I67" s="554"/>
      <c r="J67" s="506">
        <v>-30490.2</v>
      </c>
      <c r="K67" s="554"/>
      <c r="L67" s="506">
        <v>0</v>
      </c>
      <c r="M67" s="554"/>
      <c r="N67" s="507">
        <v>0</v>
      </c>
      <c r="O67" s="554"/>
      <c r="P67" s="506">
        <f t="shared" si="8"/>
        <v>-30490.2</v>
      </c>
      <c r="Q67" s="554"/>
      <c r="R67" s="506">
        <v>-26796.51</v>
      </c>
      <c r="S67" s="506">
        <v>-28643.35</v>
      </c>
      <c r="T67" s="506">
        <f t="shared" si="9"/>
        <v>-30490.2</v>
      </c>
      <c r="U67" s="554"/>
      <c r="V67" s="507">
        <f t="shared" si="10"/>
        <v>-1846.8500000000022</v>
      </c>
      <c r="W67" s="554"/>
      <c r="X67" s="554"/>
    </row>
    <row r="68" spans="1:25" s="557" customFormat="1" outlineLevel="1">
      <c r="A68" s="554"/>
      <c r="B68" s="502" t="s">
        <v>206</v>
      </c>
      <c r="C68" s="503"/>
      <c r="D68" s="555">
        <v>14072</v>
      </c>
      <c r="E68" s="555" t="s">
        <v>1023</v>
      </c>
      <c r="F68" s="556"/>
      <c r="G68" s="556"/>
      <c r="H68" s="554"/>
      <c r="I68" s="554"/>
      <c r="J68" s="506">
        <v>2500</v>
      </c>
      <c r="K68" s="554"/>
      <c r="L68" s="506">
        <v>0</v>
      </c>
      <c r="M68" s="554"/>
      <c r="N68" s="507">
        <v>0</v>
      </c>
      <c r="O68" s="554"/>
      <c r="P68" s="506">
        <f t="shared" si="8"/>
        <v>2500</v>
      </c>
      <c r="Q68" s="554"/>
      <c r="R68" s="506">
        <v>2500</v>
      </c>
      <c r="S68" s="506">
        <v>2500</v>
      </c>
      <c r="T68" s="506">
        <f t="shared" si="9"/>
        <v>2500</v>
      </c>
      <c r="U68" s="554"/>
      <c r="V68" s="507">
        <f t="shared" si="10"/>
        <v>0</v>
      </c>
      <c r="W68" s="554"/>
      <c r="X68" s="554"/>
    </row>
    <row r="69" spans="1:25" s="557" customFormat="1" outlineLevel="1">
      <c r="A69" s="554"/>
      <c r="B69" s="502" t="s">
        <v>206</v>
      </c>
      <c r="C69" s="503"/>
      <c r="D69" s="555">
        <v>14076</v>
      </c>
      <c r="E69" s="555" t="s">
        <v>1024</v>
      </c>
      <c r="F69" s="556"/>
      <c r="G69" s="556"/>
      <c r="H69" s="554"/>
      <c r="I69" s="554"/>
      <c r="J69" s="506">
        <v>-1000</v>
      </c>
      <c r="K69" s="554"/>
      <c r="L69" s="506">
        <v>0</v>
      </c>
      <c r="M69" s="554"/>
      <c r="N69" s="507">
        <v>0</v>
      </c>
      <c r="O69" s="554"/>
      <c r="P69" s="506">
        <f t="shared" si="8"/>
        <v>-1000</v>
      </c>
      <c r="Q69" s="554"/>
      <c r="R69" s="506">
        <v>-916.67</v>
      </c>
      <c r="S69" s="506">
        <v>-958.33</v>
      </c>
      <c r="T69" s="506">
        <f t="shared" si="9"/>
        <v>-1000</v>
      </c>
      <c r="U69" s="554"/>
      <c r="V69" s="507">
        <f t="shared" si="10"/>
        <v>-41.669999999999959</v>
      </c>
      <c r="W69" s="554"/>
      <c r="X69" s="554"/>
    </row>
    <row r="70" spans="1:25" s="557" customFormat="1" outlineLevel="1">
      <c r="A70" s="554"/>
      <c r="B70" s="502" t="s">
        <v>206</v>
      </c>
      <c r="C70" s="503"/>
      <c r="D70" s="555">
        <v>14101</v>
      </c>
      <c r="E70" s="555" t="s">
        <v>1025</v>
      </c>
      <c r="F70" s="556"/>
      <c r="G70" s="556"/>
      <c r="H70" s="554"/>
      <c r="I70" s="554"/>
      <c r="J70" s="506">
        <v>3474.44</v>
      </c>
      <c r="K70" s="554"/>
      <c r="L70" s="506">
        <v>0</v>
      </c>
      <c r="M70" s="554"/>
      <c r="N70" s="507">
        <v>0</v>
      </c>
      <c r="O70" s="554"/>
      <c r="P70" s="506">
        <f t="shared" si="8"/>
        <v>3474.44</v>
      </c>
      <c r="Q70" s="554"/>
      <c r="R70" s="506">
        <v>3474.44</v>
      </c>
      <c r="S70" s="506">
        <v>3474.44</v>
      </c>
      <c r="T70" s="506">
        <f t="shared" si="9"/>
        <v>3474.44</v>
      </c>
      <c r="U70" s="554"/>
      <c r="V70" s="507">
        <f t="shared" si="10"/>
        <v>0</v>
      </c>
      <c r="W70" s="554"/>
      <c r="X70" s="554"/>
    </row>
    <row r="71" spans="1:25" s="557" customFormat="1" outlineLevel="1">
      <c r="A71" s="554"/>
      <c r="B71" s="502" t="s">
        <v>206</v>
      </c>
      <c r="C71" s="503"/>
      <c r="D71" s="555">
        <v>14102</v>
      </c>
      <c r="E71" s="555" t="s">
        <v>1026</v>
      </c>
      <c r="F71" s="556"/>
      <c r="G71" s="556"/>
      <c r="H71" s="554"/>
      <c r="I71" s="554"/>
      <c r="J71" s="506">
        <v>2500</v>
      </c>
      <c r="K71" s="554"/>
      <c r="L71" s="506">
        <v>0</v>
      </c>
      <c r="M71" s="554"/>
      <c r="N71" s="507">
        <v>0</v>
      </c>
      <c r="O71" s="554"/>
      <c r="P71" s="506">
        <f t="shared" si="8"/>
        <v>2500</v>
      </c>
      <c r="Q71" s="554"/>
      <c r="R71" s="506">
        <v>2500</v>
      </c>
      <c r="S71" s="506">
        <v>2500</v>
      </c>
      <c r="T71" s="506">
        <f t="shared" si="9"/>
        <v>2500</v>
      </c>
      <c r="U71" s="554"/>
      <c r="V71" s="507">
        <f t="shared" si="10"/>
        <v>0</v>
      </c>
      <c r="W71" s="554"/>
      <c r="X71" s="554"/>
    </row>
    <row r="72" spans="1:25" s="557" customFormat="1" outlineLevel="1">
      <c r="A72" s="554"/>
      <c r="B72" s="502" t="s">
        <v>206</v>
      </c>
      <c r="C72" s="503"/>
      <c r="D72" s="555">
        <v>14106</v>
      </c>
      <c r="E72" s="555" t="s">
        <v>1027</v>
      </c>
      <c r="F72" s="556"/>
      <c r="G72" s="556"/>
      <c r="H72" s="554"/>
      <c r="I72" s="554"/>
      <c r="J72" s="506">
        <v>-1608.02</v>
      </c>
      <c r="K72" s="554"/>
      <c r="L72" s="506">
        <v>0</v>
      </c>
      <c r="M72" s="554"/>
      <c r="N72" s="507">
        <v>0</v>
      </c>
      <c r="O72" s="554"/>
      <c r="P72" s="506">
        <f t="shared" si="8"/>
        <v>-1608.02</v>
      </c>
      <c r="Q72" s="554"/>
      <c r="R72" s="506">
        <v>-1466.78</v>
      </c>
      <c r="S72" s="506">
        <v>-1537.4</v>
      </c>
      <c r="T72" s="506">
        <f t="shared" si="9"/>
        <v>-1608.02</v>
      </c>
      <c r="U72" s="554"/>
      <c r="V72" s="507">
        <f t="shared" si="10"/>
        <v>-70.619999999999891</v>
      </c>
      <c r="W72" s="554"/>
      <c r="X72" s="554"/>
    </row>
    <row r="73" spans="1:25" s="557" customFormat="1" outlineLevel="1">
      <c r="A73" s="554"/>
      <c r="B73" s="502" t="s">
        <v>206</v>
      </c>
      <c r="C73" s="503"/>
      <c r="D73" s="555">
        <v>14111</v>
      </c>
      <c r="E73" s="555" t="s">
        <v>1028</v>
      </c>
      <c r="F73" s="556"/>
      <c r="G73" s="556"/>
      <c r="H73" s="554"/>
      <c r="I73" s="554"/>
      <c r="J73" s="506">
        <v>5486.92</v>
      </c>
      <c r="K73" s="554"/>
      <c r="L73" s="506">
        <v>0</v>
      </c>
      <c r="M73" s="554"/>
      <c r="N73" s="507">
        <v>0</v>
      </c>
      <c r="O73" s="554"/>
      <c r="P73" s="506">
        <f t="shared" si="8"/>
        <v>5486.92</v>
      </c>
      <c r="Q73" s="554"/>
      <c r="R73" s="506">
        <v>3948.67</v>
      </c>
      <c r="S73" s="506">
        <v>5486.92</v>
      </c>
      <c r="T73" s="506">
        <f t="shared" si="9"/>
        <v>5486.92</v>
      </c>
      <c r="U73" s="554"/>
      <c r="V73" s="507">
        <f t="shared" si="10"/>
        <v>0</v>
      </c>
      <c r="W73" s="554"/>
      <c r="X73" s="554"/>
    </row>
    <row r="74" spans="1:25" s="557" customFormat="1" outlineLevel="1">
      <c r="A74" s="554"/>
      <c r="B74" s="502" t="s">
        <v>206</v>
      </c>
      <c r="C74" s="503"/>
      <c r="D74" s="555">
        <v>14116</v>
      </c>
      <c r="E74" s="555" t="s">
        <v>1029</v>
      </c>
      <c r="F74" s="556"/>
      <c r="G74" s="556"/>
      <c r="H74" s="554"/>
      <c r="I74" s="554"/>
      <c r="J74" s="506">
        <v>-2902.48</v>
      </c>
      <c r="K74" s="554"/>
      <c r="L74" s="506">
        <v>0</v>
      </c>
      <c r="M74" s="554"/>
      <c r="N74" s="507">
        <v>0</v>
      </c>
      <c r="O74" s="554"/>
      <c r="P74" s="506">
        <f t="shared" si="8"/>
        <v>-2902.48</v>
      </c>
      <c r="Q74" s="554"/>
      <c r="R74" s="506">
        <v>-1890.63</v>
      </c>
      <c r="S74" s="506">
        <v>-2588.83</v>
      </c>
      <c r="T74" s="506">
        <f t="shared" si="9"/>
        <v>-2902.48</v>
      </c>
      <c r="U74" s="554"/>
      <c r="V74" s="507">
        <f t="shared" si="10"/>
        <v>-313.65000000000009</v>
      </c>
      <c r="W74" s="554"/>
      <c r="X74" s="554"/>
    </row>
    <row r="75" spans="1:25" s="557" customFormat="1" outlineLevel="1">
      <c r="A75" s="554"/>
      <c r="B75" s="502" t="s">
        <v>206</v>
      </c>
      <c r="C75" s="503"/>
      <c r="D75" s="555">
        <v>14201</v>
      </c>
      <c r="E75" s="555" t="s">
        <v>1095</v>
      </c>
      <c r="F75" s="556"/>
      <c r="G75" s="556"/>
      <c r="H75" s="554"/>
      <c r="I75" s="554"/>
      <c r="J75" s="506">
        <v>0</v>
      </c>
      <c r="K75" s="554"/>
      <c r="L75" s="506">
        <v>0</v>
      </c>
      <c r="M75" s="554"/>
      <c r="N75" s="507">
        <v>0</v>
      </c>
      <c r="O75" s="554"/>
      <c r="P75" s="506">
        <f t="shared" si="8"/>
        <v>0</v>
      </c>
      <c r="Q75" s="554"/>
      <c r="R75" s="506">
        <v>0</v>
      </c>
      <c r="S75" s="506">
        <v>0</v>
      </c>
      <c r="T75" s="506">
        <f t="shared" si="9"/>
        <v>0</v>
      </c>
      <c r="U75" s="554"/>
      <c r="V75" s="507">
        <f t="shared" si="10"/>
        <v>0</v>
      </c>
      <c r="W75" s="554"/>
      <c r="X75" s="554"/>
    </row>
    <row r="76" spans="1:25" s="557" customFormat="1" ht="4.5" customHeight="1" outlineLevel="1">
      <c r="A76" s="528" t="s">
        <v>198</v>
      </c>
      <c r="B76" s="528" t="s">
        <v>198</v>
      </c>
      <c r="C76" s="528"/>
      <c r="D76" s="582"/>
      <c r="E76" s="554"/>
      <c r="F76" s="554"/>
      <c r="G76" s="554"/>
      <c r="H76" s="554"/>
      <c r="I76" s="554"/>
      <c r="J76" s="532"/>
      <c r="K76" s="554"/>
      <c r="L76" s="532"/>
      <c r="M76" s="554"/>
      <c r="N76" s="533"/>
      <c r="O76" s="554"/>
      <c r="P76" s="532"/>
      <c r="Q76" s="554"/>
      <c r="R76" s="532"/>
      <c r="S76" s="532"/>
      <c r="T76" s="532"/>
      <c r="U76" s="554"/>
      <c r="V76" s="533"/>
      <c r="W76" s="554"/>
      <c r="X76" s="554"/>
      <c r="Y76" s="554"/>
    </row>
    <row r="77" spans="1:25" s="557" customFormat="1">
      <c r="A77" s="503" t="s">
        <v>896</v>
      </c>
      <c r="B77" s="528" t="s">
        <v>198</v>
      </c>
      <c r="C77" s="528"/>
      <c r="D77" s="554"/>
      <c r="E77" s="554"/>
      <c r="F77" s="554" t="s">
        <v>1031</v>
      </c>
      <c r="G77" s="554"/>
      <c r="H77" s="554"/>
      <c r="I77" s="554"/>
      <c r="J77" s="530">
        <f>SUM(J54:J76)</f>
        <v>729122.6</v>
      </c>
      <c r="K77" s="554"/>
      <c r="L77" s="530">
        <f>SUM(L54:L76)</f>
        <v>0</v>
      </c>
      <c r="M77" s="554"/>
      <c r="N77" s="531">
        <f>SUM(N54:N76)</f>
        <v>0</v>
      </c>
      <c r="O77" s="554"/>
      <c r="P77" s="530">
        <f>J77+L77+N77</f>
        <v>729122.6</v>
      </c>
      <c r="Q77" s="554"/>
      <c r="R77" s="530">
        <f>SUM(R54:R76)</f>
        <v>667666.25999999978</v>
      </c>
      <c r="S77" s="530">
        <f>SUM(S54:S76)</f>
        <v>732280.17999999993</v>
      </c>
      <c r="T77" s="530">
        <f>SUM(T54:T76)</f>
        <v>729122.6</v>
      </c>
      <c r="U77" s="554"/>
      <c r="V77" s="531">
        <f>SUM(V54:V76)</f>
        <v>-3157.5800000000104</v>
      </c>
      <c r="W77" s="554"/>
      <c r="X77" s="554"/>
      <c r="Y77" s="554"/>
    </row>
    <row r="78" spans="1:25" s="557" customFormat="1" ht="3.75" customHeight="1" outlineLevel="1">
      <c r="A78" s="554"/>
      <c r="B78" s="502" t="s">
        <v>1032</v>
      </c>
      <c r="C78" s="503"/>
      <c r="D78" s="555"/>
      <c r="E78" s="555"/>
      <c r="F78" s="556"/>
      <c r="G78" s="556"/>
      <c r="H78" s="554"/>
      <c r="I78" s="554"/>
      <c r="J78" s="506"/>
      <c r="K78" s="554"/>
      <c r="L78" s="506"/>
      <c r="M78" s="554"/>
      <c r="N78" s="507"/>
      <c r="O78" s="554"/>
      <c r="P78" s="506">
        <f>J78+L78+N78</f>
        <v>0</v>
      </c>
      <c r="Q78" s="554"/>
      <c r="R78" s="506"/>
      <c r="S78" s="506"/>
      <c r="T78" s="506">
        <f>P78</f>
        <v>0</v>
      </c>
      <c r="U78" s="554"/>
      <c r="V78" s="507">
        <f>T78-S78</f>
        <v>0</v>
      </c>
      <c r="W78" s="554"/>
      <c r="X78" s="554"/>
    </row>
    <row r="79" spans="1:25" s="557" customFormat="1" ht="5.0999999999999996" customHeight="1" outlineLevel="1">
      <c r="A79" s="528" t="s">
        <v>198</v>
      </c>
      <c r="B79" s="528" t="s">
        <v>198</v>
      </c>
      <c r="C79" s="528"/>
      <c r="D79" s="556"/>
      <c r="E79" s="556"/>
      <c r="F79" s="556"/>
      <c r="G79" s="556"/>
      <c r="H79" s="554"/>
      <c r="I79" s="554"/>
      <c r="J79" s="532"/>
      <c r="K79" s="554"/>
      <c r="L79" s="532"/>
      <c r="M79" s="554"/>
      <c r="N79" s="533"/>
      <c r="O79" s="554"/>
      <c r="P79" s="532"/>
      <c r="Q79" s="554"/>
      <c r="R79" s="532"/>
      <c r="S79" s="532"/>
      <c r="T79" s="532"/>
      <c r="U79" s="554"/>
      <c r="V79" s="533"/>
      <c r="W79" s="554"/>
      <c r="X79" s="554"/>
      <c r="Y79" s="554"/>
    </row>
    <row r="80" spans="1:25" s="557" customFormat="1">
      <c r="A80" s="503" t="s">
        <v>1032</v>
      </c>
      <c r="B80" s="528" t="s">
        <v>198</v>
      </c>
      <c r="C80" s="528"/>
      <c r="D80" s="554"/>
      <c r="E80" s="554"/>
      <c r="F80" s="555" t="s">
        <v>1033</v>
      </c>
      <c r="G80" s="554"/>
      <c r="H80" s="554"/>
      <c r="I80" s="554"/>
      <c r="J80" s="530">
        <f>SUM(J78:J79)</f>
        <v>0</v>
      </c>
      <c r="K80" s="554"/>
      <c r="L80" s="530">
        <f>SUM(L78:L79)</f>
        <v>0</v>
      </c>
      <c r="M80" s="554"/>
      <c r="N80" s="531">
        <f>SUM(N78:N79)</f>
        <v>0</v>
      </c>
      <c r="O80" s="554"/>
      <c r="P80" s="530">
        <f>J80+L80+N80</f>
        <v>0</v>
      </c>
      <c r="Q80" s="554"/>
      <c r="R80" s="530">
        <f>SUM(R78:R79)</f>
        <v>0</v>
      </c>
      <c r="S80" s="530">
        <f>SUM(S78:S79)</f>
        <v>0</v>
      </c>
      <c r="T80" s="530">
        <f>SUM(T78:T79)</f>
        <v>0</v>
      </c>
      <c r="U80" s="554"/>
      <c r="V80" s="531">
        <f>SUM(V78:V79)</f>
        <v>0</v>
      </c>
      <c r="W80" s="554"/>
      <c r="X80" s="554"/>
      <c r="Y80" s="554"/>
    </row>
    <row r="81" spans="1:25" s="557" customFormat="1" outlineLevel="1">
      <c r="A81" s="554"/>
      <c r="B81" s="502" t="s">
        <v>898</v>
      </c>
      <c r="C81" s="503"/>
      <c r="D81" s="555">
        <v>15111</v>
      </c>
      <c r="E81" s="555" t="s">
        <v>1034</v>
      </c>
      <c r="F81" s="556"/>
      <c r="G81" s="556"/>
      <c r="H81" s="554"/>
      <c r="I81" s="554"/>
      <c r="J81" s="506">
        <v>75000</v>
      </c>
      <c r="K81" s="554"/>
      <c r="L81" s="506">
        <v>0</v>
      </c>
      <c r="M81" s="554"/>
      <c r="N81" s="507">
        <v>0</v>
      </c>
      <c r="O81" s="554"/>
      <c r="P81" s="506">
        <f>J81+L81+N81</f>
        <v>75000</v>
      </c>
      <c r="Q81" s="554"/>
      <c r="R81" s="506">
        <v>75000</v>
      </c>
      <c r="S81" s="506">
        <v>75000</v>
      </c>
      <c r="T81" s="506">
        <f>P81</f>
        <v>75000</v>
      </c>
      <c r="U81" s="554"/>
      <c r="V81" s="507">
        <f>T81-S81</f>
        <v>0</v>
      </c>
      <c r="W81" s="554"/>
      <c r="X81" s="554"/>
    </row>
    <row r="82" spans="1:25" s="557" customFormat="1" ht="4.5" customHeight="1" outlineLevel="1">
      <c r="A82" s="528" t="s">
        <v>198</v>
      </c>
      <c r="B82" s="554" t="s">
        <v>198</v>
      </c>
      <c r="C82" s="583"/>
      <c r="D82" s="582"/>
      <c r="E82" s="554"/>
      <c r="F82" s="554"/>
      <c r="G82" s="554"/>
      <c r="H82" s="554"/>
      <c r="I82" s="554"/>
      <c r="J82" s="532"/>
      <c r="K82" s="554"/>
      <c r="L82" s="532"/>
      <c r="M82" s="554"/>
      <c r="N82" s="533"/>
      <c r="O82" s="554"/>
      <c r="P82" s="532"/>
      <c r="Q82" s="554"/>
      <c r="R82" s="532"/>
      <c r="S82" s="532"/>
      <c r="T82" s="532"/>
      <c r="U82" s="554"/>
      <c r="V82" s="533"/>
      <c r="W82" s="554"/>
      <c r="X82" s="554"/>
      <c r="Y82" s="554"/>
    </row>
    <row r="83" spans="1:25" s="557" customFormat="1">
      <c r="A83" s="503" t="s">
        <v>898</v>
      </c>
      <c r="B83" s="528" t="s">
        <v>198</v>
      </c>
      <c r="C83" s="528"/>
      <c r="D83" s="554"/>
      <c r="E83" s="554"/>
      <c r="F83" s="554" t="s">
        <v>899</v>
      </c>
      <c r="G83" s="554"/>
      <c r="H83" s="554"/>
      <c r="I83" s="554"/>
      <c r="J83" s="530">
        <f>SUM(J81:J82)</f>
        <v>75000</v>
      </c>
      <c r="K83" s="554"/>
      <c r="L83" s="530">
        <f>SUM(L81:L82)</f>
        <v>0</v>
      </c>
      <c r="M83" s="554"/>
      <c r="N83" s="531">
        <f>SUM(N81:N82)</f>
        <v>0</v>
      </c>
      <c r="O83" s="554"/>
      <c r="P83" s="530">
        <f>J83+L83+N83</f>
        <v>75000</v>
      </c>
      <c r="Q83" s="554"/>
      <c r="R83" s="530">
        <f>SUM(R81:R82)</f>
        <v>75000</v>
      </c>
      <c r="S83" s="530">
        <f>SUM(S81:S82)</f>
        <v>75000</v>
      </c>
      <c r="T83" s="530">
        <f>SUM(T81:T82)</f>
        <v>75000</v>
      </c>
      <c r="U83" s="554"/>
      <c r="V83" s="531">
        <f>SUM(V81:V82)</f>
        <v>0</v>
      </c>
      <c r="W83" s="554"/>
      <c r="X83" s="554"/>
      <c r="Y83" s="554"/>
    </row>
    <row r="84" spans="1:25" s="557" customFormat="1" outlineLevel="1">
      <c r="A84" s="554"/>
      <c r="B84" s="502" t="s">
        <v>900</v>
      </c>
      <c r="C84" s="503"/>
      <c r="D84" s="555">
        <v>15261</v>
      </c>
      <c r="E84" s="555" t="s">
        <v>1035</v>
      </c>
      <c r="F84" s="556"/>
      <c r="G84" s="556"/>
      <c r="H84" s="554"/>
      <c r="I84" s="554"/>
      <c r="J84" s="506">
        <v>1256674.8</v>
      </c>
      <c r="K84" s="554"/>
      <c r="L84" s="506">
        <v>0</v>
      </c>
      <c r="M84" s="554"/>
      <c r="N84" s="507">
        <v>0</v>
      </c>
      <c r="O84" s="554"/>
      <c r="P84" s="506">
        <f>J84+L84+N84</f>
        <v>1256674.8</v>
      </c>
      <c r="Q84" s="554"/>
      <c r="R84" s="506">
        <v>1256674.8</v>
      </c>
      <c r="S84" s="506">
        <v>1256674.8</v>
      </c>
      <c r="T84" s="506">
        <f>P84</f>
        <v>1256674.8</v>
      </c>
      <c r="U84" s="554"/>
      <c r="V84" s="507">
        <f>T84-S84</f>
        <v>0</v>
      </c>
      <c r="W84" s="554"/>
      <c r="X84" s="554"/>
    </row>
    <row r="85" spans="1:25" s="557" customFormat="1" ht="5.0999999999999996" customHeight="1" outlineLevel="1">
      <c r="A85" s="528" t="s">
        <v>198</v>
      </c>
      <c r="B85" s="503" t="s">
        <v>198</v>
      </c>
      <c r="C85" s="503"/>
      <c r="D85" s="556"/>
      <c r="E85" s="556"/>
      <c r="F85" s="556"/>
      <c r="G85" s="556"/>
      <c r="H85" s="554"/>
      <c r="I85" s="554"/>
      <c r="J85" s="532"/>
      <c r="K85" s="554"/>
      <c r="L85" s="532"/>
      <c r="M85" s="554"/>
      <c r="N85" s="533"/>
      <c r="O85" s="554"/>
      <c r="P85" s="532"/>
      <c r="Q85" s="554"/>
      <c r="R85" s="532"/>
      <c r="S85" s="532"/>
      <c r="T85" s="532"/>
      <c r="U85" s="554"/>
      <c r="V85" s="533"/>
      <c r="W85" s="554"/>
      <c r="X85" s="554"/>
      <c r="Y85" s="554"/>
    </row>
    <row r="86" spans="1:25" s="557" customFormat="1">
      <c r="A86" s="503" t="s">
        <v>900</v>
      </c>
      <c r="B86" s="528" t="s">
        <v>198</v>
      </c>
      <c r="C86" s="528"/>
      <c r="D86" s="554"/>
      <c r="E86" s="554"/>
      <c r="F86" s="555" t="s">
        <v>1036</v>
      </c>
      <c r="G86" s="584"/>
      <c r="H86" s="584"/>
      <c r="I86" s="584"/>
      <c r="J86" s="530">
        <f>SUM(J84:J85)</f>
        <v>1256674.8</v>
      </c>
      <c r="K86" s="554"/>
      <c r="L86" s="530">
        <f>SUM(L84:L85)</f>
        <v>0</v>
      </c>
      <c r="M86" s="554"/>
      <c r="N86" s="531">
        <f>SUM(N84:N85)</f>
        <v>0</v>
      </c>
      <c r="O86" s="554"/>
      <c r="P86" s="530">
        <f>J86+L86+N86</f>
        <v>1256674.8</v>
      </c>
      <c r="Q86" s="554"/>
      <c r="R86" s="530">
        <f>SUM(R84:R85)</f>
        <v>1256674.8</v>
      </c>
      <c r="S86" s="530">
        <f>SUM(S84:S85)</f>
        <v>1256674.8</v>
      </c>
      <c r="T86" s="530">
        <f>SUM(T84:T85)</f>
        <v>1256674.8</v>
      </c>
      <c r="U86" s="554"/>
      <c r="V86" s="531">
        <f>SUM(V84:V85)</f>
        <v>0</v>
      </c>
      <c r="W86" s="554"/>
      <c r="X86" s="554"/>
      <c r="Y86" s="554"/>
    </row>
    <row r="87" spans="1:25" s="557" customFormat="1" hidden="1" outlineLevel="1">
      <c r="A87" s="554"/>
      <c r="B87" s="502" t="s">
        <v>1037</v>
      </c>
      <c r="C87" s="503"/>
      <c r="D87" s="555"/>
      <c r="E87" s="555"/>
      <c r="F87" s="556"/>
      <c r="G87" s="556"/>
      <c r="H87" s="554"/>
      <c r="I87" s="554"/>
      <c r="J87" s="506"/>
      <c r="K87" s="554"/>
      <c r="L87" s="506"/>
      <c r="M87" s="554"/>
      <c r="N87" s="507"/>
      <c r="O87" s="554"/>
      <c r="P87" s="506">
        <f>J87+L87+N87</f>
        <v>0</v>
      </c>
      <c r="Q87" s="554"/>
      <c r="R87" s="506"/>
      <c r="S87" s="506"/>
      <c r="T87" s="506">
        <f>P87</f>
        <v>0</v>
      </c>
      <c r="U87" s="554"/>
      <c r="V87" s="507">
        <f>T87-S87</f>
        <v>0</v>
      </c>
      <c r="W87" s="554"/>
      <c r="X87" s="554"/>
    </row>
    <row r="88" spans="1:25" s="557" customFormat="1" ht="5.0999999999999996" hidden="1" customHeight="1" outlineLevel="1">
      <c r="A88" s="528" t="s">
        <v>198</v>
      </c>
      <c r="B88" s="503" t="s">
        <v>198</v>
      </c>
      <c r="C88" s="503"/>
      <c r="D88" s="556"/>
      <c r="E88" s="556"/>
      <c r="F88" s="556"/>
      <c r="G88" s="556"/>
      <c r="H88" s="554"/>
      <c r="I88" s="554"/>
      <c r="J88" s="532"/>
      <c r="K88" s="554"/>
      <c r="L88" s="532"/>
      <c r="M88" s="554"/>
      <c r="N88" s="533"/>
      <c r="O88" s="554"/>
      <c r="P88" s="532"/>
      <c r="Q88" s="554"/>
      <c r="R88" s="532"/>
      <c r="S88" s="532"/>
      <c r="T88" s="532"/>
      <c r="U88" s="554"/>
      <c r="V88" s="533"/>
      <c r="W88" s="554"/>
      <c r="X88" s="554"/>
      <c r="Y88" s="554"/>
    </row>
    <row r="89" spans="1:25" s="557" customFormat="1" hidden="1" collapsed="1">
      <c r="A89" s="503" t="s">
        <v>1037</v>
      </c>
      <c r="B89" s="503" t="s">
        <v>198</v>
      </c>
      <c r="C89" s="503"/>
      <c r="D89" s="554"/>
      <c r="E89" s="554"/>
      <c r="F89" s="555" t="s">
        <v>1038</v>
      </c>
      <c r="G89" s="584"/>
      <c r="H89" s="584"/>
      <c r="I89" s="584"/>
      <c r="J89" s="530">
        <f>SUM(J87:J88)</f>
        <v>0</v>
      </c>
      <c r="K89" s="554"/>
      <c r="L89" s="530">
        <f>SUM(L87:L88)</f>
        <v>0</v>
      </c>
      <c r="M89" s="554"/>
      <c r="N89" s="531">
        <f>SUM(N87:N88)</f>
        <v>0</v>
      </c>
      <c r="O89" s="554"/>
      <c r="P89" s="530">
        <f>J89+L89+N89</f>
        <v>0</v>
      </c>
      <c r="Q89" s="554"/>
      <c r="R89" s="530">
        <f>SUM(R87:R88)</f>
        <v>0</v>
      </c>
      <c r="S89" s="530">
        <f>SUM(S87:S88)</f>
        <v>0</v>
      </c>
      <c r="T89" s="530">
        <f>SUM(T87:T88)</f>
        <v>0</v>
      </c>
      <c r="U89" s="554"/>
      <c r="V89" s="531">
        <f>SUM(V87:V88)</f>
        <v>0</v>
      </c>
      <c r="W89" s="554"/>
      <c r="X89" s="554"/>
      <c r="Y89" s="554"/>
    </row>
    <row r="90" spans="1:25" s="557" customFormat="1" hidden="1" outlineLevel="1">
      <c r="A90" s="554"/>
      <c r="B90" s="502" t="s">
        <v>902</v>
      </c>
      <c r="C90" s="503"/>
      <c r="D90" s="555"/>
      <c r="E90" s="555"/>
      <c r="F90" s="556"/>
      <c r="G90" s="556"/>
      <c r="H90" s="554"/>
      <c r="I90" s="554"/>
      <c r="J90" s="506"/>
      <c r="K90" s="554"/>
      <c r="L90" s="506"/>
      <c r="M90" s="554"/>
      <c r="N90" s="507"/>
      <c r="O90" s="554"/>
      <c r="P90" s="506">
        <f>J90+L90+N90</f>
        <v>0</v>
      </c>
      <c r="Q90" s="554"/>
      <c r="R90" s="506"/>
      <c r="S90" s="506"/>
      <c r="T90" s="506">
        <f>P90</f>
        <v>0</v>
      </c>
      <c r="U90" s="554"/>
      <c r="V90" s="507">
        <f>T90-S90</f>
        <v>0</v>
      </c>
      <c r="W90" s="554"/>
      <c r="X90" s="554"/>
    </row>
    <row r="91" spans="1:25" s="557" customFormat="1" ht="4.5" hidden="1" customHeight="1" outlineLevel="1">
      <c r="A91" s="503" t="s">
        <v>198</v>
      </c>
      <c r="B91" s="554" t="s">
        <v>198</v>
      </c>
      <c r="C91" s="583"/>
      <c r="D91" s="582"/>
      <c r="E91" s="554"/>
      <c r="F91" s="554"/>
      <c r="G91" s="554"/>
      <c r="H91" s="554"/>
      <c r="I91" s="554"/>
      <c r="J91" s="532"/>
      <c r="K91" s="554"/>
      <c r="L91" s="532"/>
      <c r="M91" s="554"/>
      <c r="N91" s="533"/>
      <c r="O91" s="554"/>
      <c r="P91" s="532"/>
      <c r="Q91" s="554"/>
      <c r="R91" s="532"/>
      <c r="S91" s="532"/>
      <c r="T91" s="532"/>
      <c r="U91" s="554"/>
      <c r="V91" s="533"/>
      <c r="W91" s="554"/>
      <c r="X91" s="554"/>
      <c r="Y91" s="554"/>
    </row>
    <row r="92" spans="1:25" s="557" customFormat="1" hidden="1" collapsed="1">
      <c r="A92" s="503" t="s">
        <v>902</v>
      </c>
      <c r="B92" s="528" t="s">
        <v>198</v>
      </c>
      <c r="C92" s="528"/>
      <c r="D92" s="554"/>
      <c r="E92" s="554"/>
      <c r="F92" s="554" t="s">
        <v>1039</v>
      </c>
      <c r="G92" s="554"/>
      <c r="H92" s="554"/>
      <c r="I92" s="554"/>
      <c r="J92" s="530">
        <f>SUM(J90:J91)</f>
        <v>0</v>
      </c>
      <c r="K92" s="554"/>
      <c r="L92" s="530">
        <f>SUM(L90:L91)</f>
        <v>0</v>
      </c>
      <c r="M92" s="554"/>
      <c r="N92" s="531">
        <f>SUM(N90:N91)</f>
        <v>0</v>
      </c>
      <c r="O92" s="554"/>
      <c r="P92" s="530">
        <f>J92+L92+N92</f>
        <v>0</v>
      </c>
      <c r="Q92" s="554"/>
      <c r="R92" s="530">
        <f>SUM(R90:R91)</f>
        <v>0</v>
      </c>
      <c r="S92" s="530">
        <f>SUM(S90:S91)</f>
        <v>0</v>
      </c>
      <c r="T92" s="530">
        <f>SUM(T90:T91)</f>
        <v>0</v>
      </c>
      <c r="U92" s="554"/>
      <c r="V92" s="531">
        <f>SUM(V90:V91)</f>
        <v>0</v>
      </c>
      <c r="W92" s="554"/>
      <c r="X92" s="554"/>
      <c r="Y92" s="554"/>
    </row>
    <row r="93" spans="1:25" s="557" customFormat="1" hidden="1" outlineLevel="1">
      <c r="A93" s="554"/>
      <c r="B93" s="502" t="s">
        <v>1040</v>
      </c>
      <c r="C93" s="503"/>
      <c r="D93" s="555"/>
      <c r="E93" s="555"/>
      <c r="F93" s="556"/>
      <c r="G93" s="556"/>
      <c r="H93" s="554"/>
      <c r="I93" s="554"/>
      <c r="J93" s="506"/>
      <c r="K93" s="554"/>
      <c r="L93" s="506"/>
      <c r="M93" s="554"/>
      <c r="N93" s="507"/>
      <c r="O93" s="554"/>
      <c r="P93" s="506">
        <f>J93+L93+N93</f>
        <v>0</v>
      </c>
      <c r="Q93" s="554"/>
      <c r="R93" s="506"/>
      <c r="S93" s="506"/>
      <c r="T93" s="506">
        <f>P93</f>
        <v>0</v>
      </c>
      <c r="U93" s="554"/>
      <c r="V93" s="507">
        <f>T93-S93</f>
        <v>0</v>
      </c>
      <c r="W93" s="554"/>
      <c r="X93" s="554"/>
    </row>
    <row r="94" spans="1:25" s="557" customFormat="1" ht="5.0999999999999996" hidden="1" customHeight="1" outlineLevel="1">
      <c r="A94" s="528" t="s">
        <v>198</v>
      </c>
      <c r="B94" s="528" t="s">
        <v>198</v>
      </c>
      <c r="C94" s="528"/>
      <c r="D94" s="556"/>
      <c r="E94" s="556"/>
      <c r="F94" s="556"/>
      <c r="G94" s="556"/>
      <c r="H94" s="554"/>
      <c r="I94" s="554"/>
      <c r="J94" s="532"/>
      <c r="K94" s="554"/>
      <c r="L94" s="532"/>
      <c r="M94" s="554"/>
      <c r="N94" s="533"/>
      <c r="O94" s="554"/>
      <c r="P94" s="532"/>
      <c r="Q94" s="554"/>
      <c r="R94" s="532"/>
      <c r="S94" s="532"/>
      <c r="T94" s="532"/>
      <c r="U94" s="554"/>
      <c r="V94" s="533"/>
      <c r="W94" s="554"/>
      <c r="X94" s="554"/>
      <c r="Y94" s="554"/>
    </row>
    <row r="95" spans="1:25" s="557" customFormat="1" hidden="1" collapsed="1">
      <c r="A95" s="503" t="s">
        <v>1040</v>
      </c>
      <c r="B95" s="528" t="s">
        <v>198</v>
      </c>
      <c r="C95" s="528"/>
      <c r="D95" s="554"/>
      <c r="E95" s="554"/>
      <c r="F95" s="555" t="s">
        <v>1041</v>
      </c>
      <c r="G95" s="554"/>
      <c r="H95" s="554"/>
      <c r="I95" s="554"/>
      <c r="J95" s="530">
        <f>SUM(J93:J94)</f>
        <v>0</v>
      </c>
      <c r="K95" s="554"/>
      <c r="L95" s="530">
        <f>SUM(L93:L94)</f>
        <v>0</v>
      </c>
      <c r="M95" s="554"/>
      <c r="N95" s="531">
        <f>SUM(N93:N94)</f>
        <v>0</v>
      </c>
      <c r="O95" s="554"/>
      <c r="P95" s="530">
        <f>J95+L95+N95</f>
        <v>0</v>
      </c>
      <c r="Q95" s="554"/>
      <c r="R95" s="530">
        <f>SUM(R93:R94)</f>
        <v>0</v>
      </c>
      <c r="S95" s="530">
        <f>SUM(S93:S94)</f>
        <v>0</v>
      </c>
      <c r="T95" s="530">
        <f>SUM(T93:T94)</f>
        <v>0</v>
      </c>
      <c r="U95" s="554"/>
      <c r="V95" s="531">
        <f>SUM(V93:V94)</f>
        <v>0</v>
      </c>
      <c r="W95" s="554"/>
      <c r="X95" s="554"/>
      <c r="Y95" s="554"/>
    </row>
    <row r="96" spans="1:25" s="557" customFormat="1" hidden="1" outlineLevel="1">
      <c r="A96" s="554"/>
      <c r="B96" s="502" t="s">
        <v>1042</v>
      </c>
      <c r="C96" s="503"/>
      <c r="D96" s="555"/>
      <c r="E96" s="555"/>
      <c r="F96" s="556"/>
      <c r="G96" s="556"/>
      <c r="H96" s="554"/>
      <c r="I96" s="554"/>
      <c r="J96" s="506"/>
      <c r="K96" s="554"/>
      <c r="L96" s="506"/>
      <c r="M96" s="554"/>
      <c r="N96" s="507"/>
      <c r="O96" s="554"/>
      <c r="P96" s="506">
        <f>J96+L96+N96</f>
        <v>0</v>
      </c>
      <c r="Q96" s="554"/>
      <c r="R96" s="506"/>
      <c r="S96" s="506"/>
      <c r="T96" s="506">
        <f>P96</f>
        <v>0</v>
      </c>
      <c r="U96" s="554"/>
      <c r="V96" s="507">
        <f>T96-S96</f>
        <v>0</v>
      </c>
      <c r="W96" s="554"/>
      <c r="X96" s="554"/>
    </row>
    <row r="97" spans="1:25" s="557" customFormat="1" ht="5.0999999999999996" hidden="1" customHeight="1" outlineLevel="1">
      <c r="A97" s="528" t="s">
        <v>198</v>
      </c>
      <c r="B97" s="528" t="s">
        <v>198</v>
      </c>
      <c r="C97" s="528"/>
      <c r="D97" s="556"/>
      <c r="E97" s="556"/>
      <c r="F97" s="556"/>
      <c r="G97" s="556"/>
      <c r="H97" s="554"/>
      <c r="I97" s="554"/>
      <c r="J97" s="532"/>
      <c r="K97" s="554"/>
      <c r="L97" s="532"/>
      <c r="M97" s="554"/>
      <c r="N97" s="533"/>
      <c r="O97" s="554"/>
      <c r="P97" s="532"/>
      <c r="Q97" s="554"/>
      <c r="R97" s="532"/>
      <c r="S97" s="532"/>
      <c r="T97" s="532"/>
      <c r="U97" s="554"/>
      <c r="V97" s="533"/>
      <c r="W97" s="554"/>
      <c r="X97" s="554"/>
      <c r="Y97" s="554"/>
    </row>
    <row r="98" spans="1:25" s="557" customFormat="1" hidden="1" collapsed="1">
      <c r="A98" s="503" t="s">
        <v>1042</v>
      </c>
      <c r="B98" s="503" t="s">
        <v>198</v>
      </c>
      <c r="C98" s="503"/>
      <c r="D98" s="554"/>
      <c r="E98" s="554"/>
      <c r="F98" s="555" t="s">
        <v>1043</v>
      </c>
      <c r="G98" s="554"/>
      <c r="H98" s="554"/>
      <c r="I98" s="554"/>
      <c r="J98" s="530">
        <f>SUM(J96:J97)</f>
        <v>0</v>
      </c>
      <c r="K98" s="554"/>
      <c r="L98" s="530">
        <f>SUM(L96:L97)</f>
        <v>0</v>
      </c>
      <c r="M98" s="554"/>
      <c r="N98" s="531">
        <f>SUM(N96:N97)</f>
        <v>0</v>
      </c>
      <c r="O98" s="554"/>
      <c r="P98" s="530">
        <f>J98+L98+N98</f>
        <v>0</v>
      </c>
      <c r="Q98" s="554"/>
      <c r="R98" s="530">
        <f>SUM(R96:R97)</f>
        <v>0</v>
      </c>
      <c r="S98" s="530">
        <f>SUM(S96:S97)</f>
        <v>0</v>
      </c>
      <c r="T98" s="530">
        <f>SUM(T96:T97)</f>
        <v>0</v>
      </c>
      <c r="U98" s="554"/>
      <c r="V98" s="531">
        <f>SUM(V96:V97)</f>
        <v>0</v>
      </c>
      <c r="W98" s="554"/>
      <c r="X98" s="554"/>
      <c r="Y98" s="554"/>
    </row>
    <row r="99" spans="1:25" s="557" customFormat="1" outlineLevel="1">
      <c r="A99" s="554"/>
      <c r="B99" s="502" t="s">
        <v>904</v>
      </c>
      <c r="C99" s="503"/>
      <c r="D99" s="555">
        <v>17100</v>
      </c>
      <c r="E99" s="555" t="s">
        <v>1044</v>
      </c>
      <c r="F99" s="556"/>
      <c r="G99" s="556"/>
      <c r="H99" s="554"/>
      <c r="I99" s="554"/>
      <c r="J99" s="506">
        <v>56956.28</v>
      </c>
      <c r="K99" s="554"/>
      <c r="L99" s="506">
        <v>0</v>
      </c>
      <c r="M99" s="554"/>
      <c r="N99" s="507">
        <v>0</v>
      </c>
      <c r="O99" s="554"/>
      <c r="P99" s="506">
        <f>J99+L99+N99</f>
        <v>56956.28</v>
      </c>
      <c r="Q99" s="554"/>
      <c r="R99" s="506">
        <v>116424.75</v>
      </c>
      <c r="S99" s="506">
        <v>54536</v>
      </c>
      <c r="T99" s="506">
        <f t="shared" ref="T99:T100" si="11">P99</f>
        <v>56956.28</v>
      </c>
      <c r="U99" s="554"/>
      <c r="V99" s="507">
        <f t="shared" ref="V99:V100" si="12">T99-S99</f>
        <v>2420.2799999999988</v>
      </c>
      <c r="W99" s="554"/>
      <c r="X99" s="554"/>
    </row>
    <row r="100" spans="1:25" s="557" customFormat="1" outlineLevel="1">
      <c r="A100" s="554"/>
      <c r="B100" s="502" t="s">
        <v>206</v>
      </c>
      <c r="C100" s="503"/>
      <c r="D100" s="555">
        <v>18100</v>
      </c>
      <c r="E100" s="555" t="s">
        <v>1045</v>
      </c>
      <c r="F100" s="556"/>
      <c r="G100" s="556"/>
      <c r="H100" s="554"/>
      <c r="I100" s="554"/>
      <c r="J100" s="506">
        <v>-2172483.84</v>
      </c>
      <c r="K100" s="554"/>
      <c r="L100" s="506">
        <v>0</v>
      </c>
      <c r="M100" s="554"/>
      <c r="N100" s="507">
        <v>0</v>
      </c>
      <c r="O100" s="554"/>
      <c r="P100" s="506">
        <f>J100+L100+N100</f>
        <v>-2172483.84</v>
      </c>
      <c r="Q100" s="554"/>
      <c r="R100" s="506">
        <v>-2172483.84</v>
      </c>
      <c r="S100" s="506">
        <v>-2172483.84</v>
      </c>
      <c r="T100" s="506">
        <f t="shared" si="11"/>
        <v>-2172483.84</v>
      </c>
      <c r="U100" s="554"/>
      <c r="V100" s="507">
        <f t="shared" si="12"/>
        <v>0</v>
      </c>
      <c r="W100" s="554"/>
      <c r="X100" s="554"/>
    </row>
    <row r="101" spans="1:25" s="557" customFormat="1" ht="5.0999999999999996" customHeight="1" outlineLevel="1">
      <c r="A101" s="503" t="s">
        <v>198</v>
      </c>
      <c r="B101" s="503" t="s">
        <v>198</v>
      </c>
      <c r="C101" s="503"/>
      <c r="D101" s="556"/>
      <c r="E101" s="556"/>
      <c r="F101" s="556"/>
      <c r="G101" s="556"/>
      <c r="H101" s="554"/>
      <c r="I101" s="554"/>
      <c r="J101" s="532"/>
      <c r="K101" s="554"/>
      <c r="L101" s="532"/>
      <c r="M101" s="554"/>
      <c r="N101" s="533"/>
      <c r="O101" s="554"/>
      <c r="P101" s="532"/>
      <c r="Q101" s="554"/>
      <c r="R101" s="532"/>
      <c r="S101" s="532"/>
      <c r="T101" s="532"/>
      <c r="U101" s="554"/>
      <c r="V101" s="533"/>
      <c r="W101" s="554"/>
      <c r="X101" s="554"/>
      <c r="Y101" s="554"/>
    </row>
    <row r="102" spans="1:25" s="557" customFormat="1">
      <c r="A102" s="503" t="s">
        <v>904</v>
      </c>
      <c r="B102" s="503" t="s">
        <v>198</v>
      </c>
      <c r="C102" s="503"/>
      <c r="D102" s="554"/>
      <c r="E102" s="554"/>
      <c r="F102" s="555" t="s">
        <v>905</v>
      </c>
      <c r="G102" s="554"/>
      <c r="H102" s="554"/>
      <c r="I102" s="554"/>
      <c r="J102" s="530">
        <f>SUM(J99:J101)</f>
        <v>-2115527.56</v>
      </c>
      <c r="K102" s="554"/>
      <c r="L102" s="530">
        <f>SUM(L99:L101)</f>
        <v>0</v>
      </c>
      <c r="M102" s="554"/>
      <c r="N102" s="531">
        <f>SUM(N99:N101)</f>
        <v>0</v>
      </c>
      <c r="O102" s="554"/>
      <c r="P102" s="530">
        <f>J102+L102+N102</f>
        <v>-2115527.56</v>
      </c>
      <c r="Q102" s="554"/>
      <c r="R102" s="530">
        <f>SUM(R99:R101)</f>
        <v>-2056059.0899999999</v>
      </c>
      <c r="S102" s="530">
        <f>SUM(S99:S101)</f>
        <v>-2117947.84</v>
      </c>
      <c r="T102" s="530">
        <f>SUM(T99:T101)</f>
        <v>-2115527.56</v>
      </c>
      <c r="U102" s="554"/>
      <c r="V102" s="531">
        <f>SUM(V99:V101)</f>
        <v>2420.2799999999988</v>
      </c>
      <c r="W102" s="554"/>
      <c r="X102" s="554"/>
      <c r="Y102" s="554"/>
    </row>
    <row r="103" spans="1:25" s="557" customFormat="1" ht="7.5" customHeight="1">
      <c r="A103" s="503" t="s">
        <v>198</v>
      </c>
      <c r="B103" s="528" t="s">
        <v>198</v>
      </c>
      <c r="C103" s="528"/>
      <c r="D103" s="554"/>
      <c r="E103" s="554"/>
      <c r="F103" s="554"/>
      <c r="G103" s="554"/>
      <c r="H103" s="554"/>
      <c r="I103" s="554"/>
      <c r="J103" s="535"/>
      <c r="K103" s="554"/>
      <c r="L103" s="535"/>
      <c r="M103" s="554"/>
      <c r="N103" s="507"/>
      <c r="O103" s="554"/>
      <c r="P103" s="535"/>
      <c r="Q103" s="554"/>
      <c r="R103" s="535"/>
      <c r="S103" s="535"/>
      <c r="T103" s="535"/>
      <c r="U103" s="554"/>
      <c r="V103" s="507"/>
      <c r="W103" s="554"/>
      <c r="X103" s="554"/>
      <c r="Y103" s="554"/>
    </row>
    <row r="104" spans="1:25" s="557" customFormat="1" ht="13.5" thickBot="1">
      <c r="A104" s="503" t="s">
        <v>198</v>
      </c>
      <c r="B104" s="528" t="s">
        <v>198</v>
      </c>
      <c r="C104" s="528"/>
      <c r="D104" s="554"/>
      <c r="E104" s="581" t="s">
        <v>1046</v>
      </c>
      <c r="F104" s="554"/>
      <c r="G104" s="554"/>
      <c r="H104" s="554"/>
      <c r="I104" s="554"/>
      <c r="J104" s="542">
        <f>SUM(J77,J80,J83,J86,J89,J92,J95,J98,J102,J51)</f>
        <v>64600.769999999859</v>
      </c>
      <c r="K104" s="554"/>
      <c r="L104" s="542">
        <f>SUM(L77,L80,L83,L86,L89,L92,L95,L98,L102,L51)</f>
        <v>0</v>
      </c>
      <c r="M104" s="554"/>
      <c r="N104" s="543">
        <f>SUM(N77,N80,N83,N86,N89,N92,N95,N98,N102,N51)</f>
        <v>0</v>
      </c>
      <c r="O104" s="554"/>
      <c r="P104" s="542">
        <f>SUM(P77,P80,P83,P86,P89,P92,P95,P98,P102,P51)</f>
        <v>64600.769999999859</v>
      </c>
      <c r="Q104" s="554"/>
      <c r="R104" s="542">
        <f>SUM(R77,R80,R83,R86,R89,R92,R95,R98,R102,R51)</f>
        <v>57342.979999999967</v>
      </c>
      <c r="S104" s="542">
        <f>SUM(S77,S80,S83,S86,S89,S92,S95,S98,S102,S51)</f>
        <v>56648.110000000117</v>
      </c>
      <c r="T104" s="542">
        <f>SUM(T77,T80,T83,T86,T89,T92,T95,T98,T102,T51)</f>
        <v>64600.769999999859</v>
      </c>
      <c r="U104" s="554"/>
      <c r="V104" s="543">
        <f>SUM(V77,V80,V83,V86,V89,V92,V95,V98,V102,V51)</f>
        <v>7952.659999999978</v>
      </c>
      <c r="W104" s="554"/>
      <c r="X104" s="554"/>
      <c r="Y104" s="554"/>
    </row>
    <row r="105" spans="1:25" s="557" customFormat="1" ht="7.5" customHeight="1" thickTop="1">
      <c r="A105" s="528" t="s">
        <v>198</v>
      </c>
      <c r="B105" s="528"/>
      <c r="C105" s="528"/>
      <c r="D105" s="554"/>
      <c r="E105" s="581"/>
      <c r="F105" s="554"/>
      <c r="G105" s="554"/>
      <c r="H105" s="554"/>
      <c r="I105" s="554"/>
      <c r="J105" s="531"/>
      <c r="K105" s="583"/>
      <c r="L105" s="531"/>
      <c r="M105" s="583"/>
      <c r="N105" s="531"/>
      <c r="O105" s="583"/>
      <c r="P105" s="531"/>
      <c r="Q105" s="583"/>
      <c r="R105" s="531"/>
      <c r="S105" s="531"/>
      <c r="T105" s="531"/>
      <c r="U105" s="583"/>
      <c r="V105" s="531"/>
      <c r="W105" s="554"/>
      <c r="X105" s="554"/>
      <c r="Y105" s="554"/>
    </row>
    <row r="106" spans="1:25" s="557" customFormat="1" hidden="1" outlineLevel="1">
      <c r="A106" s="554"/>
      <c r="B106" s="502" t="s">
        <v>1047</v>
      </c>
      <c r="C106" s="503"/>
      <c r="D106" s="555"/>
      <c r="E106" s="555"/>
      <c r="F106" s="556"/>
      <c r="G106" s="556"/>
      <c r="H106" s="554"/>
      <c r="I106" s="554"/>
      <c r="J106" s="506"/>
      <c r="K106" s="554"/>
      <c r="L106" s="506"/>
      <c r="M106" s="554"/>
      <c r="N106" s="507"/>
      <c r="O106" s="554"/>
      <c r="P106" s="506">
        <f>J106+L106+N106</f>
        <v>0</v>
      </c>
      <c r="Q106" s="554"/>
      <c r="R106" s="506"/>
      <c r="S106" s="506"/>
      <c r="T106" s="506">
        <f>P106</f>
        <v>0</v>
      </c>
      <c r="U106" s="554"/>
      <c r="V106" s="507">
        <f>T106-S106</f>
        <v>0</v>
      </c>
      <c r="W106" s="554"/>
      <c r="X106" s="554"/>
    </row>
    <row r="107" spans="1:25" s="557" customFormat="1" ht="5.0999999999999996" hidden="1" customHeight="1" outlineLevel="1">
      <c r="A107" s="528"/>
      <c r="B107" s="528"/>
      <c r="C107" s="528"/>
      <c r="D107" s="555"/>
      <c r="E107" s="555"/>
      <c r="F107" s="554"/>
      <c r="G107" s="554"/>
      <c r="H107" s="554"/>
      <c r="I107" s="554"/>
      <c r="J107" s="532"/>
      <c r="K107" s="554"/>
      <c r="L107" s="532"/>
      <c r="M107" s="554"/>
      <c r="N107" s="533"/>
      <c r="O107" s="554"/>
      <c r="P107" s="532"/>
      <c r="Q107" s="554"/>
      <c r="R107" s="532"/>
      <c r="S107" s="532"/>
      <c r="T107" s="532"/>
      <c r="U107" s="554"/>
      <c r="V107" s="533"/>
      <c r="W107" s="554"/>
      <c r="X107" s="554"/>
      <c r="Y107" s="554"/>
    </row>
    <row r="108" spans="1:25" s="557" customFormat="1" ht="12.75" hidden="1" customHeight="1" collapsed="1">
      <c r="A108" s="503" t="s">
        <v>1047</v>
      </c>
      <c r="B108" s="528" t="s">
        <v>198</v>
      </c>
      <c r="C108" s="528"/>
      <c r="D108" s="554"/>
      <c r="E108" s="554"/>
      <c r="F108" s="554" t="s">
        <v>1048</v>
      </c>
      <c r="G108" s="554"/>
      <c r="H108" s="554"/>
      <c r="I108" s="554"/>
      <c r="J108" s="530">
        <f>SUM(J106:J107)</f>
        <v>0</v>
      </c>
      <c r="K108" s="554"/>
      <c r="L108" s="530">
        <f>SUM(L106:L107)</f>
        <v>0</v>
      </c>
      <c r="M108" s="554"/>
      <c r="N108" s="531">
        <f>SUM(N106:N107)</f>
        <v>0</v>
      </c>
      <c r="O108" s="554"/>
      <c r="P108" s="530">
        <f>J108+L108+N108</f>
        <v>0</v>
      </c>
      <c r="Q108" s="554"/>
      <c r="R108" s="530">
        <f>SUM(R106:R107)</f>
        <v>0</v>
      </c>
      <c r="S108" s="530">
        <f>SUM(S106:S107)</f>
        <v>0</v>
      </c>
      <c r="T108" s="530">
        <f>SUM(T106:T107)</f>
        <v>0</v>
      </c>
      <c r="U108" s="554"/>
      <c r="V108" s="531">
        <f>SUM(V106:V107)</f>
        <v>0</v>
      </c>
      <c r="W108" s="554"/>
      <c r="X108" s="554"/>
      <c r="Y108" s="554"/>
    </row>
    <row r="109" spans="1:25" s="557" customFormat="1" hidden="1" outlineLevel="1">
      <c r="A109" s="528"/>
      <c r="B109" s="503" t="s">
        <v>198</v>
      </c>
      <c r="C109" s="503"/>
      <c r="D109" s="554"/>
      <c r="E109" s="554"/>
      <c r="F109" s="554"/>
      <c r="G109" s="554"/>
      <c r="H109" s="554"/>
      <c r="I109" s="554"/>
      <c r="J109" s="535"/>
      <c r="K109" s="554"/>
      <c r="L109" s="535"/>
      <c r="M109" s="554"/>
      <c r="N109" s="507"/>
      <c r="O109" s="554"/>
      <c r="P109" s="535"/>
      <c r="Q109" s="554"/>
      <c r="R109" s="535"/>
      <c r="S109" s="535"/>
      <c r="T109" s="535"/>
      <c r="U109" s="554"/>
      <c r="V109" s="507"/>
      <c r="W109" s="554"/>
      <c r="X109" s="554"/>
      <c r="Y109" s="554"/>
    </row>
    <row r="110" spans="1:25" s="557" customFormat="1" hidden="1" outlineLevel="1">
      <c r="A110" s="554"/>
      <c r="B110" s="502" t="s">
        <v>916</v>
      </c>
      <c r="C110" s="503"/>
      <c r="D110" s="555"/>
      <c r="E110" s="555"/>
      <c r="F110" s="556"/>
      <c r="G110" s="556"/>
      <c r="H110" s="554"/>
      <c r="I110" s="554"/>
      <c r="J110" s="506"/>
      <c r="K110" s="554"/>
      <c r="L110" s="506"/>
      <c r="M110" s="554"/>
      <c r="N110" s="507"/>
      <c r="O110" s="554"/>
      <c r="P110" s="506">
        <f>J110+L110+N110</f>
        <v>0</v>
      </c>
      <c r="Q110" s="554"/>
      <c r="R110" s="506"/>
      <c r="S110" s="506"/>
      <c r="T110" s="506">
        <f>P110</f>
        <v>0</v>
      </c>
      <c r="U110" s="554"/>
      <c r="V110" s="507">
        <f>T110-S110</f>
        <v>0</v>
      </c>
      <c r="W110" s="554"/>
      <c r="X110" s="554"/>
    </row>
    <row r="111" spans="1:25" s="557" customFormat="1" ht="5.0999999999999996" hidden="1" customHeight="1" outlineLevel="1">
      <c r="A111" s="503" t="s">
        <v>198</v>
      </c>
      <c r="B111" s="503" t="s">
        <v>198</v>
      </c>
      <c r="C111" s="503"/>
      <c r="D111" s="556"/>
      <c r="E111" s="556"/>
      <c r="F111" s="556"/>
      <c r="G111" s="556"/>
      <c r="H111" s="554"/>
      <c r="I111" s="554"/>
      <c r="J111" s="532"/>
      <c r="K111" s="554"/>
      <c r="L111" s="532"/>
      <c r="M111" s="554"/>
      <c r="N111" s="533"/>
      <c r="O111" s="554"/>
      <c r="P111" s="532"/>
      <c r="Q111" s="554"/>
      <c r="R111" s="532"/>
      <c r="S111" s="532"/>
      <c r="T111" s="532"/>
      <c r="U111" s="554"/>
      <c r="V111" s="533"/>
      <c r="W111" s="554"/>
      <c r="X111" s="554"/>
      <c r="Y111" s="554"/>
    </row>
    <row r="112" spans="1:25" s="557" customFormat="1" ht="12.75" hidden="1" customHeight="1" collapsed="1">
      <c r="A112" s="503" t="s">
        <v>916</v>
      </c>
      <c r="B112" s="503" t="s">
        <v>198</v>
      </c>
      <c r="C112" s="503"/>
      <c r="D112" s="554"/>
      <c r="E112" s="554"/>
      <c r="F112" s="555" t="s">
        <v>1049</v>
      </c>
      <c r="G112" s="554"/>
      <c r="H112" s="554"/>
      <c r="I112" s="554"/>
      <c r="J112" s="530">
        <f>SUM(J110:J111)</f>
        <v>0</v>
      </c>
      <c r="K112" s="554"/>
      <c r="L112" s="530">
        <f>SUM(L110:L111)</f>
        <v>0</v>
      </c>
      <c r="M112" s="554"/>
      <c r="N112" s="531">
        <f>SUM(N110:N111)</f>
        <v>0</v>
      </c>
      <c r="O112" s="554"/>
      <c r="P112" s="530">
        <f t="shared" ref="P112:P118" si="13">J112+L112+N112</f>
        <v>0</v>
      </c>
      <c r="Q112" s="554"/>
      <c r="R112" s="530">
        <f>SUM(R110:R111)</f>
        <v>0</v>
      </c>
      <c r="S112" s="530">
        <f>SUM(S110:S111)</f>
        <v>0</v>
      </c>
      <c r="T112" s="530">
        <f>SUM(T110:T111)</f>
        <v>0</v>
      </c>
      <c r="U112" s="554"/>
      <c r="V112" s="531">
        <f>SUM(V110:V111)</f>
        <v>0</v>
      </c>
      <c r="W112" s="554"/>
      <c r="X112" s="554"/>
      <c r="Y112" s="554"/>
    </row>
    <row r="113" spans="1:25" s="557" customFormat="1" outlineLevel="1">
      <c r="A113" s="554"/>
      <c r="B113" s="502" t="s">
        <v>908</v>
      </c>
      <c r="C113" s="503"/>
      <c r="D113" s="555">
        <v>20120</v>
      </c>
      <c r="E113" s="555" t="s">
        <v>1050</v>
      </c>
      <c r="F113" s="556"/>
      <c r="G113" s="556"/>
      <c r="H113" s="554"/>
      <c r="I113" s="554"/>
      <c r="J113" s="506">
        <v>27021.71</v>
      </c>
      <c r="K113" s="554"/>
      <c r="L113" s="506">
        <v>0</v>
      </c>
      <c r="M113" s="554"/>
      <c r="N113" s="507">
        <v>0</v>
      </c>
      <c r="O113" s="554"/>
      <c r="P113" s="506">
        <f t="shared" si="13"/>
        <v>27021.71</v>
      </c>
      <c r="Q113" s="554"/>
      <c r="R113" s="506">
        <v>25079.09</v>
      </c>
      <c r="S113" s="506">
        <v>27375.39</v>
      </c>
      <c r="T113" s="506">
        <f t="shared" ref="T113:T118" si="14">P113</f>
        <v>27021.71</v>
      </c>
      <c r="U113" s="554"/>
      <c r="V113" s="507">
        <f t="shared" ref="V113:V118" si="15">T113-S113</f>
        <v>-353.68000000000029</v>
      </c>
      <c r="W113" s="554"/>
      <c r="X113" s="554"/>
    </row>
    <row r="114" spans="1:25" s="557" customFormat="1" outlineLevel="1">
      <c r="A114" s="554"/>
      <c r="B114" s="502" t="s">
        <v>206</v>
      </c>
      <c r="C114" s="503"/>
      <c r="D114" s="555">
        <v>20123</v>
      </c>
      <c r="E114" s="555" t="s">
        <v>1052</v>
      </c>
      <c r="F114" s="556"/>
      <c r="G114" s="556"/>
      <c r="H114" s="554"/>
      <c r="I114" s="554"/>
      <c r="J114" s="506">
        <v>2380.12</v>
      </c>
      <c r="K114" s="554"/>
      <c r="L114" s="506">
        <v>0</v>
      </c>
      <c r="M114" s="554"/>
      <c r="N114" s="507">
        <v>0</v>
      </c>
      <c r="O114" s="554"/>
      <c r="P114" s="506">
        <f t="shared" si="13"/>
        <v>2380.12</v>
      </c>
      <c r="Q114" s="554"/>
      <c r="R114" s="506">
        <v>40.56</v>
      </c>
      <c r="S114" s="506">
        <v>187.5</v>
      </c>
      <c r="T114" s="506">
        <f t="shared" si="14"/>
        <v>2380.12</v>
      </c>
      <c r="U114" s="554"/>
      <c r="V114" s="507">
        <f t="shared" si="15"/>
        <v>2192.62</v>
      </c>
      <c r="W114" s="554"/>
      <c r="X114" s="554"/>
    </row>
    <row r="115" spans="1:25" s="557" customFormat="1" outlineLevel="1">
      <c r="A115" s="554"/>
      <c r="B115" s="502" t="s">
        <v>206</v>
      </c>
      <c r="C115" s="503"/>
      <c r="D115" s="555">
        <v>20140</v>
      </c>
      <c r="E115" s="555" t="s">
        <v>1053</v>
      </c>
      <c r="F115" s="556"/>
      <c r="G115" s="556"/>
      <c r="H115" s="554"/>
      <c r="I115" s="554"/>
      <c r="J115" s="506">
        <v>2276.9</v>
      </c>
      <c r="K115" s="554"/>
      <c r="L115" s="506">
        <v>0</v>
      </c>
      <c r="M115" s="554"/>
      <c r="N115" s="507">
        <v>0</v>
      </c>
      <c r="O115" s="554"/>
      <c r="P115" s="506">
        <f t="shared" si="13"/>
        <v>2276.9</v>
      </c>
      <c r="Q115" s="554"/>
      <c r="R115" s="506">
        <v>7793.04</v>
      </c>
      <c r="S115" s="506">
        <v>1563.05</v>
      </c>
      <c r="T115" s="506">
        <f t="shared" si="14"/>
        <v>2276.9</v>
      </c>
      <c r="U115" s="554"/>
      <c r="V115" s="507">
        <f t="shared" si="15"/>
        <v>713.85000000000014</v>
      </c>
      <c r="W115" s="554"/>
      <c r="X115" s="554"/>
    </row>
    <row r="116" spans="1:25" s="557" customFormat="1" outlineLevel="1">
      <c r="A116" s="554"/>
      <c r="B116" s="502" t="s">
        <v>206</v>
      </c>
      <c r="C116" s="503"/>
      <c r="D116" s="555">
        <v>20175</v>
      </c>
      <c r="E116" s="555" t="s">
        <v>1054</v>
      </c>
      <c r="F116" s="556"/>
      <c r="G116" s="556"/>
      <c r="H116" s="554"/>
      <c r="I116" s="554"/>
      <c r="J116" s="506">
        <v>3294.24</v>
      </c>
      <c r="K116" s="554"/>
      <c r="L116" s="506">
        <v>0</v>
      </c>
      <c r="M116" s="554"/>
      <c r="N116" s="507">
        <v>0</v>
      </c>
      <c r="O116" s="554"/>
      <c r="P116" s="506">
        <f t="shared" si="13"/>
        <v>3294.24</v>
      </c>
      <c r="Q116" s="554"/>
      <c r="R116" s="506">
        <v>-1360.04</v>
      </c>
      <c r="S116" s="506">
        <v>4130.08</v>
      </c>
      <c r="T116" s="506">
        <f t="shared" si="14"/>
        <v>3294.24</v>
      </c>
      <c r="U116" s="554"/>
      <c r="V116" s="507">
        <f t="shared" si="15"/>
        <v>-835.84000000000015</v>
      </c>
      <c r="W116" s="554"/>
      <c r="X116" s="554"/>
    </row>
    <row r="117" spans="1:25" s="557" customFormat="1" outlineLevel="1">
      <c r="A117" s="554"/>
      <c r="B117" s="502" t="s">
        <v>206</v>
      </c>
      <c r="C117" s="503"/>
      <c r="D117" s="555">
        <v>20178</v>
      </c>
      <c r="E117" s="555" t="s">
        <v>1055</v>
      </c>
      <c r="F117" s="556"/>
      <c r="G117" s="556"/>
      <c r="H117" s="554"/>
      <c r="I117" s="554"/>
      <c r="J117" s="506">
        <v>4881.8599999999997</v>
      </c>
      <c r="K117" s="554"/>
      <c r="L117" s="506">
        <v>0</v>
      </c>
      <c r="M117" s="554"/>
      <c r="N117" s="507">
        <v>0</v>
      </c>
      <c r="O117" s="554"/>
      <c r="P117" s="506">
        <f t="shared" si="13"/>
        <v>4881.8599999999997</v>
      </c>
      <c r="Q117" s="554"/>
      <c r="R117" s="506">
        <v>4051.97</v>
      </c>
      <c r="S117" s="506">
        <v>4476.01</v>
      </c>
      <c r="T117" s="506">
        <f t="shared" si="14"/>
        <v>4881.8599999999997</v>
      </c>
      <c r="U117" s="554"/>
      <c r="V117" s="507">
        <f t="shared" si="15"/>
        <v>405.84999999999945</v>
      </c>
      <c r="W117" s="554"/>
      <c r="X117" s="554"/>
    </row>
    <row r="118" spans="1:25" s="557" customFormat="1" outlineLevel="1">
      <c r="A118" s="554"/>
      <c r="B118" s="502" t="s">
        <v>206</v>
      </c>
      <c r="C118" s="503"/>
      <c r="D118" s="555">
        <v>20180</v>
      </c>
      <c r="E118" s="555" t="s">
        <v>1056</v>
      </c>
      <c r="F118" s="556"/>
      <c r="G118" s="556"/>
      <c r="H118" s="554"/>
      <c r="I118" s="554"/>
      <c r="J118" s="506">
        <v>5098.32</v>
      </c>
      <c r="K118" s="554"/>
      <c r="L118" s="506">
        <v>0</v>
      </c>
      <c r="M118" s="554"/>
      <c r="N118" s="507">
        <v>0</v>
      </c>
      <c r="O118" s="554"/>
      <c r="P118" s="506">
        <f t="shared" si="13"/>
        <v>5098.32</v>
      </c>
      <c r="Q118" s="554"/>
      <c r="R118" s="506">
        <v>1754.02</v>
      </c>
      <c r="S118" s="506">
        <v>3410.14</v>
      </c>
      <c r="T118" s="506">
        <f t="shared" si="14"/>
        <v>5098.32</v>
      </c>
      <c r="U118" s="554"/>
      <c r="V118" s="507">
        <f t="shared" si="15"/>
        <v>1688.1799999999998</v>
      </c>
      <c r="W118" s="554"/>
      <c r="X118" s="554"/>
    </row>
    <row r="119" spans="1:25" s="557" customFormat="1" ht="5.0999999999999996" customHeight="1" outlineLevel="1">
      <c r="A119" s="503" t="s">
        <v>198</v>
      </c>
      <c r="B119" s="503" t="s">
        <v>198</v>
      </c>
      <c r="C119" s="503"/>
      <c r="D119" s="556"/>
      <c r="E119" s="556"/>
      <c r="F119" s="556"/>
      <c r="G119" s="556"/>
      <c r="H119" s="554"/>
      <c r="I119" s="554"/>
      <c r="J119" s="532"/>
      <c r="K119" s="554"/>
      <c r="L119" s="532"/>
      <c r="M119" s="554"/>
      <c r="N119" s="533"/>
      <c r="O119" s="554"/>
      <c r="P119" s="532"/>
      <c r="Q119" s="554"/>
      <c r="R119" s="532"/>
      <c r="S119" s="532"/>
      <c r="T119" s="532"/>
      <c r="U119" s="554"/>
      <c r="V119" s="533"/>
      <c r="W119" s="554"/>
      <c r="X119" s="554"/>
      <c r="Y119" s="554"/>
    </row>
    <row r="120" spans="1:25" s="557" customFormat="1">
      <c r="A120" s="503" t="s">
        <v>908</v>
      </c>
      <c r="B120" s="503" t="s">
        <v>198</v>
      </c>
      <c r="C120" s="503"/>
      <c r="D120" s="554"/>
      <c r="E120" s="554"/>
      <c r="F120" s="555" t="s">
        <v>1057</v>
      </c>
      <c r="G120" s="554"/>
      <c r="H120" s="554"/>
      <c r="I120" s="554"/>
      <c r="J120" s="530">
        <f>SUM(J113:J119)</f>
        <v>44953.15</v>
      </c>
      <c r="K120" s="554"/>
      <c r="L120" s="530">
        <f>SUM(L113:L119)</f>
        <v>0</v>
      </c>
      <c r="M120" s="554"/>
      <c r="N120" s="531">
        <f>SUM(N113:N119)</f>
        <v>0</v>
      </c>
      <c r="O120" s="554"/>
      <c r="P120" s="530">
        <f>J120+L120+N120</f>
        <v>44953.15</v>
      </c>
      <c r="Q120" s="554"/>
      <c r="R120" s="530">
        <f>SUM(R113:R119)</f>
        <v>37358.639999999999</v>
      </c>
      <c r="S120" s="530">
        <f>SUM(S113:S119)</f>
        <v>41142.17</v>
      </c>
      <c r="T120" s="530">
        <f>SUM(T113:T119)</f>
        <v>44953.15</v>
      </c>
      <c r="U120" s="554"/>
      <c r="V120" s="531">
        <f>SUM(V113:V119)</f>
        <v>3810.9799999999991</v>
      </c>
      <c r="W120" s="554"/>
      <c r="X120" s="554"/>
      <c r="Y120" s="554"/>
    </row>
    <row r="121" spans="1:25" s="557" customFormat="1" outlineLevel="1">
      <c r="A121" s="554"/>
      <c r="B121" s="502" t="s">
        <v>914</v>
      </c>
      <c r="C121" s="503"/>
      <c r="D121" s="555">
        <v>20300</v>
      </c>
      <c r="E121" s="555" t="s">
        <v>1058</v>
      </c>
      <c r="F121" s="556"/>
      <c r="G121" s="556"/>
      <c r="H121" s="554"/>
      <c r="I121" s="554"/>
      <c r="J121" s="506">
        <v>1147.29</v>
      </c>
      <c r="K121" s="554"/>
      <c r="L121" s="506">
        <v>0</v>
      </c>
      <c r="M121" s="554"/>
      <c r="N121" s="507">
        <v>0</v>
      </c>
      <c r="O121" s="554"/>
      <c r="P121" s="506">
        <f>J121+L121+N121</f>
        <v>1147.29</v>
      </c>
      <c r="Q121" s="554"/>
      <c r="R121" s="506">
        <v>1331.25</v>
      </c>
      <c r="S121" s="506">
        <v>1351.2</v>
      </c>
      <c r="T121" s="506">
        <f>P121</f>
        <v>1147.29</v>
      </c>
      <c r="U121" s="554"/>
      <c r="V121" s="507">
        <f>T121-S121</f>
        <v>-203.91000000000008</v>
      </c>
      <c r="W121" s="554"/>
      <c r="X121" s="554"/>
    </row>
    <row r="122" spans="1:25" s="557" customFormat="1" ht="5.0999999999999996" customHeight="1" outlineLevel="1">
      <c r="A122" s="503" t="s">
        <v>198</v>
      </c>
      <c r="B122" s="528" t="s">
        <v>198</v>
      </c>
      <c r="C122" s="528"/>
      <c r="D122" s="556"/>
      <c r="E122" s="556"/>
      <c r="F122" s="556"/>
      <c r="G122" s="556"/>
      <c r="H122" s="554"/>
      <c r="I122" s="554"/>
      <c r="J122" s="532"/>
      <c r="K122" s="554"/>
      <c r="L122" s="532"/>
      <c r="M122" s="554"/>
      <c r="N122" s="533"/>
      <c r="O122" s="554"/>
      <c r="P122" s="532"/>
      <c r="Q122" s="554"/>
      <c r="R122" s="532"/>
      <c r="S122" s="532"/>
      <c r="T122" s="532"/>
      <c r="U122" s="554"/>
      <c r="V122" s="533"/>
      <c r="W122" s="554"/>
      <c r="X122" s="554"/>
      <c r="Y122" s="554"/>
    </row>
    <row r="123" spans="1:25" s="557" customFormat="1">
      <c r="A123" s="503" t="s">
        <v>914</v>
      </c>
      <c r="B123" s="528" t="s">
        <v>198</v>
      </c>
      <c r="C123" s="528"/>
      <c r="D123" s="554"/>
      <c r="E123" s="554"/>
      <c r="F123" s="555" t="s">
        <v>1059</v>
      </c>
      <c r="G123" s="554"/>
      <c r="H123" s="554"/>
      <c r="I123" s="554"/>
      <c r="J123" s="530">
        <f>SUM(J121:J122)</f>
        <v>1147.29</v>
      </c>
      <c r="K123" s="554"/>
      <c r="L123" s="530">
        <f>SUM(L121:L122)</f>
        <v>0</v>
      </c>
      <c r="M123" s="554"/>
      <c r="N123" s="531">
        <f>SUM(N121:N122)</f>
        <v>0</v>
      </c>
      <c r="O123" s="554"/>
      <c r="P123" s="530">
        <f t="shared" ref="P123:P128" si="16">J123+L123+N123</f>
        <v>1147.29</v>
      </c>
      <c r="Q123" s="554"/>
      <c r="R123" s="530">
        <f>SUM(R121:R122)</f>
        <v>1331.25</v>
      </c>
      <c r="S123" s="530">
        <f>SUM(S121:S122)</f>
        <v>1351.2</v>
      </c>
      <c r="T123" s="530">
        <f>SUM(T121:T122)</f>
        <v>1147.29</v>
      </c>
      <c r="U123" s="554"/>
      <c r="V123" s="531">
        <f>SUM(V121:V122)</f>
        <v>-203.91000000000008</v>
      </c>
      <c r="W123" s="554"/>
      <c r="X123" s="554"/>
      <c r="Y123" s="554"/>
    </row>
    <row r="124" spans="1:25" s="557" customFormat="1" outlineLevel="1">
      <c r="A124" s="554"/>
      <c r="B124" s="502" t="s">
        <v>912</v>
      </c>
      <c r="C124" s="503"/>
      <c r="D124" s="555">
        <v>20320</v>
      </c>
      <c r="E124" s="555" t="s">
        <v>1060</v>
      </c>
      <c r="F124" s="556"/>
      <c r="G124" s="556"/>
      <c r="H124" s="554"/>
      <c r="I124" s="554"/>
      <c r="J124" s="506">
        <v>5652.57</v>
      </c>
      <c r="K124" s="554"/>
      <c r="L124" s="506">
        <v>0</v>
      </c>
      <c r="M124" s="554"/>
      <c r="N124" s="507">
        <v>0</v>
      </c>
      <c r="O124" s="554"/>
      <c r="P124" s="506">
        <f t="shared" si="16"/>
        <v>5652.57</v>
      </c>
      <c r="Q124" s="554"/>
      <c r="R124" s="506">
        <v>12028.48</v>
      </c>
      <c r="S124" s="506">
        <v>2899.57</v>
      </c>
      <c r="T124" s="506">
        <f t="shared" ref="T124:T128" si="17">P124</f>
        <v>5652.57</v>
      </c>
      <c r="U124" s="554"/>
      <c r="V124" s="507">
        <f t="shared" ref="V124:V128" si="18">T124-S124</f>
        <v>2752.9999999999995</v>
      </c>
      <c r="W124" s="554"/>
      <c r="X124" s="554"/>
    </row>
    <row r="125" spans="1:25" s="557" customFormat="1" outlineLevel="1">
      <c r="A125" s="554"/>
      <c r="B125" s="502" t="s">
        <v>206</v>
      </c>
      <c r="C125" s="503"/>
      <c r="D125" s="555">
        <v>20321</v>
      </c>
      <c r="E125" s="555" t="s">
        <v>1061</v>
      </c>
      <c r="F125" s="556"/>
      <c r="G125" s="556"/>
      <c r="H125" s="554"/>
      <c r="I125" s="554"/>
      <c r="J125" s="506">
        <v>6632.45</v>
      </c>
      <c r="K125" s="554"/>
      <c r="L125" s="506">
        <v>0</v>
      </c>
      <c r="M125" s="554"/>
      <c r="N125" s="507">
        <v>0</v>
      </c>
      <c r="O125" s="554"/>
      <c r="P125" s="506">
        <f t="shared" si="16"/>
        <v>6632.45</v>
      </c>
      <c r="Q125" s="554"/>
      <c r="R125" s="506">
        <v>6324.62</v>
      </c>
      <c r="S125" s="506">
        <v>6669.34</v>
      </c>
      <c r="T125" s="506">
        <f t="shared" si="17"/>
        <v>6632.45</v>
      </c>
      <c r="U125" s="554"/>
      <c r="V125" s="507">
        <f t="shared" si="18"/>
        <v>-36.890000000000327</v>
      </c>
      <c r="W125" s="554"/>
      <c r="X125" s="554"/>
    </row>
    <row r="126" spans="1:25" s="557" customFormat="1" outlineLevel="1">
      <c r="A126" s="554"/>
      <c r="B126" s="502" t="s">
        <v>206</v>
      </c>
      <c r="C126" s="503"/>
      <c r="D126" s="555">
        <v>20340</v>
      </c>
      <c r="E126" s="555" t="s">
        <v>1062</v>
      </c>
      <c r="F126" s="556"/>
      <c r="G126" s="556"/>
      <c r="H126" s="554"/>
      <c r="I126" s="554"/>
      <c r="J126" s="506">
        <v>725.62</v>
      </c>
      <c r="K126" s="554"/>
      <c r="L126" s="506">
        <v>0</v>
      </c>
      <c r="M126" s="554"/>
      <c r="N126" s="507">
        <v>0</v>
      </c>
      <c r="O126" s="554"/>
      <c r="P126" s="506">
        <f t="shared" si="16"/>
        <v>725.62</v>
      </c>
      <c r="Q126" s="554"/>
      <c r="R126" s="506">
        <v>2086.5700000000002</v>
      </c>
      <c r="S126" s="506">
        <v>2449.39</v>
      </c>
      <c r="T126" s="506">
        <f t="shared" si="17"/>
        <v>725.62</v>
      </c>
      <c r="U126" s="554"/>
      <c r="V126" s="507">
        <f t="shared" si="18"/>
        <v>-1723.77</v>
      </c>
      <c r="W126" s="554"/>
      <c r="X126" s="554"/>
    </row>
    <row r="127" spans="1:25" s="557" customFormat="1" outlineLevel="1">
      <c r="A127" s="554"/>
      <c r="B127" s="502" t="s">
        <v>206</v>
      </c>
      <c r="C127" s="503"/>
      <c r="D127" s="555">
        <v>20351</v>
      </c>
      <c r="E127" s="555" t="s">
        <v>1063</v>
      </c>
      <c r="F127" s="556"/>
      <c r="G127" s="556"/>
      <c r="H127" s="554"/>
      <c r="I127" s="554"/>
      <c r="J127" s="506">
        <v>-734.78</v>
      </c>
      <c r="K127" s="554"/>
      <c r="L127" s="506">
        <v>0</v>
      </c>
      <c r="M127" s="554"/>
      <c r="N127" s="507">
        <v>0</v>
      </c>
      <c r="O127" s="554"/>
      <c r="P127" s="506">
        <f t="shared" si="16"/>
        <v>-734.78</v>
      </c>
      <c r="Q127" s="554"/>
      <c r="R127" s="506">
        <v>-568.16999999999996</v>
      </c>
      <c r="S127" s="506">
        <v>-777.45</v>
      </c>
      <c r="T127" s="506">
        <f t="shared" si="17"/>
        <v>-734.78</v>
      </c>
      <c r="U127" s="554"/>
      <c r="V127" s="507">
        <f t="shared" si="18"/>
        <v>42.670000000000073</v>
      </c>
      <c r="W127" s="554"/>
      <c r="X127" s="554"/>
    </row>
    <row r="128" spans="1:25" s="557" customFormat="1" outlineLevel="1">
      <c r="A128" s="554"/>
      <c r="B128" s="502" t="s">
        <v>206</v>
      </c>
      <c r="C128" s="503"/>
      <c r="D128" s="555">
        <v>20360</v>
      </c>
      <c r="E128" s="555" t="s">
        <v>1064</v>
      </c>
      <c r="F128" s="556"/>
      <c r="G128" s="556"/>
      <c r="H128" s="554"/>
      <c r="I128" s="554"/>
      <c r="J128" s="506">
        <v>0</v>
      </c>
      <c r="K128" s="554"/>
      <c r="L128" s="506">
        <v>0</v>
      </c>
      <c r="M128" s="554"/>
      <c r="N128" s="507">
        <v>0</v>
      </c>
      <c r="O128" s="554"/>
      <c r="P128" s="506">
        <f t="shared" si="16"/>
        <v>0</v>
      </c>
      <c r="Q128" s="554"/>
      <c r="R128" s="506">
        <v>0</v>
      </c>
      <c r="S128" s="506">
        <v>0</v>
      </c>
      <c r="T128" s="506">
        <f t="shared" si="17"/>
        <v>0</v>
      </c>
      <c r="U128" s="554"/>
      <c r="V128" s="507">
        <f t="shared" si="18"/>
        <v>0</v>
      </c>
      <c r="W128" s="554"/>
      <c r="X128" s="554"/>
    </row>
    <row r="129" spans="1:25" s="557" customFormat="1" ht="4.5" customHeight="1" outlineLevel="1">
      <c r="A129" s="528" t="s">
        <v>198</v>
      </c>
      <c r="B129" s="528" t="s">
        <v>198</v>
      </c>
      <c r="C129" s="528"/>
      <c r="D129" s="582"/>
      <c r="E129" s="554"/>
      <c r="F129" s="554"/>
      <c r="G129" s="554"/>
      <c r="H129" s="554"/>
      <c r="I129" s="554"/>
      <c r="J129" s="532"/>
      <c r="K129" s="554"/>
      <c r="L129" s="532"/>
      <c r="M129" s="554"/>
      <c r="N129" s="533"/>
      <c r="O129" s="554"/>
      <c r="P129" s="532"/>
      <c r="Q129" s="554"/>
      <c r="R129" s="532"/>
      <c r="S129" s="532"/>
      <c r="T129" s="532"/>
      <c r="U129" s="554"/>
      <c r="V129" s="533"/>
      <c r="W129" s="554"/>
      <c r="X129" s="554"/>
      <c r="Y129" s="554"/>
    </row>
    <row r="130" spans="1:25" s="557" customFormat="1">
      <c r="A130" s="503" t="s">
        <v>912</v>
      </c>
      <c r="B130" s="528" t="s">
        <v>198</v>
      </c>
      <c r="C130" s="528"/>
      <c r="D130" s="554"/>
      <c r="E130" s="554"/>
      <c r="F130" s="554" t="s">
        <v>1065</v>
      </c>
      <c r="G130" s="554"/>
      <c r="H130" s="554"/>
      <c r="I130" s="554"/>
      <c r="J130" s="530">
        <f>SUM(J124:J129)</f>
        <v>12275.86</v>
      </c>
      <c r="K130" s="554"/>
      <c r="L130" s="530">
        <f>SUM(L124:L129)</f>
        <v>0</v>
      </c>
      <c r="M130" s="554"/>
      <c r="N130" s="531">
        <f>SUM(N124:N129)</f>
        <v>0</v>
      </c>
      <c r="O130" s="554"/>
      <c r="P130" s="530">
        <f>J130+L130+N130</f>
        <v>12275.86</v>
      </c>
      <c r="Q130" s="554"/>
      <c r="R130" s="530">
        <f>SUM(R124:R129)</f>
        <v>19871.5</v>
      </c>
      <c r="S130" s="530">
        <f>SUM(S124:S129)</f>
        <v>11240.849999999999</v>
      </c>
      <c r="T130" s="530">
        <f>SUM(T124:T129)</f>
        <v>12275.86</v>
      </c>
      <c r="U130" s="554"/>
      <c r="V130" s="531">
        <f>SUM(V124:V129)</f>
        <v>1035.0099999999993</v>
      </c>
      <c r="W130" s="554"/>
      <c r="X130" s="554"/>
      <c r="Y130" s="554"/>
    </row>
    <row r="131" spans="1:25" s="557" customFormat="1" ht="7.5" customHeight="1">
      <c r="A131" s="528" t="s">
        <v>198</v>
      </c>
      <c r="B131" s="528" t="s">
        <v>198</v>
      </c>
      <c r="C131" s="528"/>
      <c r="D131" s="554"/>
      <c r="E131" s="554"/>
      <c r="F131" s="554"/>
      <c r="G131" s="554"/>
      <c r="H131" s="554"/>
      <c r="I131" s="554"/>
      <c r="J131" s="535"/>
      <c r="K131" s="554"/>
      <c r="L131" s="535"/>
      <c r="M131" s="554"/>
      <c r="N131" s="507"/>
      <c r="O131" s="554"/>
      <c r="P131" s="535"/>
      <c r="Q131" s="554"/>
      <c r="R131" s="535"/>
      <c r="S131" s="535"/>
      <c r="T131" s="535"/>
      <c r="U131" s="554"/>
      <c r="V131" s="507"/>
      <c r="W131" s="554"/>
      <c r="X131" s="554"/>
      <c r="Y131" s="554"/>
    </row>
    <row r="132" spans="1:25" s="557" customFormat="1">
      <c r="A132" s="528" t="s">
        <v>198</v>
      </c>
      <c r="B132" s="528" t="s">
        <v>198</v>
      </c>
      <c r="C132" s="528"/>
      <c r="D132" s="554"/>
      <c r="E132" s="581" t="s">
        <v>1066</v>
      </c>
      <c r="F132" s="554"/>
      <c r="G132" s="554"/>
      <c r="H132" s="554"/>
      <c r="I132" s="554"/>
      <c r="J132" s="537">
        <f>SUM(J112,J120,J123,J130,J108)</f>
        <v>58376.3</v>
      </c>
      <c r="K132" s="554"/>
      <c r="L132" s="537">
        <f>SUM(L112,L120,L123,L130,L108)</f>
        <v>0</v>
      </c>
      <c r="M132" s="554"/>
      <c r="N132" s="538">
        <f>SUM(N112,N120,N123,N130)</f>
        <v>0</v>
      </c>
      <c r="O132" s="554"/>
      <c r="P132" s="537">
        <f>SUM(P112,P120,P123,P130,P108)</f>
        <v>58376.3</v>
      </c>
      <c r="Q132" s="554"/>
      <c r="R132" s="537">
        <f>SUM(R112,R120,R123,R130,R108)</f>
        <v>58561.39</v>
      </c>
      <c r="S132" s="537">
        <f>SUM(S112,S120,S123,S130,S108)</f>
        <v>53734.219999999994</v>
      </c>
      <c r="T132" s="537">
        <f>SUM(T112,T120,T123,T130,T108)</f>
        <v>58376.3</v>
      </c>
      <c r="U132" s="554"/>
      <c r="V132" s="538">
        <f>SUM(V112,V120,V123,V130,V108)</f>
        <v>4642.0799999999981</v>
      </c>
      <c r="W132" s="554"/>
      <c r="X132" s="554"/>
      <c r="Y132" s="554"/>
    </row>
    <row r="133" spans="1:25" s="557" customFormat="1" ht="7.5" customHeight="1">
      <c r="A133" s="528" t="s">
        <v>198</v>
      </c>
      <c r="B133" s="528" t="s">
        <v>198</v>
      </c>
      <c r="C133" s="528"/>
      <c r="D133" s="554"/>
      <c r="E133" s="554"/>
      <c r="F133" s="554"/>
      <c r="G133" s="554"/>
      <c r="H133" s="554"/>
      <c r="I133" s="554"/>
      <c r="J133" s="535"/>
      <c r="K133" s="554"/>
      <c r="L133" s="535"/>
      <c r="M133" s="554"/>
      <c r="N133" s="507"/>
      <c r="O133" s="554"/>
      <c r="P133" s="535"/>
      <c r="Q133" s="554"/>
      <c r="R133" s="535"/>
      <c r="S133" s="535"/>
      <c r="T133" s="535"/>
      <c r="U133" s="554"/>
      <c r="V133" s="507"/>
      <c r="W133" s="554"/>
      <c r="X133" s="554"/>
      <c r="Y133" s="554"/>
    </row>
    <row r="134" spans="1:25" s="557" customFormat="1" hidden="1" outlineLevel="1">
      <c r="A134" s="528" t="s">
        <v>198</v>
      </c>
      <c r="B134" s="528" t="s">
        <v>198</v>
      </c>
      <c r="C134" s="528"/>
      <c r="D134" s="554"/>
      <c r="E134" s="554"/>
      <c r="F134" s="554"/>
      <c r="G134" s="554"/>
      <c r="H134" s="554"/>
      <c r="I134" s="554"/>
      <c r="J134" s="535"/>
      <c r="K134" s="554"/>
      <c r="L134" s="535"/>
      <c r="M134" s="554"/>
      <c r="N134" s="507"/>
      <c r="O134" s="554"/>
      <c r="P134" s="535"/>
      <c r="Q134" s="554"/>
      <c r="R134" s="535"/>
      <c r="S134" s="535"/>
      <c r="T134" s="535"/>
      <c r="U134" s="554"/>
      <c r="V134" s="507"/>
      <c r="W134" s="554"/>
      <c r="X134" s="554"/>
      <c r="Y134" s="554"/>
    </row>
    <row r="135" spans="1:25" s="557" customFormat="1" hidden="1" outlineLevel="1">
      <c r="A135" s="554"/>
      <c r="B135" s="502" t="s">
        <v>1067</v>
      </c>
      <c r="C135" s="503"/>
      <c r="D135" s="555"/>
      <c r="E135" s="555"/>
      <c r="F135" s="556"/>
      <c r="G135" s="556"/>
      <c r="H135" s="554"/>
      <c r="I135" s="554"/>
      <c r="J135" s="506"/>
      <c r="K135" s="554"/>
      <c r="L135" s="506"/>
      <c r="M135" s="554"/>
      <c r="N135" s="507"/>
      <c r="O135" s="554"/>
      <c r="P135" s="506">
        <f>J135+L135+N135</f>
        <v>0</v>
      </c>
      <c r="Q135" s="554"/>
      <c r="R135" s="506"/>
      <c r="S135" s="506"/>
      <c r="T135" s="506">
        <f>P135</f>
        <v>0</v>
      </c>
      <c r="U135" s="554"/>
      <c r="V135" s="507">
        <f>T135-S135</f>
        <v>0</v>
      </c>
      <c r="W135" s="554"/>
      <c r="X135" s="554"/>
    </row>
    <row r="136" spans="1:25" s="557" customFormat="1" ht="5.0999999999999996" hidden="1" customHeight="1" outlineLevel="1">
      <c r="A136" s="528" t="s">
        <v>198</v>
      </c>
      <c r="B136" s="528" t="s">
        <v>198</v>
      </c>
      <c r="C136" s="528"/>
      <c r="D136" s="556"/>
      <c r="E136" s="556"/>
      <c r="F136" s="556"/>
      <c r="G136" s="556"/>
      <c r="H136" s="554"/>
      <c r="I136" s="554"/>
      <c r="J136" s="532"/>
      <c r="K136" s="554"/>
      <c r="L136" s="532"/>
      <c r="M136" s="554"/>
      <c r="N136" s="533"/>
      <c r="O136" s="554"/>
      <c r="P136" s="532"/>
      <c r="Q136" s="554"/>
      <c r="R136" s="532"/>
      <c r="S136" s="532"/>
      <c r="T136" s="532"/>
      <c r="U136" s="554"/>
      <c r="V136" s="533"/>
      <c r="W136" s="554"/>
      <c r="X136" s="554"/>
      <c r="Y136" s="554"/>
    </row>
    <row r="137" spans="1:25" s="557" customFormat="1" hidden="1" collapsed="1">
      <c r="A137" s="503" t="s">
        <v>1067</v>
      </c>
      <c r="B137" s="528" t="s">
        <v>198</v>
      </c>
      <c r="C137" s="528"/>
      <c r="D137" s="554"/>
      <c r="E137" s="554"/>
      <c r="F137" s="555" t="s">
        <v>1068</v>
      </c>
      <c r="G137" s="554"/>
      <c r="H137" s="554"/>
      <c r="I137" s="554"/>
      <c r="J137" s="530">
        <f>SUM(J135:J136)</f>
        <v>0</v>
      </c>
      <c r="K137" s="554"/>
      <c r="L137" s="530">
        <f>SUM(L135:L136)</f>
        <v>0</v>
      </c>
      <c r="M137" s="554"/>
      <c r="N137" s="531">
        <f>SUM(N135:N136)</f>
        <v>0</v>
      </c>
      <c r="O137" s="554"/>
      <c r="P137" s="530">
        <f>J137+L137+N137</f>
        <v>0</v>
      </c>
      <c r="Q137" s="554"/>
      <c r="R137" s="530">
        <f>SUM(R135:R136)</f>
        <v>0</v>
      </c>
      <c r="S137" s="530">
        <f>SUM(S135:S136)</f>
        <v>0</v>
      </c>
      <c r="T137" s="530">
        <f>SUM(T135:T136)</f>
        <v>0</v>
      </c>
      <c r="U137" s="554"/>
      <c r="V137" s="531">
        <f>SUM(V135:V136)</f>
        <v>0</v>
      </c>
      <c r="W137" s="554"/>
      <c r="X137" s="554"/>
      <c r="Y137" s="554"/>
    </row>
    <row r="138" spans="1:25" s="557" customFormat="1" hidden="1" outlineLevel="1">
      <c r="A138" s="554"/>
      <c r="B138" s="502" t="s">
        <v>910</v>
      </c>
      <c r="C138" s="503"/>
      <c r="D138" s="555"/>
      <c r="E138" s="555"/>
      <c r="F138" s="556"/>
      <c r="G138" s="556"/>
      <c r="H138" s="554"/>
      <c r="I138" s="554"/>
      <c r="J138" s="506"/>
      <c r="K138" s="554"/>
      <c r="L138" s="506"/>
      <c r="M138" s="554"/>
      <c r="N138" s="507"/>
      <c r="O138" s="554"/>
      <c r="P138" s="506">
        <f>J138+L138+N138</f>
        <v>0</v>
      </c>
      <c r="Q138" s="554"/>
      <c r="R138" s="506"/>
      <c r="S138" s="506"/>
      <c r="T138" s="506">
        <f>P138</f>
        <v>0</v>
      </c>
      <c r="U138" s="554"/>
      <c r="V138" s="507">
        <f>T138-S138</f>
        <v>0</v>
      </c>
      <c r="W138" s="554"/>
      <c r="X138" s="554"/>
    </row>
    <row r="139" spans="1:25" s="557" customFormat="1" ht="5.0999999999999996" hidden="1" customHeight="1" outlineLevel="1">
      <c r="A139" s="528" t="s">
        <v>198</v>
      </c>
      <c r="B139" s="528" t="s">
        <v>198</v>
      </c>
      <c r="C139" s="528"/>
      <c r="D139" s="556"/>
      <c r="E139" s="556"/>
      <c r="F139" s="556"/>
      <c r="G139" s="556"/>
      <c r="H139" s="554"/>
      <c r="I139" s="554"/>
      <c r="J139" s="532"/>
      <c r="K139" s="554"/>
      <c r="L139" s="532"/>
      <c r="M139" s="554"/>
      <c r="N139" s="533"/>
      <c r="O139" s="554"/>
      <c r="P139" s="532"/>
      <c r="Q139" s="554"/>
      <c r="R139" s="532"/>
      <c r="S139" s="532"/>
      <c r="T139" s="532"/>
      <c r="U139" s="554"/>
      <c r="V139" s="533"/>
      <c r="W139" s="554"/>
      <c r="X139" s="554"/>
      <c r="Y139" s="554"/>
    </row>
    <row r="140" spans="1:25" s="557" customFormat="1" hidden="1" collapsed="1">
      <c r="A140" s="503" t="s">
        <v>910</v>
      </c>
      <c r="B140" s="528" t="s">
        <v>198</v>
      </c>
      <c r="C140" s="528"/>
      <c r="D140" s="554"/>
      <c r="E140" s="554"/>
      <c r="F140" s="555" t="s">
        <v>1069</v>
      </c>
      <c r="G140" s="554"/>
      <c r="H140" s="554"/>
      <c r="I140" s="554"/>
      <c r="J140" s="530">
        <f>SUM(J138:J139)</f>
        <v>0</v>
      </c>
      <c r="K140" s="554"/>
      <c r="L140" s="530">
        <f>SUM(L138:L139)</f>
        <v>0</v>
      </c>
      <c r="M140" s="554"/>
      <c r="N140" s="531">
        <f>SUM(N138:N139)</f>
        <v>0</v>
      </c>
      <c r="O140" s="554"/>
      <c r="P140" s="530">
        <f>J140+L140+N140</f>
        <v>0</v>
      </c>
      <c r="Q140" s="554"/>
      <c r="R140" s="530">
        <f>SUM(R138:R139)</f>
        <v>0</v>
      </c>
      <c r="S140" s="530">
        <f>SUM(S138:S139)</f>
        <v>0</v>
      </c>
      <c r="T140" s="530">
        <f>SUM(T138:T139)</f>
        <v>0</v>
      </c>
      <c r="U140" s="554"/>
      <c r="V140" s="531">
        <f>SUM(V138:V139)</f>
        <v>0</v>
      </c>
      <c r="W140" s="554"/>
      <c r="X140" s="554"/>
      <c r="Y140" s="554"/>
    </row>
    <row r="141" spans="1:25" s="557" customFormat="1" hidden="1" outlineLevel="1">
      <c r="A141" s="554"/>
      <c r="B141" s="502" t="s">
        <v>922</v>
      </c>
      <c r="C141" s="503"/>
      <c r="D141" s="555"/>
      <c r="E141" s="555"/>
      <c r="F141" s="556"/>
      <c r="G141" s="556"/>
      <c r="H141" s="554"/>
      <c r="I141" s="554"/>
      <c r="J141" s="506"/>
      <c r="K141" s="554"/>
      <c r="L141" s="506"/>
      <c r="M141" s="554"/>
      <c r="N141" s="507"/>
      <c r="O141" s="554"/>
      <c r="P141" s="506">
        <f>J141+L141+N141</f>
        <v>0</v>
      </c>
      <c r="Q141" s="554"/>
      <c r="R141" s="506"/>
      <c r="S141" s="506"/>
      <c r="T141" s="506">
        <f>P141</f>
        <v>0</v>
      </c>
      <c r="U141" s="554"/>
      <c r="V141" s="507">
        <f>T141-S141</f>
        <v>0</v>
      </c>
      <c r="W141" s="554"/>
      <c r="X141" s="554"/>
    </row>
    <row r="142" spans="1:25" s="557" customFormat="1" ht="5.0999999999999996" hidden="1" customHeight="1" outlineLevel="1">
      <c r="A142" s="528" t="s">
        <v>198</v>
      </c>
      <c r="B142" s="503" t="s">
        <v>198</v>
      </c>
      <c r="C142" s="503"/>
      <c r="D142" s="556"/>
      <c r="E142" s="556"/>
      <c r="F142" s="556"/>
      <c r="G142" s="556"/>
      <c r="H142" s="554"/>
      <c r="I142" s="554"/>
      <c r="J142" s="532"/>
      <c r="K142" s="554"/>
      <c r="L142" s="532"/>
      <c r="M142" s="554"/>
      <c r="N142" s="533"/>
      <c r="O142" s="554"/>
      <c r="P142" s="532"/>
      <c r="Q142" s="554"/>
      <c r="R142" s="532"/>
      <c r="S142" s="532"/>
      <c r="T142" s="532"/>
      <c r="U142" s="554"/>
      <c r="V142" s="533"/>
      <c r="W142" s="554"/>
      <c r="X142" s="554"/>
      <c r="Y142" s="554"/>
    </row>
    <row r="143" spans="1:25" s="557" customFormat="1" hidden="1" collapsed="1">
      <c r="A143" s="503" t="s">
        <v>922</v>
      </c>
      <c r="B143" s="503" t="s">
        <v>198</v>
      </c>
      <c r="C143" s="503"/>
      <c r="D143" s="554"/>
      <c r="E143" s="554"/>
      <c r="F143" s="555" t="s">
        <v>1070</v>
      </c>
      <c r="G143" s="554"/>
      <c r="H143" s="554"/>
      <c r="I143" s="554"/>
      <c r="J143" s="530">
        <f>SUM(J141:J142)</f>
        <v>0</v>
      </c>
      <c r="K143" s="554"/>
      <c r="L143" s="530">
        <f>SUM(L141:L142)</f>
        <v>0</v>
      </c>
      <c r="M143" s="554"/>
      <c r="N143" s="531">
        <f>SUM(N141:N142)</f>
        <v>0</v>
      </c>
      <c r="O143" s="554"/>
      <c r="P143" s="530">
        <f>J143+L143+N143</f>
        <v>0</v>
      </c>
      <c r="Q143" s="554"/>
      <c r="R143" s="530">
        <f>SUM(R141:R142)</f>
        <v>0</v>
      </c>
      <c r="S143" s="530">
        <f>SUM(S141:S142)</f>
        <v>0</v>
      </c>
      <c r="T143" s="530">
        <f>SUM(T141:T142)</f>
        <v>0</v>
      </c>
      <c r="U143" s="554"/>
      <c r="V143" s="531">
        <f>SUM(V141:V142)</f>
        <v>0</v>
      </c>
      <c r="W143" s="554"/>
      <c r="X143" s="554"/>
      <c r="Y143" s="554"/>
    </row>
    <row r="144" spans="1:25" s="557" customFormat="1" hidden="1" outlineLevel="1">
      <c r="A144" s="554"/>
      <c r="B144" s="502" t="s">
        <v>1071</v>
      </c>
      <c r="C144" s="503"/>
      <c r="D144" s="555"/>
      <c r="E144" s="555"/>
      <c r="F144" s="556"/>
      <c r="G144" s="556"/>
      <c r="H144" s="554"/>
      <c r="I144" s="554"/>
      <c r="J144" s="506"/>
      <c r="K144" s="554"/>
      <c r="L144" s="506"/>
      <c r="M144" s="554"/>
      <c r="N144" s="507"/>
      <c r="O144" s="554"/>
      <c r="P144" s="506">
        <f>J144+L144+N144</f>
        <v>0</v>
      </c>
      <c r="Q144" s="554"/>
      <c r="R144" s="506"/>
      <c r="S144" s="506"/>
      <c r="T144" s="506">
        <f>P144</f>
        <v>0</v>
      </c>
      <c r="U144" s="554"/>
      <c r="V144" s="507">
        <f>T144-S144</f>
        <v>0</v>
      </c>
      <c r="W144" s="554"/>
      <c r="X144" s="554"/>
    </row>
    <row r="145" spans="1:25" s="557" customFormat="1" ht="5.0999999999999996" hidden="1" customHeight="1" outlineLevel="1">
      <c r="A145" s="503" t="s">
        <v>198</v>
      </c>
      <c r="B145" s="528"/>
      <c r="C145" s="528"/>
      <c r="D145" s="555"/>
      <c r="E145" s="555"/>
      <c r="F145" s="554"/>
      <c r="G145" s="554"/>
      <c r="H145" s="554"/>
      <c r="I145" s="554"/>
      <c r="J145" s="532"/>
      <c r="K145" s="554"/>
      <c r="L145" s="532"/>
      <c r="M145" s="554"/>
      <c r="N145" s="533"/>
      <c r="O145" s="554"/>
      <c r="P145" s="532"/>
      <c r="Q145" s="554"/>
      <c r="R145" s="532"/>
      <c r="S145" s="532"/>
      <c r="T145" s="532"/>
      <c r="U145" s="554"/>
      <c r="V145" s="533"/>
      <c r="W145" s="554"/>
      <c r="X145" s="554"/>
      <c r="Y145" s="554"/>
    </row>
    <row r="146" spans="1:25" s="557" customFormat="1" ht="12.75" hidden="1" customHeight="1" collapsed="1">
      <c r="A146" s="503" t="s">
        <v>1071</v>
      </c>
      <c r="B146" s="528" t="s">
        <v>198</v>
      </c>
      <c r="C146" s="528"/>
      <c r="D146" s="554"/>
      <c r="E146" s="554"/>
      <c r="F146" s="554" t="s">
        <v>1072</v>
      </c>
      <c r="G146" s="554"/>
      <c r="H146" s="554"/>
      <c r="I146" s="554"/>
      <c r="J146" s="530">
        <f>SUM(J144:J145)</f>
        <v>0</v>
      </c>
      <c r="K146" s="554"/>
      <c r="L146" s="530">
        <f>SUM(L144:L145)</f>
        <v>0</v>
      </c>
      <c r="M146" s="554"/>
      <c r="N146" s="531">
        <f>SUM(N144:N145)</f>
        <v>0</v>
      </c>
      <c r="O146" s="554"/>
      <c r="P146" s="530">
        <f>J146+L146+N146</f>
        <v>0</v>
      </c>
      <c r="Q146" s="554"/>
      <c r="R146" s="530">
        <f>SUM(R144:R145)</f>
        <v>0</v>
      </c>
      <c r="S146" s="530">
        <f>SUM(S144:S145)</f>
        <v>0</v>
      </c>
      <c r="T146" s="530">
        <f>SUM(T144:T145)</f>
        <v>0</v>
      </c>
      <c r="U146" s="554"/>
      <c r="V146" s="531">
        <f>SUM(V144:V145)</f>
        <v>0</v>
      </c>
      <c r="W146" s="554"/>
      <c r="X146" s="554"/>
      <c r="Y146" s="554"/>
    </row>
    <row r="147" spans="1:25" s="557" customFormat="1" hidden="1" outlineLevel="1">
      <c r="A147" s="554"/>
      <c r="B147" s="502" t="s">
        <v>920</v>
      </c>
      <c r="C147" s="503"/>
      <c r="D147" s="555"/>
      <c r="E147" s="555"/>
      <c r="F147" s="556"/>
      <c r="G147" s="556"/>
      <c r="H147" s="554"/>
      <c r="I147" s="554"/>
      <c r="J147" s="506"/>
      <c r="K147" s="554"/>
      <c r="L147" s="506"/>
      <c r="M147" s="554"/>
      <c r="N147" s="507"/>
      <c r="O147" s="554"/>
      <c r="P147" s="506">
        <f>J147+L147+N147</f>
        <v>0</v>
      </c>
      <c r="Q147" s="554"/>
      <c r="R147" s="506"/>
      <c r="S147" s="506"/>
      <c r="T147" s="506">
        <f>P147</f>
        <v>0</v>
      </c>
      <c r="U147" s="554"/>
      <c r="V147" s="507">
        <f>T147-S147</f>
        <v>0</v>
      </c>
      <c r="W147" s="554"/>
      <c r="X147" s="554"/>
    </row>
    <row r="148" spans="1:25" s="557" customFormat="1" ht="5.0999999999999996" hidden="1" customHeight="1" outlineLevel="1">
      <c r="A148" s="528" t="s">
        <v>198</v>
      </c>
      <c r="B148" s="503" t="s">
        <v>198</v>
      </c>
      <c r="C148" s="503"/>
      <c r="D148" s="556"/>
      <c r="E148" s="556"/>
      <c r="F148" s="556"/>
      <c r="G148" s="556"/>
      <c r="H148" s="554"/>
      <c r="I148" s="554"/>
      <c r="J148" s="532"/>
      <c r="K148" s="554"/>
      <c r="L148" s="532"/>
      <c r="M148" s="554"/>
      <c r="N148" s="533"/>
      <c r="O148" s="554"/>
      <c r="P148" s="532"/>
      <c r="Q148" s="554"/>
      <c r="R148" s="532"/>
      <c r="S148" s="532"/>
      <c r="T148" s="532"/>
      <c r="U148" s="554"/>
      <c r="V148" s="533"/>
      <c r="W148" s="554"/>
      <c r="X148" s="554"/>
      <c r="Y148" s="554"/>
    </row>
    <row r="149" spans="1:25" s="557" customFormat="1" hidden="1" collapsed="1">
      <c r="A149" s="503" t="s">
        <v>920</v>
      </c>
      <c r="B149" s="503" t="s">
        <v>198</v>
      </c>
      <c r="C149" s="503"/>
      <c r="D149" s="554"/>
      <c r="E149" s="554"/>
      <c r="F149" s="555" t="s">
        <v>1073</v>
      </c>
      <c r="G149" s="554"/>
      <c r="H149" s="554"/>
      <c r="I149" s="554"/>
      <c r="J149" s="530">
        <f>SUM(J147:J148)</f>
        <v>0</v>
      </c>
      <c r="K149" s="554"/>
      <c r="L149" s="530">
        <f>SUM(L147:L148)</f>
        <v>0</v>
      </c>
      <c r="M149" s="554"/>
      <c r="N149" s="531">
        <f>SUM(N147:N148)</f>
        <v>0</v>
      </c>
      <c r="O149" s="554"/>
      <c r="P149" s="530">
        <f>J149+L149+N149</f>
        <v>0</v>
      </c>
      <c r="Q149" s="554"/>
      <c r="R149" s="530">
        <f>SUM(R147:R148)</f>
        <v>0</v>
      </c>
      <c r="S149" s="530">
        <f>SUM(S147:S148)</f>
        <v>0</v>
      </c>
      <c r="T149" s="530">
        <f>SUM(T147:T148)</f>
        <v>0</v>
      </c>
      <c r="U149" s="554"/>
      <c r="V149" s="531">
        <f>SUM(V147:V148)</f>
        <v>0</v>
      </c>
      <c r="W149" s="554"/>
      <c r="X149" s="554"/>
      <c r="Y149" s="554"/>
    </row>
    <row r="150" spans="1:25" s="557" customFormat="1" hidden="1" outlineLevel="1">
      <c r="A150" s="554"/>
      <c r="B150" s="502" t="s">
        <v>1074</v>
      </c>
      <c r="C150" s="503"/>
      <c r="D150" s="555"/>
      <c r="E150" s="555"/>
      <c r="F150" s="556"/>
      <c r="G150" s="556"/>
      <c r="H150" s="554"/>
      <c r="I150" s="554"/>
      <c r="J150" s="506"/>
      <c r="K150" s="554"/>
      <c r="L150" s="506"/>
      <c r="M150" s="554"/>
      <c r="N150" s="507"/>
      <c r="O150" s="554"/>
      <c r="P150" s="506">
        <f>J150+L150+N150</f>
        <v>0</v>
      </c>
      <c r="Q150" s="554"/>
      <c r="R150" s="506"/>
      <c r="S150" s="506"/>
      <c r="T150" s="506">
        <f>P150</f>
        <v>0</v>
      </c>
      <c r="U150" s="554"/>
      <c r="V150" s="507">
        <f>T150-S150</f>
        <v>0</v>
      </c>
      <c r="W150" s="554"/>
      <c r="X150" s="554"/>
    </row>
    <row r="151" spans="1:25" s="557" customFormat="1" ht="5.0999999999999996" hidden="1" customHeight="1" outlineLevel="1">
      <c r="A151" s="503" t="s">
        <v>198</v>
      </c>
      <c r="B151" s="503" t="s">
        <v>198</v>
      </c>
      <c r="C151" s="503"/>
      <c r="D151" s="556"/>
      <c r="E151" s="556"/>
      <c r="F151" s="556"/>
      <c r="G151" s="556"/>
      <c r="H151" s="554"/>
      <c r="I151" s="554"/>
      <c r="J151" s="532"/>
      <c r="K151" s="554"/>
      <c r="L151" s="532"/>
      <c r="M151" s="554"/>
      <c r="N151" s="533"/>
      <c r="O151" s="554"/>
      <c r="P151" s="532"/>
      <c r="Q151" s="554"/>
      <c r="R151" s="532"/>
      <c r="S151" s="532"/>
      <c r="T151" s="532"/>
      <c r="U151" s="554"/>
      <c r="V151" s="533"/>
      <c r="W151" s="554"/>
      <c r="X151" s="554"/>
      <c r="Y151" s="554"/>
    </row>
    <row r="152" spans="1:25" s="557" customFormat="1" hidden="1" collapsed="1">
      <c r="A152" s="503" t="s">
        <v>1074</v>
      </c>
      <c r="B152" s="503" t="s">
        <v>198</v>
      </c>
      <c r="C152" s="503"/>
      <c r="D152" s="554"/>
      <c r="E152" s="554"/>
      <c r="F152" s="555" t="s">
        <v>1075</v>
      </c>
      <c r="G152" s="554"/>
      <c r="H152" s="554"/>
      <c r="I152" s="554"/>
      <c r="J152" s="530">
        <f>SUM(J150:J151)</f>
        <v>0</v>
      </c>
      <c r="K152" s="554"/>
      <c r="L152" s="530">
        <f>SUM(L150:L151)</f>
        <v>0</v>
      </c>
      <c r="M152" s="554"/>
      <c r="N152" s="531">
        <f>SUM(N150:N151)</f>
        <v>0</v>
      </c>
      <c r="O152" s="554"/>
      <c r="P152" s="530">
        <f>J152+L152+N152</f>
        <v>0</v>
      </c>
      <c r="Q152" s="554"/>
      <c r="R152" s="530">
        <f>SUM(R150:R151)</f>
        <v>0</v>
      </c>
      <c r="S152" s="530">
        <f>SUM(S150:S151)</f>
        <v>0</v>
      </c>
      <c r="T152" s="530">
        <f>SUM(T150:T151)</f>
        <v>0</v>
      </c>
      <c r="U152" s="554"/>
      <c r="V152" s="531">
        <f>SUM(V150:V151)</f>
        <v>0</v>
      </c>
      <c r="W152" s="554"/>
      <c r="X152" s="554"/>
      <c r="Y152" s="554"/>
    </row>
    <row r="153" spans="1:25" s="557" customFormat="1" hidden="1" outlineLevel="1">
      <c r="A153" s="554"/>
      <c r="B153" s="502" t="s">
        <v>1076</v>
      </c>
      <c r="C153" s="503"/>
      <c r="D153" s="555"/>
      <c r="E153" s="555"/>
      <c r="F153" s="556"/>
      <c r="G153" s="556"/>
      <c r="H153" s="554"/>
      <c r="I153" s="554"/>
      <c r="J153" s="506"/>
      <c r="K153" s="554"/>
      <c r="L153" s="506"/>
      <c r="M153" s="554"/>
      <c r="N153" s="507"/>
      <c r="O153" s="554"/>
      <c r="P153" s="506">
        <f>J153+L153+N153</f>
        <v>0</v>
      </c>
      <c r="Q153" s="554"/>
      <c r="R153" s="506"/>
      <c r="S153" s="506"/>
      <c r="T153" s="506">
        <f>P153</f>
        <v>0</v>
      </c>
      <c r="U153" s="554"/>
      <c r="V153" s="507">
        <f>T153-S153</f>
        <v>0</v>
      </c>
      <c r="W153" s="554"/>
      <c r="X153" s="554"/>
    </row>
    <row r="154" spans="1:25" s="557" customFormat="1" ht="5.0999999999999996" hidden="1" customHeight="1" outlineLevel="1">
      <c r="A154" s="528" t="s">
        <v>198</v>
      </c>
      <c r="B154" s="528" t="s">
        <v>198</v>
      </c>
      <c r="C154" s="528"/>
      <c r="D154" s="556"/>
      <c r="E154" s="556"/>
      <c r="F154" s="556"/>
      <c r="G154" s="556"/>
      <c r="H154" s="554"/>
      <c r="I154" s="554"/>
      <c r="J154" s="532"/>
      <c r="K154" s="554"/>
      <c r="L154" s="532"/>
      <c r="M154" s="554"/>
      <c r="N154" s="533"/>
      <c r="O154" s="554"/>
      <c r="P154" s="532"/>
      <c r="Q154" s="554"/>
      <c r="R154" s="532"/>
      <c r="S154" s="532"/>
      <c r="T154" s="532"/>
      <c r="U154" s="554"/>
      <c r="V154" s="533"/>
      <c r="W154" s="554"/>
      <c r="X154" s="554"/>
      <c r="Y154" s="554"/>
    </row>
    <row r="155" spans="1:25" s="557" customFormat="1" hidden="1" collapsed="1">
      <c r="A155" s="503" t="s">
        <v>1076</v>
      </c>
      <c r="B155" s="503" t="s">
        <v>198</v>
      </c>
      <c r="C155" s="503"/>
      <c r="D155" s="554"/>
      <c r="E155" s="554"/>
      <c r="F155" s="555" t="s">
        <v>1077</v>
      </c>
      <c r="G155" s="554"/>
      <c r="H155" s="554"/>
      <c r="I155" s="554"/>
      <c r="J155" s="530">
        <f>SUM(J153:J154)</f>
        <v>0</v>
      </c>
      <c r="K155" s="554"/>
      <c r="L155" s="530">
        <f>SUM(L153:L154)</f>
        <v>0</v>
      </c>
      <c r="M155" s="554"/>
      <c r="N155" s="531">
        <f>SUM(N153:N154)</f>
        <v>0</v>
      </c>
      <c r="O155" s="554"/>
      <c r="P155" s="530">
        <f>J155+L155+N155</f>
        <v>0</v>
      </c>
      <c r="Q155" s="554"/>
      <c r="R155" s="530">
        <f>SUM(R153:R154)</f>
        <v>0</v>
      </c>
      <c r="S155" s="530">
        <f>SUM(S153:S154)</f>
        <v>0</v>
      </c>
      <c r="T155" s="530">
        <f>SUM(T153:T154)</f>
        <v>0</v>
      </c>
      <c r="U155" s="554"/>
      <c r="V155" s="531">
        <f>SUM(V153:V154)</f>
        <v>0</v>
      </c>
      <c r="W155" s="554"/>
      <c r="X155" s="554"/>
      <c r="Y155" s="554"/>
    </row>
    <row r="156" spans="1:25" s="557" customFormat="1" ht="7.5" customHeight="1">
      <c r="A156" s="503" t="s">
        <v>198</v>
      </c>
      <c r="B156" s="503" t="s">
        <v>198</v>
      </c>
      <c r="C156" s="503"/>
      <c r="D156" s="554"/>
      <c r="E156" s="554"/>
      <c r="F156" s="554"/>
      <c r="G156" s="554"/>
      <c r="H156" s="554"/>
      <c r="I156" s="554"/>
      <c r="J156" s="535"/>
      <c r="K156" s="554"/>
      <c r="L156" s="535"/>
      <c r="M156" s="554"/>
      <c r="N156" s="507"/>
      <c r="O156" s="554"/>
      <c r="P156" s="535"/>
      <c r="Q156" s="554"/>
      <c r="R156" s="535"/>
      <c r="S156" s="535"/>
      <c r="T156" s="535"/>
      <c r="U156" s="554"/>
      <c r="V156" s="507"/>
      <c r="W156" s="554"/>
      <c r="X156" s="554"/>
      <c r="Y156" s="554"/>
    </row>
    <row r="157" spans="1:25" s="557" customFormat="1">
      <c r="A157" s="503" t="s">
        <v>198</v>
      </c>
      <c r="B157" s="503" t="s">
        <v>198</v>
      </c>
      <c r="C157" s="503"/>
      <c r="D157" s="554"/>
      <c r="E157" s="581" t="s">
        <v>1078</v>
      </c>
      <c r="F157" s="554"/>
      <c r="G157" s="554"/>
      <c r="H157" s="554"/>
      <c r="I157" s="554"/>
      <c r="J157" s="537">
        <f>SUM(J137,J143,J152,J132,J140,J149,J146)</f>
        <v>58376.3</v>
      </c>
      <c r="K157" s="554"/>
      <c r="L157" s="537">
        <f>SUM(L137,L143,L152,L132,L140,L149,L146)</f>
        <v>0</v>
      </c>
      <c r="M157" s="554"/>
      <c r="N157" s="538">
        <f>SUM(N137,N143,N152,N132,N140,N149,N146)</f>
        <v>0</v>
      </c>
      <c r="O157" s="554"/>
      <c r="P157" s="537">
        <f>SUM(P137,P143,P152,P132,P140,P149,P146)</f>
        <v>58376.3</v>
      </c>
      <c r="Q157" s="554"/>
      <c r="R157" s="537">
        <f>SUM(R137,R143,R152,R132,R140,R149,R146)</f>
        <v>58561.39</v>
      </c>
      <c r="S157" s="537">
        <f>SUM(S137,S143,S152,S132,S140,S149,S146)</f>
        <v>53734.219999999994</v>
      </c>
      <c r="T157" s="537">
        <f>SUM(T137,T143,T152,T132,T140,T149,T146)</f>
        <v>58376.3</v>
      </c>
      <c r="U157" s="554"/>
      <c r="V157" s="538">
        <f>SUM(V137,V143,V152,V132,V140,V149,V146)</f>
        <v>4642.0799999999981</v>
      </c>
      <c r="W157" s="554"/>
      <c r="X157" s="554"/>
      <c r="Y157" s="554"/>
    </row>
    <row r="158" spans="1:25" s="557" customFormat="1" ht="7.5" customHeight="1">
      <c r="A158" s="503" t="s">
        <v>198</v>
      </c>
      <c r="B158" s="503" t="s">
        <v>198</v>
      </c>
      <c r="C158" s="503"/>
      <c r="D158" s="554"/>
      <c r="E158" s="554"/>
      <c r="F158" s="554"/>
      <c r="G158" s="554"/>
      <c r="H158" s="554"/>
      <c r="I158" s="554"/>
      <c r="J158" s="535"/>
      <c r="K158" s="554"/>
      <c r="L158" s="535"/>
      <c r="M158" s="554"/>
      <c r="N158" s="507"/>
      <c r="O158" s="554"/>
      <c r="P158" s="535"/>
      <c r="Q158" s="554"/>
      <c r="R158" s="535"/>
      <c r="S158" s="535"/>
      <c r="T158" s="535"/>
      <c r="U158" s="554"/>
      <c r="V158" s="507"/>
      <c r="W158" s="554"/>
      <c r="X158" s="554"/>
      <c r="Y158" s="554"/>
    </row>
    <row r="159" spans="1:25" s="557" customFormat="1" hidden="1" outlineLevel="1">
      <c r="A159" s="554"/>
      <c r="B159" s="502" t="s">
        <v>926</v>
      </c>
      <c r="C159" s="503"/>
      <c r="D159" s="555"/>
      <c r="E159" s="555"/>
      <c r="F159" s="556"/>
      <c r="G159" s="556"/>
      <c r="H159" s="554"/>
      <c r="I159" s="554"/>
      <c r="J159" s="506"/>
      <c r="K159" s="554"/>
      <c r="L159" s="506"/>
      <c r="M159" s="554"/>
      <c r="N159" s="507"/>
      <c r="O159" s="554"/>
      <c r="P159" s="506">
        <f>J159+L159+N159</f>
        <v>0</v>
      </c>
      <c r="Q159" s="554"/>
      <c r="R159" s="506"/>
      <c r="S159" s="506"/>
      <c r="T159" s="506">
        <f>P159</f>
        <v>0</v>
      </c>
      <c r="U159" s="554"/>
      <c r="V159" s="507">
        <f>T159-S159</f>
        <v>0</v>
      </c>
      <c r="W159" s="554"/>
      <c r="X159" s="554"/>
    </row>
    <row r="160" spans="1:25" s="557" customFormat="1" ht="5.0999999999999996" hidden="1" customHeight="1" outlineLevel="1">
      <c r="A160" s="503" t="s">
        <v>198</v>
      </c>
      <c r="B160" s="503" t="s">
        <v>198</v>
      </c>
      <c r="C160" s="503"/>
      <c r="D160" s="556"/>
      <c r="E160" s="556"/>
      <c r="F160" s="556"/>
      <c r="G160" s="556"/>
      <c r="H160" s="554"/>
      <c r="I160" s="554"/>
      <c r="J160" s="532"/>
      <c r="K160" s="554"/>
      <c r="L160" s="532"/>
      <c r="M160" s="554"/>
      <c r="N160" s="533"/>
      <c r="O160" s="554"/>
      <c r="P160" s="532"/>
      <c r="Q160" s="554"/>
      <c r="R160" s="532"/>
      <c r="S160" s="532"/>
      <c r="T160" s="532"/>
      <c r="U160" s="554"/>
      <c r="V160" s="533"/>
      <c r="W160" s="554"/>
      <c r="X160" s="554"/>
      <c r="Y160" s="554"/>
    </row>
    <row r="161" spans="1:25" s="557" customFormat="1" hidden="1" collapsed="1">
      <c r="A161" s="503" t="s">
        <v>926</v>
      </c>
      <c r="B161" s="503" t="s">
        <v>198</v>
      </c>
      <c r="C161" s="503"/>
      <c r="D161" s="554"/>
      <c r="E161" s="554"/>
      <c r="F161" s="555" t="s">
        <v>1079</v>
      </c>
      <c r="G161" s="554"/>
      <c r="H161" s="554"/>
      <c r="I161" s="554"/>
      <c r="J161" s="530">
        <f>SUM(J159:J160)</f>
        <v>0</v>
      </c>
      <c r="K161" s="554"/>
      <c r="L161" s="530">
        <f>SUM(L159:L160)</f>
        <v>0</v>
      </c>
      <c r="M161" s="554"/>
      <c r="N161" s="531">
        <f>SUM(N159:N160)</f>
        <v>0</v>
      </c>
      <c r="O161" s="554"/>
      <c r="P161" s="530">
        <f>J161+L161+N161</f>
        <v>0</v>
      </c>
      <c r="Q161" s="554"/>
      <c r="R161" s="530">
        <f>SUM(R159:R160)</f>
        <v>0</v>
      </c>
      <c r="S161" s="530">
        <f>SUM(S159:S160)</f>
        <v>0</v>
      </c>
      <c r="T161" s="530">
        <f>SUM(T159:T160)</f>
        <v>0</v>
      </c>
      <c r="U161" s="554"/>
      <c r="V161" s="531">
        <f>SUM(V159:V160)</f>
        <v>0</v>
      </c>
      <c r="W161" s="554"/>
      <c r="X161" s="554"/>
      <c r="Y161" s="554"/>
    </row>
    <row r="162" spans="1:25" s="557" customFormat="1" hidden="1" outlineLevel="1">
      <c r="A162" s="554"/>
      <c r="B162" s="502" t="s">
        <v>930</v>
      </c>
      <c r="C162" s="503"/>
      <c r="D162" s="555"/>
      <c r="E162" s="555"/>
      <c r="F162" s="556"/>
      <c r="G162" s="556"/>
      <c r="H162" s="554"/>
      <c r="I162" s="554"/>
      <c r="J162" s="506"/>
      <c r="K162" s="554"/>
      <c r="L162" s="506"/>
      <c r="M162" s="554"/>
      <c r="N162" s="507"/>
      <c r="O162" s="554"/>
      <c r="P162" s="506">
        <f>J162+L162+N162</f>
        <v>0</v>
      </c>
      <c r="Q162" s="554"/>
      <c r="R162" s="506"/>
      <c r="S162" s="506"/>
      <c r="T162" s="506">
        <f>P162</f>
        <v>0</v>
      </c>
      <c r="U162" s="554"/>
      <c r="V162" s="507">
        <f>T162-S162</f>
        <v>0</v>
      </c>
      <c r="W162" s="554"/>
      <c r="X162" s="554"/>
    </row>
    <row r="163" spans="1:25" s="557" customFormat="1" ht="5.0999999999999996" hidden="1" customHeight="1" outlineLevel="1">
      <c r="A163" s="503" t="s">
        <v>198</v>
      </c>
      <c r="B163" s="503" t="s">
        <v>198</v>
      </c>
      <c r="C163" s="503"/>
      <c r="D163" s="556"/>
      <c r="E163" s="556"/>
      <c r="F163" s="556"/>
      <c r="G163" s="556"/>
      <c r="H163" s="554"/>
      <c r="I163" s="554"/>
      <c r="J163" s="532"/>
      <c r="K163" s="554"/>
      <c r="L163" s="532"/>
      <c r="M163" s="554"/>
      <c r="N163" s="533"/>
      <c r="O163" s="554"/>
      <c r="P163" s="532"/>
      <c r="Q163" s="554"/>
      <c r="R163" s="532"/>
      <c r="S163" s="532"/>
      <c r="T163" s="532"/>
      <c r="U163" s="554"/>
      <c r="V163" s="533"/>
      <c r="W163" s="554"/>
      <c r="X163" s="554"/>
      <c r="Y163" s="554"/>
    </row>
    <row r="164" spans="1:25" s="557" customFormat="1" hidden="1" collapsed="1">
      <c r="A164" s="544" t="s">
        <v>930</v>
      </c>
      <c r="B164" s="503" t="s">
        <v>198</v>
      </c>
      <c r="C164" s="503"/>
      <c r="D164" s="554"/>
      <c r="E164" s="554"/>
      <c r="F164" s="555" t="s">
        <v>1080</v>
      </c>
      <c r="G164" s="554"/>
      <c r="H164" s="554"/>
      <c r="I164" s="554"/>
      <c r="J164" s="530">
        <f>SUM(J162:J163)</f>
        <v>0</v>
      </c>
      <c r="K164" s="554"/>
      <c r="L164" s="530">
        <f>SUM(L162:L163)</f>
        <v>0</v>
      </c>
      <c r="M164" s="554"/>
      <c r="N164" s="531">
        <f>SUM(N162:N163)</f>
        <v>0</v>
      </c>
      <c r="O164" s="554"/>
      <c r="P164" s="530">
        <f>J164+L164+N164</f>
        <v>0</v>
      </c>
      <c r="Q164" s="554"/>
      <c r="R164" s="530">
        <f>SUM(R162:R163)</f>
        <v>0</v>
      </c>
      <c r="S164" s="530">
        <f>SUM(S162:S163)</f>
        <v>0</v>
      </c>
      <c r="T164" s="530">
        <f>SUM(T162:T163)</f>
        <v>0</v>
      </c>
      <c r="U164" s="554"/>
      <c r="V164" s="531">
        <f>SUM(V162:V163)</f>
        <v>0</v>
      </c>
      <c r="W164" s="554"/>
      <c r="X164" s="554"/>
      <c r="Y164" s="554"/>
    </row>
    <row r="165" spans="1:25" s="557" customFormat="1" hidden="1" outlineLevel="1">
      <c r="A165" s="554"/>
      <c r="B165" s="502" t="s">
        <v>931</v>
      </c>
      <c r="C165" s="503"/>
      <c r="D165" s="555"/>
      <c r="E165" s="555"/>
      <c r="F165" s="556"/>
      <c r="G165" s="556"/>
      <c r="H165" s="554"/>
      <c r="I165" s="554"/>
      <c r="J165" s="506"/>
      <c r="K165" s="554"/>
      <c r="L165" s="506"/>
      <c r="M165" s="554"/>
      <c r="N165" s="507"/>
      <c r="O165" s="554"/>
      <c r="P165" s="506">
        <f>J165+L165+N165</f>
        <v>0</v>
      </c>
      <c r="Q165" s="554"/>
      <c r="R165" s="506"/>
      <c r="S165" s="506"/>
      <c r="T165" s="506">
        <f>P165</f>
        <v>0</v>
      </c>
      <c r="U165" s="554"/>
      <c r="V165" s="507">
        <f>T165-S165</f>
        <v>0</v>
      </c>
      <c r="W165" s="554"/>
      <c r="X165" s="554"/>
    </row>
    <row r="166" spans="1:25" s="557" customFormat="1" ht="5.0999999999999996" hidden="1" customHeight="1" outlineLevel="1">
      <c r="A166" s="503" t="s">
        <v>198</v>
      </c>
      <c r="B166" s="503" t="s">
        <v>198</v>
      </c>
      <c r="C166" s="503"/>
      <c r="D166" s="556"/>
      <c r="E166" s="556"/>
      <c r="F166" s="556"/>
      <c r="G166" s="556"/>
      <c r="H166" s="554"/>
      <c r="I166" s="554"/>
      <c r="J166" s="532"/>
      <c r="K166" s="554"/>
      <c r="L166" s="532"/>
      <c r="M166" s="554"/>
      <c r="N166" s="533"/>
      <c r="O166" s="554"/>
      <c r="P166" s="532"/>
      <c r="Q166" s="554"/>
      <c r="R166" s="532"/>
      <c r="S166" s="532"/>
      <c r="T166" s="532"/>
      <c r="U166" s="554"/>
      <c r="V166" s="533"/>
      <c r="W166" s="554"/>
      <c r="X166" s="554"/>
      <c r="Y166" s="554"/>
    </row>
    <row r="167" spans="1:25" s="557" customFormat="1" hidden="1" collapsed="1">
      <c r="A167" s="544" t="s">
        <v>931</v>
      </c>
      <c r="B167" s="503" t="s">
        <v>198</v>
      </c>
      <c r="C167" s="503"/>
      <c r="D167" s="554"/>
      <c r="E167" s="554"/>
      <c r="F167" s="555" t="s">
        <v>1081</v>
      </c>
      <c r="G167" s="554"/>
      <c r="H167" s="554"/>
      <c r="I167" s="554"/>
      <c r="J167" s="530">
        <f>SUM(J165:J166)</f>
        <v>0</v>
      </c>
      <c r="K167" s="554"/>
      <c r="L167" s="530">
        <f>SUM(L165:L166)</f>
        <v>0</v>
      </c>
      <c r="M167" s="554"/>
      <c r="N167" s="531">
        <f>SUM(N165:N166)</f>
        <v>0</v>
      </c>
      <c r="O167" s="554"/>
      <c r="P167" s="530">
        <f>J167+L167+N167</f>
        <v>0</v>
      </c>
      <c r="Q167" s="554"/>
      <c r="R167" s="530">
        <f>SUM(R165:R166)</f>
        <v>0</v>
      </c>
      <c r="S167" s="530">
        <f>SUM(S165:S166)</f>
        <v>0</v>
      </c>
      <c r="T167" s="530">
        <f>SUM(T165:T166)</f>
        <v>0</v>
      </c>
      <c r="U167" s="554"/>
      <c r="V167" s="531">
        <f>SUM(V165:V166)</f>
        <v>0</v>
      </c>
      <c r="W167" s="554"/>
      <c r="X167" s="554"/>
      <c r="Y167" s="554"/>
    </row>
    <row r="168" spans="1:25" s="557" customFormat="1" hidden="1" outlineLevel="1">
      <c r="A168" s="554"/>
      <c r="B168" s="502" t="s">
        <v>937</v>
      </c>
      <c r="C168" s="503"/>
      <c r="D168" s="555"/>
      <c r="E168" s="555"/>
      <c r="F168" s="556"/>
      <c r="G168" s="556"/>
      <c r="H168" s="554"/>
      <c r="I168" s="554"/>
      <c r="J168" s="506"/>
      <c r="K168" s="554"/>
      <c r="L168" s="506"/>
      <c r="M168" s="554"/>
      <c r="N168" s="507"/>
      <c r="O168" s="554"/>
      <c r="P168" s="506">
        <f>J168+L168+N168</f>
        <v>0</v>
      </c>
      <c r="Q168" s="554"/>
      <c r="R168" s="506"/>
      <c r="S168" s="506"/>
      <c r="T168" s="506">
        <f>P168</f>
        <v>0</v>
      </c>
      <c r="U168" s="554"/>
      <c r="V168" s="507">
        <f>T168-S168</f>
        <v>0</v>
      </c>
      <c r="W168" s="554"/>
      <c r="X168" s="554"/>
    </row>
    <row r="169" spans="1:25" s="557" customFormat="1" ht="5.0999999999999996" hidden="1" customHeight="1" outlineLevel="1">
      <c r="A169" s="503" t="s">
        <v>198</v>
      </c>
      <c r="B169" s="503" t="s">
        <v>198</v>
      </c>
      <c r="C169" s="503"/>
      <c r="D169" s="556"/>
      <c r="E169" s="556"/>
      <c r="F169" s="556"/>
      <c r="G169" s="556"/>
      <c r="H169" s="554"/>
      <c r="I169" s="554"/>
      <c r="J169" s="532"/>
      <c r="K169" s="554"/>
      <c r="L169" s="532"/>
      <c r="M169" s="554"/>
      <c r="N169" s="533"/>
      <c r="O169" s="554"/>
      <c r="P169" s="532"/>
      <c r="Q169" s="554"/>
      <c r="R169" s="532"/>
      <c r="S169" s="532"/>
      <c r="T169" s="532"/>
      <c r="U169" s="554"/>
      <c r="V169" s="533"/>
      <c r="W169" s="554"/>
      <c r="X169" s="554"/>
      <c r="Y169" s="554"/>
    </row>
    <row r="170" spans="1:25" s="557" customFormat="1" hidden="1" collapsed="1">
      <c r="A170" s="503" t="s">
        <v>937</v>
      </c>
      <c r="B170" s="503" t="s">
        <v>198</v>
      </c>
      <c r="C170" s="503"/>
      <c r="D170" s="554"/>
      <c r="E170" s="554"/>
      <c r="F170" s="555" t="s">
        <v>1082</v>
      </c>
      <c r="G170" s="554"/>
      <c r="H170" s="554"/>
      <c r="I170" s="554"/>
      <c r="J170" s="530">
        <f>SUM(J168:J169)</f>
        <v>0</v>
      </c>
      <c r="K170" s="554"/>
      <c r="L170" s="530">
        <f>SUM(L168:L169)</f>
        <v>0</v>
      </c>
      <c r="M170" s="554"/>
      <c r="N170" s="531">
        <f>SUM(N168:N169)</f>
        <v>0</v>
      </c>
      <c r="O170" s="554"/>
      <c r="P170" s="530">
        <f>J170+L170+N170</f>
        <v>0</v>
      </c>
      <c r="Q170" s="554"/>
      <c r="R170" s="530">
        <f>SUM(R168:R169)</f>
        <v>0</v>
      </c>
      <c r="S170" s="530">
        <f>SUM(S168:S169)</f>
        <v>0</v>
      </c>
      <c r="T170" s="530">
        <f>SUM(T168:T169)</f>
        <v>0</v>
      </c>
      <c r="U170" s="554"/>
      <c r="V170" s="531">
        <f>SUM(V168:V169)</f>
        <v>0</v>
      </c>
      <c r="W170" s="554"/>
      <c r="X170" s="554"/>
      <c r="Y170" s="554"/>
    </row>
    <row r="171" spans="1:25" s="557" customFormat="1" hidden="1" outlineLevel="1">
      <c r="A171" s="554"/>
      <c r="B171" s="502" t="s">
        <v>928</v>
      </c>
      <c r="C171" s="503"/>
      <c r="D171" s="555"/>
      <c r="E171" s="555"/>
      <c r="F171" s="556"/>
      <c r="G171" s="556"/>
      <c r="H171" s="554"/>
      <c r="I171" s="554"/>
      <c r="J171" s="506"/>
      <c r="K171" s="554"/>
      <c r="L171" s="506"/>
      <c r="M171" s="554"/>
      <c r="N171" s="507"/>
      <c r="O171" s="554"/>
      <c r="P171" s="506">
        <f>J171+L171+N171</f>
        <v>0</v>
      </c>
      <c r="Q171" s="554"/>
      <c r="R171" s="506"/>
      <c r="S171" s="506"/>
      <c r="T171" s="506">
        <f>P171</f>
        <v>0</v>
      </c>
      <c r="U171" s="554"/>
      <c r="V171" s="507">
        <f>T171-S171</f>
        <v>0</v>
      </c>
      <c r="W171" s="554"/>
      <c r="X171" s="554"/>
    </row>
    <row r="172" spans="1:25" s="557" customFormat="1" ht="5.0999999999999996" hidden="1" customHeight="1" outlineLevel="1">
      <c r="A172" s="503" t="s">
        <v>198</v>
      </c>
      <c r="B172" s="503" t="s">
        <v>198</v>
      </c>
      <c r="C172" s="503"/>
      <c r="D172" s="556"/>
      <c r="E172" s="556"/>
      <c r="F172" s="556"/>
      <c r="G172" s="556"/>
      <c r="H172" s="554"/>
      <c r="I172" s="554"/>
      <c r="J172" s="532"/>
      <c r="K172" s="554"/>
      <c r="L172" s="532"/>
      <c r="M172" s="554"/>
      <c r="N172" s="533"/>
      <c r="O172" s="554"/>
      <c r="P172" s="532"/>
      <c r="Q172" s="554"/>
      <c r="R172" s="532"/>
      <c r="S172" s="532"/>
      <c r="T172" s="532"/>
      <c r="U172" s="554"/>
      <c r="V172" s="533"/>
      <c r="W172" s="554"/>
      <c r="X172" s="554"/>
      <c r="Y172" s="554"/>
    </row>
    <row r="173" spans="1:25" s="557" customFormat="1" hidden="1" collapsed="1">
      <c r="A173" s="503" t="s">
        <v>928</v>
      </c>
      <c r="B173" s="503" t="s">
        <v>198</v>
      </c>
      <c r="C173" s="503"/>
      <c r="D173" s="554"/>
      <c r="E173" s="554"/>
      <c r="F173" s="555" t="s">
        <v>1083</v>
      </c>
      <c r="G173" s="554"/>
      <c r="H173" s="554"/>
      <c r="I173" s="554"/>
      <c r="J173" s="530">
        <f>SUM(J171:J172)</f>
        <v>0</v>
      </c>
      <c r="K173" s="554"/>
      <c r="L173" s="530">
        <f>SUM(L171:L172)</f>
        <v>0</v>
      </c>
      <c r="M173" s="554"/>
      <c r="N173" s="531">
        <f>SUM(N171:N172)</f>
        <v>0</v>
      </c>
      <c r="O173" s="554"/>
      <c r="P173" s="530">
        <f>J173+L173+N173</f>
        <v>0</v>
      </c>
      <c r="Q173" s="554"/>
      <c r="R173" s="530">
        <f>SUM(R171:R172)</f>
        <v>0</v>
      </c>
      <c r="S173" s="530">
        <f>SUM(S171:S172)</f>
        <v>0</v>
      </c>
      <c r="T173" s="530">
        <f>SUM(T171:T172)</f>
        <v>0</v>
      </c>
      <c r="U173" s="554"/>
      <c r="V173" s="531">
        <f>SUM(V171:V172)</f>
        <v>0</v>
      </c>
      <c r="W173" s="554"/>
      <c r="X173" s="554"/>
      <c r="Y173" s="554"/>
    </row>
    <row r="174" spans="1:25" s="557" customFormat="1" hidden="1" outlineLevel="1">
      <c r="A174" s="554"/>
      <c r="B174" s="502" t="s">
        <v>932</v>
      </c>
      <c r="C174" s="503"/>
      <c r="D174" s="555"/>
      <c r="E174" s="555"/>
      <c r="F174" s="556"/>
      <c r="G174" s="556"/>
      <c r="H174" s="554"/>
      <c r="I174" s="554"/>
      <c r="J174" s="506"/>
      <c r="K174" s="554"/>
      <c r="L174" s="506"/>
      <c r="M174" s="554"/>
      <c r="N174" s="507"/>
      <c r="O174" s="554"/>
      <c r="P174" s="506">
        <f>J174+L174+N174</f>
        <v>0</v>
      </c>
      <c r="Q174" s="554"/>
      <c r="R174" s="506"/>
      <c r="S174" s="506"/>
      <c r="T174" s="506">
        <f>P174</f>
        <v>0</v>
      </c>
      <c r="U174" s="554"/>
      <c r="V174" s="507">
        <f>T174-S174</f>
        <v>0</v>
      </c>
      <c r="W174" s="554"/>
      <c r="X174" s="554"/>
    </row>
    <row r="175" spans="1:25" s="557" customFormat="1" ht="5.0999999999999996" hidden="1" customHeight="1" outlineLevel="1">
      <c r="A175" s="503" t="s">
        <v>198</v>
      </c>
      <c r="B175" s="503" t="s">
        <v>198</v>
      </c>
      <c r="C175" s="503"/>
      <c r="D175" s="556"/>
      <c r="E175" s="556"/>
      <c r="F175" s="556"/>
      <c r="G175" s="556"/>
      <c r="H175" s="554"/>
      <c r="I175" s="554"/>
      <c r="J175" s="532"/>
      <c r="K175" s="554"/>
      <c r="L175" s="532"/>
      <c r="M175" s="554"/>
      <c r="N175" s="533"/>
      <c r="O175" s="554"/>
      <c r="P175" s="532"/>
      <c r="Q175" s="554"/>
      <c r="R175" s="532"/>
      <c r="S175" s="532"/>
      <c r="T175" s="532"/>
      <c r="U175" s="554"/>
      <c r="V175" s="533"/>
      <c r="W175" s="554"/>
      <c r="X175" s="554"/>
      <c r="Y175" s="554"/>
    </row>
    <row r="176" spans="1:25" s="557" customFormat="1" hidden="1" collapsed="1">
      <c r="A176" s="503" t="s">
        <v>932</v>
      </c>
      <c r="B176" s="503" t="s">
        <v>198</v>
      </c>
      <c r="C176" s="503"/>
      <c r="D176" s="554"/>
      <c r="E176" s="554"/>
      <c r="F176" s="555" t="s">
        <v>1084</v>
      </c>
      <c r="G176" s="554"/>
      <c r="H176" s="554"/>
      <c r="I176" s="554"/>
      <c r="J176" s="530">
        <f>SUM(J174:J175)</f>
        <v>0</v>
      </c>
      <c r="K176" s="554"/>
      <c r="L176" s="530">
        <f>SUM(L174:L175)</f>
        <v>0</v>
      </c>
      <c r="M176" s="554"/>
      <c r="N176" s="531">
        <f>SUM(N174:N175)</f>
        <v>0</v>
      </c>
      <c r="O176" s="554"/>
      <c r="P176" s="530">
        <f>J176+L176+N176</f>
        <v>0</v>
      </c>
      <c r="Q176" s="554"/>
      <c r="R176" s="530">
        <f>SUM(R174:R175)</f>
        <v>0</v>
      </c>
      <c r="S176" s="530">
        <f>SUM(S174:S175)</f>
        <v>0</v>
      </c>
      <c r="T176" s="530">
        <f>SUM(T174:T175)</f>
        <v>0</v>
      </c>
      <c r="U176" s="554"/>
      <c r="V176" s="531">
        <f>SUM(V174:V175)</f>
        <v>0</v>
      </c>
      <c r="W176" s="554"/>
      <c r="X176" s="554"/>
      <c r="Y176" s="554"/>
    </row>
    <row r="177" spans="1:25" s="557" customFormat="1" hidden="1" outlineLevel="1">
      <c r="A177" s="554"/>
      <c r="B177" s="502" t="s">
        <v>934</v>
      </c>
      <c r="C177" s="503"/>
      <c r="D177" s="555"/>
      <c r="E177" s="555"/>
      <c r="F177" s="556"/>
      <c r="G177" s="556"/>
      <c r="H177" s="554"/>
      <c r="I177" s="554"/>
      <c r="J177" s="506"/>
      <c r="K177" s="554"/>
      <c r="L177" s="506"/>
      <c r="M177" s="554"/>
      <c r="N177" s="507"/>
      <c r="O177" s="554"/>
      <c r="P177" s="506">
        <f>J177+L177+N177</f>
        <v>0</v>
      </c>
      <c r="Q177" s="554"/>
      <c r="R177" s="506"/>
      <c r="S177" s="506"/>
      <c r="T177" s="506">
        <f>P177</f>
        <v>0</v>
      </c>
      <c r="U177" s="554"/>
      <c r="V177" s="507">
        <f>T177-S177</f>
        <v>0</v>
      </c>
      <c r="W177" s="554"/>
      <c r="X177" s="554"/>
    </row>
    <row r="178" spans="1:25" s="557" customFormat="1" ht="5.0999999999999996" hidden="1" customHeight="1" outlineLevel="1">
      <c r="A178" s="503" t="s">
        <v>198</v>
      </c>
      <c r="B178" s="528"/>
      <c r="C178" s="528"/>
      <c r="D178" s="556"/>
      <c r="E178" s="556"/>
      <c r="F178" s="556"/>
      <c r="G178" s="556"/>
      <c r="H178" s="554"/>
      <c r="I178" s="554"/>
      <c r="J178" s="532"/>
      <c r="K178" s="554"/>
      <c r="L178" s="532"/>
      <c r="M178" s="554"/>
      <c r="N178" s="533"/>
      <c r="O178" s="554"/>
      <c r="P178" s="532"/>
      <c r="Q178" s="554"/>
      <c r="R178" s="532"/>
      <c r="S178" s="532"/>
      <c r="T178" s="532"/>
      <c r="U178" s="554"/>
      <c r="V178" s="533"/>
      <c r="W178" s="554"/>
      <c r="X178" s="554"/>
      <c r="Y178" s="554"/>
    </row>
    <row r="179" spans="1:25" s="557" customFormat="1" hidden="1" collapsed="1">
      <c r="A179" s="503" t="s">
        <v>934</v>
      </c>
      <c r="B179" s="528"/>
      <c r="C179" s="528"/>
      <c r="D179" s="554"/>
      <c r="E179" s="554"/>
      <c r="F179" s="555" t="s">
        <v>1085</v>
      </c>
      <c r="G179" s="554"/>
      <c r="H179" s="554"/>
      <c r="I179" s="554"/>
      <c r="J179" s="530">
        <f>SUM(J177:J178)</f>
        <v>0</v>
      </c>
      <c r="K179" s="554"/>
      <c r="L179" s="530">
        <f>SUM(L177:L178)</f>
        <v>0</v>
      </c>
      <c r="M179" s="554"/>
      <c r="N179" s="531">
        <f>SUM(N177:N178)</f>
        <v>0</v>
      </c>
      <c r="O179" s="554"/>
      <c r="P179" s="530">
        <f>J179+L179+N179</f>
        <v>0</v>
      </c>
      <c r="Q179" s="554"/>
      <c r="R179" s="530">
        <f>SUM(R177:R178)</f>
        <v>0</v>
      </c>
      <c r="S179" s="530">
        <f>SUM(S177:S178)</f>
        <v>0</v>
      </c>
      <c r="T179" s="530">
        <f>SUM(T177:T178)</f>
        <v>0</v>
      </c>
      <c r="U179" s="554"/>
      <c r="V179" s="531">
        <f>SUM(V177:V178)</f>
        <v>0</v>
      </c>
      <c r="W179" s="554"/>
      <c r="X179" s="554"/>
      <c r="Y179" s="554"/>
    </row>
    <row r="180" spans="1:25" s="557" customFormat="1" ht="7.5" hidden="1" customHeight="1">
      <c r="A180" s="528"/>
      <c r="B180" s="503"/>
      <c r="C180" s="503"/>
      <c r="D180" s="554"/>
      <c r="E180" s="554"/>
      <c r="F180" s="554"/>
      <c r="G180" s="554"/>
      <c r="H180" s="554"/>
      <c r="I180" s="554"/>
      <c r="J180" s="535"/>
      <c r="K180" s="554"/>
      <c r="L180" s="535"/>
      <c r="M180" s="554"/>
      <c r="N180" s="507"/>
      <c r="O180" s="554"/>
      <c r="P180" s="535"/>
      <c r="Q180" s="554"/>
      <c r="R180" s="535"/>
      <c r="S180" s="535"/>
      <c r="T180" s="535"/>
      <c r="U180" s="554"/>
      <c r="V180" s="507"/>
      <c r="W180" s="554"/>
      <c r="X180" s="554"/>
      <c r="Y180" s="554"/>
    </row>
    <row r="181" spans="1:25" s="557" customFormat="1" outlineLevel="1">
      <c r="A181" s="554"/>
      <c r="B181" s="502" t="s">
        <v>935</v>
      </c>
      <c r="C181" s="503"/>
      <c r="D181" s="555">
        <v>29100</v>
      </c>
      <c r="E181" s="555" t="s">
        <v>1086</v>
      </c>
      <c r="F181" s="556"/>
      <c r="G181" s="556"/>
      <c r="H181" s="554"/>
      <c r="I181" s="554"/>
      <c r="J181" s="506">
        <v>6224.47</v>
      </c>
      <c r="K181" s="554"/>
      <c r="L181" s="506">
        <v>0</v>
      </c>
      <c r="M181" s="554"/>
      <c r="N181" s="507">
        <v>0</v>
      </c>
      <c r="O181" s="554"/>
      <c r="P181" s="506">
        <f>J181+L181+N181</f>
        <v>6224.47</v>
      </c>
      <c r="Q181" s="554"/>
      <c r="R181" s="506">
        <v>-1218.4100000000001</v>
      </c>
      <c r="S181" s="506">
        <v>2913.89</v>
      </c>
      <c r="T181" s="506">
        <f>P181</f>
        <v>6224.47</v>
      </c>
      <c r="U181" s="554"/>
      <c r="V181" s="507">
        <f>T181-S181</f>
        <v>3310.5800000000004</v>
      </c>
      <c r="W181" s="554"/>
      <c r="X181" s="554"/>
    </row>
    <row r="182" spans="1:25" s="557" customFormat="1" ht="5.0999999999999996" customHeight="1" outlineLevel="1">
      <c r="A182" s="503" t="s">
        <v>198</v>
      </c>
      <c r="B182" s="528"/>
      <c r="C182" s="528"/>
      <c r="D182" s="556"/>
      <c r="E182" s="556"/>
      <c r="F182" s="556"/>
      <c r="G182" s="556"/>
      <c r="H182" s="554"/>
      <c r="I182" s="554"/>
      <c r="J182" s="532"/>
      <c r="K182" s="554"/>
      <c r="L182" s="532"/>
      <c r="M182" s="554"/>
      <c r="N182" s="533"/>
      <c r="O182" s="554"/>
      <c r="P182" s="532"/>
      <c r="Q182" s="554"/>
      <c r="R182" s="532"/>
      <c r="S182" s="532"/>
      <c r="T182" s="532"/>
      <c r="U182" s="554"/>
      <c r="V182" s="533"/>
      <c r="W182" s="554"/>
      <c r="X182" s="554"/>
      <c r="Y182" s="554"/>
    </row>
    <row r="183" spans="1:25" s="557" customFormat="1">
      <c r="A183" s="503" t="s">
        <v>935</v>
      </c>
      <c r="B183" s="528"/>
      <c r="C183" s="528"/>
      <c r="D183" s="554"/>
      <c r="E183" s="554"/>
      <c r="F183" s="555" t="s">
        <v>1086</v>
      </c>
      <c r="G183" s="554"/>
      <c r="H183" s="554"/>
      <c r="I183" s="554"/>
      <c r="J183" s="530">
        <f>SUM(J181:J182)</f>
        <v>6224.47</v>
      </c>
      <c r="K183" s="554"/>
      <c r="L183" s="530">
        <f>SUM(L181:L182)</f>
        <v>0</v>
      </c>
      <c r="M183" s="554"/>
      <c r="N183" s="531">
        <f>SUM(N181:N182)</f>
        <v>0</v>
      </c>
      <c r="O183" s="554"/>
      <c r="P183" s="530">
        <f>J183+L183+N183</f>
        <v>6224.47</v>
      </c>
      <c r="Q183" s="554"/>
      <c r="R183" s="530">
        <f>SUM(R181:R182)</f>
        <v>-1218.4100000000001</v>
      </c>
      <c r="S183" s="530">
        <f>SUM(S181:S182)</f>
        <v>2913.89</v>
      </c>
      <c r="T183" s="530">
        <f>SUM(T181:T182)</f>
        <v>6224.47</v>
      </c>
      <c r="U183" s="554"/>
      <c r="V183" s="531">
        <f>SUM(V181:V182)</f>
        <v>3310.5800000000004</v>
      </c>
      <c r="W183" s="554"/>
      <c r="X183" s="554"/>
      <c r="Y183" s="554"/>
    </row>
    <row r="184" spans="1:25" s="557" customFormat="1" ht="7.5" customHeight="1">
      <c r="A184" s="528"/>
      <c r="B184" s="503"/>
      <c r="C184" s="503"/>
      <c r="D184" s="554"/>
      <c r="E184" s="554"/>
      <c r="F184" s="554"/>
      <c r="G184" s="554"/>
      <c r="H184" s="554"/>
      <c r="I184" s="554"/>
      <c r="J184" s="535"/>
      <c r="K184" s="554"/>
      <c r="L184" s="535"/>
      <c r="M184" s="554"/>
      <c r="N184" s="507"/>
      <c r="O184" s="554"/>
      <c r="P184" s="535"/>
      <c r="Q184" s="554"/>
      <c r="R184" s="535"/>
      <c r="S184" s="535"/>
      <c r="T184" s="535"/>
      <c r="U184" s="554"/>
      <c r="V184" s="507"/>
      <c r="W184" s="554"/>
      <c r="X184" s="554"/>
      <c r="Y184" s="554"/>
    </row>
    <row r="185" spans="1:25" s="557" customFormat="1">
      <c r="A185" s="528"/>
      <c r="B185" s="503"/>
      <c r="C185" s="503"/>
      <c r="D185" s="554"/>
      <c r="E185" s="581" t="s">
        <v>1086</v>
      </c>
      <c r="F185" s="554"/>
      <c r="G185" s="554"/>
      <c r="H185" s="554"/>
      <c r="I185" s="554"/>
      <c r="J185" s="537">
        <f>SUM(J161,J167,J173,J179,J170,J164,J176,J183)</f>
        <v>6224.47</v>
      </c>
      <c r="K185" s="554"/>
      <c r="L185" s="537">
        <f>SUM(L161,L167,L173,L179,L170,L164,L176,L183)</f>
        <v>0</v>
      </c>
      <c r="M185" s="554"/>
      <c r="N185" s="538">
        <f>SUM(N161,N167,N173,N179,N170,N164,N176,N183)</f>
        <v>0</v>
      </c>
      <c r="O185" s="554"/>
      <c r="P185" s="537">
        <f>SUM(P161,P167,P173,P179,P170,P164,P176,P183)</f>
        <v>6224.47</v>
      </c>
      <c r="Q185" s="554"/>
      <c r="R185" s="537">
        <f>SUM(R161,R167,R173,R179,R170,R164,R176,R183)</f>
        <v>-1218.4100000000001</v>
      </c>
      <c r="S185" s="537">
        <f>SUM(S161,S167,S173,S179,S170,S164,S176,S183)</f>
        <v>2913.89</v>
      </c>
      <c r="T185" s="537">
        <f>SUM(T161,T167,T173,T179,T170,T164,T176,T183)</f>
        <v>6224.47</v>
      </c>
      <c r="U185" s="554"/>
      <c r="V185" s="538">
        <f>SUM(V161,V167,V173,V179,V170,V164,V176,V183)</f>
        <v>3310.5800000000004</v>
      </c>
      <c r="W185" s="554"/>
      <c r="X185" s="554"/>
      <c r="Y185" s="554"/>
    </row>
    <row r="186" spans="1:25" s="557" customFormat="1" ht="7.5" customHeight="1">
      <c r="A186" s="503"/>
      <c r="B186" s="503"/>
      <c r="C186" s="503"/>
      <c r="D186" s="554"/>
      <c r="E186" s="554"/>
      <c r="F186" s="554"/>
      <c r="G186" s="554"/>
      <c r="H186" s="554"/>
      <c r="I186" s="554"/>
      <c r="J186" s="535"/>
      <c r="K186" s="554"/>
      <c r="L186" s="535"/>
      <c r="M186" s="554"/>
      <c r="N186" s="507"/>
      <c r="O186" s="554"/>
      <c r="P186" s="535"/>
      <c r="Q186" s="554"/>
      <c r="R186" s="535"/>
      <c r="S186" s="535"/>
      <c r="T186" s="535"/>
      <c r="U186" s="554"/>
      <c r="V186" s="507"/>
      <c r="W186" s="554"/>
      <c r="X186" s="554"/>
      <c r="Y186" s="554"/>
    </row>
    <row r="187" spans="1:25" s="557" customFormat="1" ht="13.5" thickBot="1">
      <c r="A187" s="503"/>
      <c r="B187" s="503"/>
      <c r="C187" s="503"/>
      <c r="D187" s="554"/>
      <c r="E187" s="581" t="s">
        <v>1087</v>
      </c>
      <c r="F187" s="554"/>
      <c r="G187" s="554"/>
      <c r="H187" s="554"/>
      <c r="I187" s="554"/>
      <c r="J187" s="542">
        <f>+J157+J185</f>
        <v>64600.770000000004</v>
      </c>
      <c r="K187" s="554"/>
      <c r="L187" s="542">
        <f>+L157+L185</f>
        <v>0</v>
      </c>
      <c r="M187" s="554"/>
      <c r="N187" s="543">
        <f>+N157+N185</f>
        <v>0</v>
      </c>
      <c r="O187" s="554"/>
      <c r="P187" s="542">
        <f>+P157+P185</f>
        <v>64600.770000000004</v>
      </c>
      <c r="Q187" s="554"/>
      <c r="R187" s="542">
        <f>+R157+R185</f>
        <v>57342.979999999996</v>
      </c>
      <c r="S187" s="542">
        <f>+S157+S185</f>
        <v>56648.109999999993</v>
      </c>
      <c r="T187" s="542">
        <f>+T157+T185</f>
        <v>64600.770000000004</v>
      </c>
      <c r="U187" s="554"/>
      <c r="V187" s="543">
        <f>+V157+V185</f>
        <v>7952.659999999998</v>
      </c>
      <c r="W187" s="554"/>
      <c r="X187" s="554"/>
      <c r="Y187" s="554"/>
    </row>
    <row r="188" spans="1:25" s="557" customFormat="1" ht="7.5" customHeight="1" thickTop="1">
      <c r="A188" s="503"/>
      <c r="B188" s="503"/>
      <c r="C188" s="503"/>
      <c r="D188" s="554"/>
      <c r="E188" s="554"/>
      <c r="F188" s="554"/>
      <c r="G188" s="554"/>
      <c r="H188" s="554"/>
      <c r="I188" s="554"/>
      <c r="J188" s="535"/>
      <c r="K188" s="554"/>
      <c r="L188" s="535"/>
      <c r="M188" s="554"/>
      <c r="N188" s="507"/>
      <c r="O188" s="554"/>
      <c r="P188" s="535"/>
      <c r="Q188" s="554"/>
      <c r="R188" s="535"/>
      <c r="S188" s="535"/>
      <c r="T188" s="535"/>
      <c r="U188" s="554"/>
      <c r="V188" s="507"/>
      <c r="W188" s="554"/>
      <c r="X188" s="554"/>
      <c r="Y188" s="554"/>
    </row>
    <row r="189" spans="1:25" s="585" customFormat="1" ht="12">
      <c r="A189" s="503"/>
      <c r="B189" s="503"/>
      <c r="C189" s="503"/>
      <c r="D189" s="554"/>
      <c r="E189" s="554"/>
      <c r="F189" s="554" t="s">
        <v>1088</v>
      </c>
      <c r="G189" s="554"/>
      <c r="H189" s="554"/>
      <c r="I189" s="554"/>
      <c r="J189" s="535">
        <f>J104-J187</f>
        <v>-1.4551915228366852E-10</v>
      </c>
      <c r="K189" s="554"/>
      <c r="L189" s="535">
        <f>L104-L187</f>
        <v>0</v>
      </c>
      <c r="M189" s="554"/>
      <c r="N189" s="535">
        <f>N104-N187</f>
        <v>0</v>
      </c>
      <c r="O189" s="554"/>
      <c r="P189" s="535">
        <f>P104-P187</f>
        <v>-1.4551915228366852E-10</v>
      </c>
      <c r="Q189" s="554"/>
      <c r="R189" s="535">
        <f>R104-R187</f>
        <v>0</v>
      </c>
      <c r="S189" s="535">
        <f>S104-S187</f>
        <v>1.2369127944111824E-10</v>
      </c>
      <c r="T189" s="535">
        <f>T104-T187</f>
        <v>-1.4551915228366852E-10</v>
      </c>
      <c r="U189" s="554"/>
      <c r="V189" s="535">
        <f>V104-V187</f>
        <v>-2.0008883439004421E-11</v>
      </c>
      <c r="W189" s="554"/>
      <c r="X189" s="554"/>
      <c r="Y189" s="554"/>
    </row>
    <row r="190" spans="1:25" s="547" customFormat="1" ht="9.75" customHeight="1">
      <c r="A190" s="503"/>
      <c r="B190" s="528"/>
      <c r="C190" s="528"/>
      <c r="D190" s="554"/>
      <c r="E190" s="554"/>
      <c r="F190" s="555"/>
      <c r="G190" s="554"/>
      <c r="H190" s="503"/>
      <c r="I190" s="503"/>
      <c r="J190" s="546"/>
      <c r="K190" s="503"/>
      <c r="L190" s="503"/>
      <c r="M190" s="503"/>
      <c r="N190" s="503"/>
      <c r="O190" s="503"/>
      <c r="P190" s="503"/>
      <c r="Q190" s="503"/>
      <c r="R190" s="503"/>
      <c r="S190" s="503"/>
      <c r="T190" s="503"/>
      <c r="U190" s="503"/>
      <c r="V190" s="503"/>
      <c r="W190" s="503"/>
      <c r="X190" s="503"/>
      <c r="Y190" s="503"/>
    </row>
    <row r="191" spans="1:25" s="557" customFormat="1" hidden="1" outlineLevel="1">
      <c r="A191" s="503"/>
      <c r="B191" s="502" t="s">
        <v>310</v>
      </c>
      <c r="C191" s="503"/>
      <c r="D191" s="555"/>
      <c r="E191" s="555"/>
      <c r="F191" s="556"/>
      <c r="G191" s="556"/>
      <c r="H191" s="554"/>
      <c r="I191" s="554"/>
      <c r="J191" s="506"/>
      <c r="K191" s="554"/>
      <c r="L191" s="506"/>
      <c r="M191" s="554"/>
      <c r="N191" s="507"/>
      <c r="O191" s="554"/>
      <c r="P191" s="506"/>
      <c r="Q191" s="554"/>
      <c r="R191" s="506"/>
      <c r="S191" s="506"/>
      <c r="T191" s="506"/>
      <c r="U191" s="554"/>
      <c r="V191" s="507"/>
      <c r="W191" s="554"/>
      <c r="X191" s="554"/>
      <c r="Y191" s="554"/>
    </row>
    <row r="192" spans="1:25" ht="6" hidden="1" customHeight="1" outlineLevel="1">
      <c r="A192" s="528"/>
      <c r="B192" s="503"/>
      <c r="C192" s="503"/>
      <c r="D192" s="503"/>
      <c r="E192" s="503"/>
      <c r="F192" s="503"/>
      <c r="G192" s="503"/>
      <c r="H192" s="503"/>
      <c r="I192" s="503"/>
      <c r="J192" s="532"/>
      <c r="K192" s="535"/>
      <c r="L192" s="532"/>
      <c r="M192" s="503"/>
      <c r="N192" s="532"/>
      <c r="O192" s="503"/>
      <c r="P192" s="532"/>
      <c r="Q192" s="503"/>
      <c r="R192" s="532"/>
      <c r="S192" s="532"/>
      <c r="T192" s="532"/>
      <c r="U192" s="503"/>
      <c r="V192" s="532"/>
      <c r="W192" s="503"/>
      <c r="X192" s="503"/>
      <c r="Y192" s="503"/>
    </row>
    <row r="193" spans="1:25" s="109" customFormat="1" collapsed="1">
      <c r="A193" s="503" t="s">
        <v>310</v>
      </c>
      <c r="B193" s="548"/>
      <c r="C193" s="548"/>
      <c r="D193" s="548"/>
      <c r="E193" s="548" t="s">
        <v>311</v>
      </c>
      <c r="F193" s="548"/>
      <c r="G193" s="548"/>
      <c r="H193" s="548"/>
      <c r="I193" s="548"/>
      <c r="J193" s="549">
        <f>SUM(J191:J192)</f>
        <v>0</v>
      </c>
      <c r="K193" s="586"/>
      <c r="L193" s="549">
        <f>SUM(L191:L192)</f>
        <v>0</v>
      </c>
      <c r="M193" s="586"/>
      <c r="N193" s="549">
        <f>SUM(N191:N192)</f>
        <v>0</v>
      </c>
      <c r="O193" s="586"/>
      <c r="P193" s="549">
        <f>SUM(P191:P192)</f>
        <v>0</v>
      </c>
      <c r="Q193" s="586"/>
      <c r="R193" s="549">
        <f>SUM(R191:R192)</f>
        <v>0</v>
      </c>
      <c r="S193" s="549">
        <f>SUM(S191:S192)</f>
        <v>0</v>
      </c>
      <c r="T193" s="549">
        <f>SUM(T191:T192)</f>
        <v>0</v>
      </c>
      <c r="U193" s="586"/>
      <c r="V193" s="549">
        <f>SUM(V191:V192)</f>
        <v>0</v>
      </c>
      <c r="W193" s="503"/>
      <c r="X193" s="503"/>
      <c r="Y193" s="503"/>
    </row>
    <row r="194" spans="1:25">
      <c r="A194" s="551"/>
      <c r="B194" s="503"/>
      <c r="C194" s="503"/>
      <c r="D194" s="503"/>
      <c r="E194" s="503"/>
      <c r="F194" s="503"/>
      <c r="G194" s="503"/>
      <c r="H194" s="503"/>
      <c r="I194" s="503"/>
      <c r="J194" s="552"/>
      <c r="K194" s="552"/>
      <c r="L194" s="553"/>
      <c r="M194" s="553"/>
      <c r="N194" s="553"/>
      <c r="O194" s="553"/>
      <c r="P194" s="553"/>
      <c r="Q194" s="553"/>
      <c r="R194" s="553"/>
      <c r="S194" s="553"/>
      <c r="T194" s="553"/>
      <c r="U194" s="553"/>
      <c r="V194" s="553"/>
      <c r="W194" s="503"/>
      <c r="X194" s="503"/>
      <c r="Y194" s="503"/>
    </row>
    <row r="195" spans="1:25">
      <c r="B195" s="503"/>
      <c r="C195" s="503"/>
      <c r="D195" s="503"/>
      <c r="E195" s="503"/>
      <c r="F195" s="503"/>
      <c r="G195" s="503"/>
      <c r="H195" s="503"/>
      <c r="I195" s="503"/>
      <c r="J195" s="503"/>
      <c r="K195" s="503"/>
      <c r="L195" s="503"/>
      <c r="M195" s="503"/>
      <c r="N195" s="503"/>
      <c r="O195" s="503"/>
      <c r="P195" s="503"/>
      <c r="Q195" s="503"/>
      <c r="R195" s="503"/>
      <c r="S195" s="503"/>
      <c r="T195" s="503"/>
      <c r="U195" s="503"/>
      <c r="V195" s="503"/>
      <c r="W195" s="503"/>
      <c r="X195" s="503"/>
      <c r="Y195" s="503"/>
    </row>
    <row r="196" spans="1:25">
      <c r="B196" s="503"/>
      <c r="C196" s="503"/>
      <c r="D196" s="503"/>
      <c r="E196" s="503"/>
      <c r="F196" s="503"/>
      <c r="G196" s="503"/>
      <c r="H196" s="503"/>
      <c r="I196" s="503"/>
      <c r="J196" s="503"/>
      <c r="K196" s="503"/>
      <c r="L196" s="503"/>
      <c r="M196" s="503"/>
      <c r="N196" s="503"/>
      <c r="O196" s="503"/>
      <c r="P196" s="503"/>
      <c r="Q196" s="503"/>
      <c r="R196" s="503"/>
      <c r="S196" s="503"/>
      <c r="T196" s="503"/>
      <c r="U196" s="503"/>
      <c r="V196" s="503"/>
      <c r="W196" s="503"/>
      <c r="X196" s="503"/>
      <c r="Y196" s="503"/>
    </row>
  </sheetData>
  <dataValidations count="1">
    <dataValidation type="list" allowBlank="1" showInputMessage="1" showErrorMessage="1" sqref="V7">
      <formula1>"TRUE,FALSE"</formula1>
    </dataValidation>
  </dataValidations>
  <pageMargins left="0.5" right="0.5" top="0.39" bottom="0.4" header="0.25" footer="0.25"/>
  <pageSetup scale="60" fitToHeight="0" orientation="landscape" errors="blank" horizontalDpi="4294967292" r:id="rId1"/>
  <headerFooter alignWithMargins="0">
    <oddHeader>&amp;R&amp;D - &amp;T</oddHeader>
    <oddFooter>&amp;L&amp;F - &amp;A&amp;RPage &amp;P of &amp;N</oddFooter>
  </headerFooter>
  <rowBreaks count="1" manualBreakCount="1">
    <brk id="104" min="3" max="2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480"/>
  <sheetViews>
    <sheetView showGridLines="0" view="pageBreakPreview" topLeftCell="A139" zoomScale="70" zoomScaleNormal="85" zoomScaleSheetLayoutView="70" workbookViewId="0">
      <selection activeCell="F29" sqref="F29"/>
    </sheetView>
  </sheetViews>
  <sheetFormatPr defaultColWidth="13.85546875" defaultRowHeight="14.25" outlineLevelRow="1"/>
  <cols>
    <col min="1" max="1" width="9.42578125" style="1291" customWidth="1"/>
    <col min="2" max="3" width="2.28515625" style="1291" customWidth="1"/>
    <col min="4" max="4" width="33.28515625" style="1291" customWidth="1"/>
    <col min="5" max="5" width="2.28515625" style="1291" customWidth="1"/>
    <col min="6" max="6" width="2.140625" style="1291" customWidth="1"/>
    <col min="7" max="7" width="16" style="1294" customWidth="1"/>
    <col min="8" max="8" width="1.5703125" style="1291" customWidth="1"/>
    <col min="9" max="9" width="16" style="1294" customWidth="1"/>
    <col min="10" max="10" width="1.5703125" style="1291" customWidth="1"/>
    <col min="11" max="11" width="16" style="1294" customWidth="1"/>
    <col min="12" max="12" width="1.5703125" style="1291" customWidth="1"/>
    <col min="13" max="13" width="16" style="1294" customWidth="1"/>
    <col min="14" max="14" width="1.42578125" style="1291" customWidth="1"/>
    <col min="15" max="15" width="16" style="1294" customWidth="1"/>
    <col min="16" max="16" width="1.5703125" style="1291" customWidth="1"/>
    <col min="17" max="17" width="16" style="1294" customWidth="1"/>
    <col min="18" max="18" width="1.5703125" style="1291" customWidth="1"/>
    <col min="19" max="19" width="16" style="1294" customWidth="1"/>
    <col min="20" max="20" width="0.85546875" style="1291" customWidth="1"/>
    <col min="21" max="21" width="16" style="1294" customWidth="1"/>
    <col min="22" max="22" width="1.5703125" style="1291" customWidth="1"/>
    <col min="23" max="23" width="16" style="1294" customWidth="1"/>
    <col min="24" max="24" width="1.5703125" style="1291" customWidth="1"/>
    <col min="25" max="25" width="16" style="1294" customWidth="1"/>
    <col min="26" max="26" width="0.85546875" style="1291" customWidth="1"/>
    <col min="27" max="27" width="16" style="1294" customWidth="1"/>
    <col min="28" max="28" width="1.5703125" style="1291" customWidth="1"/>
    <col min="29" max="29" width="16" style="1294" customWidth="1"/>
    <col min="30" max="30" width="1.5703125" style="1291" customWidth="1"/>
    <col min="31" max="31" width="16" style="1294" customWidth="1"/>
    <col min="32" max="32" width="6.140625" style="1291" customWidth="1"/>
    <col min="33" max="33" width="2.42578125" style="1291" customWidth="1"/>
    <col min="34" max="16384" width="13.85546875" style="106"/>
  </cols>
  <sheetData>
    <row r="1" spans="1:33" s="122" customFormat="1" ht="15.75">
      <c r="A1" s="1243" t="s">
        <v>193</v>
      </c>
      <c r="B1" s="1244"/>
      <c r="C1" s="1244"/>
      <c r="D1" s="1244"/>
      <c r="E1" s="1244"/>
      <c r="F1" s="1244"/>
      <c r="G1" s="1244"/>
      <c r="H1" s="1244"/>
      <c r="I1" s="1244"/>
      <c r="J1" s="1245" t="s">
        <v>194</v>
      </c>
      <c r="K1" s="1246" t="s">
        <v>195</v>
      </c>
      <c r="L1" s="1244"/>
      <c r="M1" s="1244"/>
      <c r="N1" s="1245" t="s">
        <v>196</v>
      </c>
      <c r="O1" s="1247"/>
      <c r="P1" s="1245"/>
      <c r="Q1" s="1246"/>
      <c r="R1" s="1244"/>
      <c r="S1" s="1244"/>
      <c r="T1" s="1244"/>
      <c r="U1" s="1244"/>
      <c r="V1" s="1245"/>
      <c r="W1" s="1246"/>
      <c r="X1" s="1244"/>
      <c r="Y1" s="1244"/>
      <c r="Z1" s="1244"/>
      <c r="AA1" s="1244"/>
      <c r="AB1" s="1245"/>
      <c r="AC1" s="1246"/>
      <c r="AD1" s="1244"/>
      <c r="AE1" s="1248"/>
      <c r="AF1" s="1244"/>
      <c r="AG1" s="1244"/>
    </row>
    <row r="2" spans="1:33" s="122" customFormat="1" ht="15.75">
      <c r="A2" s="1243" t="s">
        <v>197</v>
      </c>
      <c r="B2" s="1244"/>
      <c r="C2" s="1244"/>
      <c r="D2" s="1244"/>
      <c r="E2" s="1244"/>
      <c r="F2" s="1244"/>
      <c r="G2" s="1244"/>
      <c r="H2" s="1244"/>
      <c r="I2" s="1244"/>
      <c r="J2" s="1244"/>
      <c r="K2" s="1249" t="s">
        <v>198</v>
      </c>
      <c r="L2" s="1244"/>
      <c r="M2" s="1244"/>
      <c r="N2" s="1245" t="s">
        <v>199</v>
      </c>
      <c r="O2" s="1249" t="s">
        <v>198</v>
      </c>
      <c r="P2" s="1244"/>
      <c r="Q2" s="1249" t="s">
        <v>198</v>
      </c>
      <c r="R2" s="1244"/>
      <c r="S2" s="1244"/>
      <c r="T2" s="1244"/>
      <c r="U2" s="1244"/>
      <c r="V2" s="1244"/>
      <c r="W2" s="1249" t="s">
        <v>198</v>
      </c>
      <c r="X2" s="1244"/>
      <c r="Y2" s="1244"/>
      <c r="Z2" s="1244"/>
      <c r="AA2" s="1244"/>
      <c r="AB2" s="1244"/>
      <c r="AC2" s="1249" t="s">
        <v>198</v>
      </c>
      <c r="AD2" s="1244"/>
      <c r="AE2" s="1244"/>
      <c r="AF2" s="1244"/>
      <c r="AG2" s="1244"/>
    </row>
    <row r="3" spans="1:33" s="122" customFormat="1" ht="15.75">
      <c r="A3" s="1250" t="s">
        <v>1304</v>
      </c>
      <c r="B3" s="1244"/>
      <c r="C3" s="1244"/>
      <c r="D3" s="1244"/>
      <c r="E3" s="1244"/>
      <c r="F3" s="1244"/>
      <c r="G3" s="1244"/>
      <c r="H3" s="1244"/>
      <c r="I3" s="1244"/>
      <c r="J3" s="1244"/>
      <c r="K3" s="1244"/>
      <c r="L3" s="1244"/>
      <c r="M3" s="1244"/>
      <c r="N3" s="1244"/>
      <c r="O3" s="1244"/>
      <c r="P3" s="1244"/>
      <c r="Q3" s="1244"/>
      <c r="R3" s="1244"/>
      <c r="S3" s="1244"/>
      <c r="T3" s="1244"/>
      <c r="U3" s="1244"/>
      <c r="V3" s="1244"/>
      <c r="W3" s="1244"/>
      <c r="X3" s="1244"/>
      <c r="Y3" s="1244"/>
      <c r="Z3" s="1244"/>
      <c r="AA3" s="1244"/>
      <c r="AB3" s="1244"/>
      <c r="AC3" s="1244"/>
      <c r="AD3" s="1244"/>
      <c r="AE3" s="1244"/>
      <c r="AF3" s="1244"/>
      <c r="AG3" s="1244"/>
    </row>
    <row r="4" spans="1:33" s="122" customFormat="1" ht="15.75" hidden="1">
      <c r="A4" s="1251"/>
      <c r="B4" s="1244"/>
      <c r="C4" s="1244"/>
      <c r="D4" s="1244"/>
      <c r="E4" s="1244"/>
      <c r="F4" s="1244"/>
      <c r="G4" s="1244"/>
      <c r="H4" s="1244"/>
      <c r="I4" s="1244"/>
      <c r="J4" s="1244"/>
      <c r="K4" s="1244"/>
      <c r="L4" s="1244"/>
      <c r="M4" s="1244"/>
      <c r="N4" s="1244"/>
      <c r="O4" s="1244"/>
      <c r="P4" s="1244"/>
      <c r="Q4" s="1244"/>
      <c r="R4" s="1244"/>
      <c r="S4" s="1244"/>
      <c r="T4" s="1244"/>
      <c r="U4" s="1244"/>
      <c r="V4" s="1244"/>
      <c r="W4" s="1244"/>
      <c r="X4" s="1244"/>
      <c r="Y4" s="1244"/>
      <c r="Z4" s="1244"/>
      <c r="AA4" s="1244"/>
      <c r="AB4" s="1244"/>
      <c r="AC4" s="1244"/>
      <c r="AD4" s="1244"/>
      <c r="AE4" s="1244"/>
      <c r="AF4" s="1244"/>
      <c r="AG4" s="1244"/>
    </row>
    <row r="5" spans="1:33" s="122" customFormat="1" ht="15.75" hidden="1">
      <c r="A5" s="1252"/>
      <c r="B5" s="1244"/>
      <c r="C5" s="1244"/>
      <c r="D5" s="1244"/>
      <c r="E5" s="1244"/>
      <c r="F5" s="1244"/>
      <c r="G5" s="1244"/>
      <c r="H5" s="1244"/>
      <c r="I5" s="1244"/>
      <c r="J5" s="1244"/>
      <c r="K5" s="1244"/>
      <c r="L5" s="1244"/>
      <c r="M5" s="1244"/>
      <c r="N5" s="1244"/>
      <c r="O5" s="1244"/>
      <c r="P5" s="1244"/>
      <c r="Q5" s="1244"/>
      <c r="R5" s="1244"/>
      <c r="S5" s="1244"/>
      <c r="T5" s="1244"/>
      <c r="U5" s="1244"/>
      <c r="V5" s="1244"/>
      <c r="W5" s="1244"/>
      <c r="X5" s="1244"/>
      <c r="Y5" s="1244"/>
      <c r="Z5" s="1244"/>
      <c r="AA5" s="1244"/>
      <c r="AB5" s="1244"/>
      <c r="AC5" s="1244"/>
      <c r="AD5" s="1244"/>
      <c r="AE5" s="1244"/>
      <c r="AF5" s="1244"/>
      <c r="AG5" s="1244"/>
    </row>
    <row r="6" spans="1:33" s="122" customFormat="1" ht="15.75" hidden="1">
      <c r="A6" s="1244"/>
      <c r="B6" s="1244"/>
      <c r="C6" s="1244"/>
      <c r="D6" s="1244"/>
      <c r="E6" s="1244"/>
      <c r="F6" s="1244"/>
      <c r="G6" s="1253"/>
      <c r="H6" s="1254"/>
      <c r="I6" s="1253"/>
      <c r="J6" s="1254"/>
      <c r="K6" s="1255"/>
      <c r="L6" s="1254"/>
      <c r="M6" s="1253"/>
      <c r="N6" s="1254"/>
      <c r="O6" s="1253"/>
      <c r="P6" s="1254"/>
      <c r="Q6" s="1255"/>
      <c r="R6" s="1254"/>
      <c r="S6" s="1253"/>
      <c r="T6" s="1254"/>
      <c r="U6" s="1253"/>
      <c r="V6" s="1254"/>
      <c r="W6" s="1255"/>
      <c r="X6" s="1254"/>
      <c r="Y6" s="1253"/>
      <c r="Z6" s="1254"/>
      <c r="AA6" s="1253"/>
      <c r="AB6" s="1254"/>
      <c r="AC6" s="1255"/>
      <c r="AD6" s="1254"/>
      <c r="AE6" s="1253"/>
      <c r="AF6" s="1253"/>
      <c r="AG6" s="1244"/>
    </row>
    <row r="7" spans="1:33" s="122" customFormat="1" ht="16.5" thickBot="1">
      <c r="A7" s="1244"/>
      <c r="B7" s="1244"/>
      <c r="C7" s="1244"/>
      <c r="D7" s="1244"/>
      <c r="E7" s="1244"/>
      <c r="F7" s="1244"/>
      <c r="G7" s="1256">
        <v>42768</v>
      </c>
      <c r="H7" s="1257"/>
      <c r="I7" s="1256">
        <v>42797</v>
      </c>
      <c r="J7" s="1257"/>
      <c r="K7" s="1256">
        <v>42829</v>
      </c>
      <c r="L7" s="1258"/>
      <c r="M7" s="1256">
        <v>42860</v>
      </c>
      <c r="N7" s="1257"/>
      <c r="O7" s="1256">
        <v>42892</v>
      </c>
      <c r="P7" s="1257"/>
      <c r="Q7" s="1256">
        <v>42923</v>
      </c>
      <c r="R7" s="1258"/>
      <c r="S7" s="1256">
        <v>42955</v>
      </c>
      <c r="T7" s="1257"/>
      <c r="U7" s="1256">
        <v>42987</v>
      </c>
      <c r="V7" s="1257"/>
      <c r="W7" s="1256">
        <v>43018</v>
      </c>
      <c r="X7" s="1258"/>
      <c r="Y7" s="1256">
        <v>43050</v>
      </c>
      <c r="Z7" s="1257"/>
      <c r="AA7" s="1256">
        <v>43081</v>
      </c>
      <c r="AB7" s="1257"/>
      <c r="AC7" s="1256">
        <v>43101</v>
      </c>
      <c r="AD7" s="1258"/>
      <c r="AE7" s="1259" t="s">
        <v>20</v>
      </c>
      <c r="AF7" s="1256"/>
      <c r="AG7" s="1244"/>
    </row>
    <row r="8" spans="1:33" outlineLevel="1">
      <c r="A8" s="1260"/>
      <c r="B8" s="1260"/>
      <c r="C8" s="1261"/>
      <c r="D8" s="1262"/>
      <c r="E8" s="1263"/>
      <c r="F8" s="1264"/>
      <c r="G8" s="1265"/>
      <c r="H8" s="1264"/>
      <c r="I8" s="1265"/>
      <c r="J8" s="1264"/>
      <c r="K8" s="1265"/>
      <c r="L8" s="1264"/>
      <c r="M8" s="1265"/>
      <c r="N8" s="1264"/>
      <c r="O8" s="1265"/>
      <c r="P8" s="1264"/>
      <c r="Q8" s="1265"/>
      <c r="R8" s="1264"/>
      <c r="S8" s="1265"/>
      <c r="T8" s="1264"/>
      <c r="U8" s="1265"/>
      <c r="V8" s="1264"/>
      <c r="W8" s="1265"/>
      <c r="X8" s="1264"/>
      <c r="Y8" s="1265"/>
      <c r="Z8" s="1264"/>
      <c r="AA8" s="1265"/>
      <c r="AB8" s="1264"/>
      <c r="AC8" s="1265"/>
      <c r="AD8" s="1264"/>
      <c r="AE8" s="1265">
        <f>AC8+AA8+Y8+W8+U8+S8+Q8+O8+M8+K8+I8+G8</f>
        <v>0</v>
      </c>
      <c r="AF8" s="1266">
        <f>IF(AE$45=0,0,AE8/AE$45)</f>
        <v>0</v>
      </c>
      <c r="AG8" s="1267"/>
    </row>
    <row r="9" spans="1:33" s="113" customFormat="1" ht="4.5" customHeight="1">
      <c r="A9" s="1263"/>
      <c r="B9" s="1263"/>
      <c r="C9" s="1263"/>
      <c r="D9" s="1263"/>
      <c r="E9" s="1263"/>
      <c r="F9" s="1263"/>
      <c r="G9" s="1264"/>
      <c r="H9" s="1244"/>
      <c r="I9" s="1264"/>
      <c r="J9" s="1244"/>
      <c r="K9" s="1264"/>
      <c r="L9" s="1244"/>
      <c r="M9" s="1264"/>
      <c r="N9" s="1244"/>
      <c r="O9" s="1264"/>
      <c r="P9" s="1244"/>
      <c r="Q9" s="1264"/>
      <c r="R9" s="1244"/>
      <c r="S9" s="1264"/>
      <c r="T9" s="1244"/>
      <c r="U9" s="1264"/>
      <c r="V9" s="1244"/>
      <c r="W9" s="1264"/>
      <c r="X9" s="1244"/>
      <c r="Y9" s="1264"/>
      <c r="Z9" s="1244"/>
      <c r="AA9" s="1264"/>
      <c r="AB9" s="1244"/>
      <c r="AC9" s="1264"/>
      <c r="AD9" s="1244"/>
      <c r="AE9" s="1264"/>
      <c r="AF9" s="1263"/>
      <c r="AG9" s="1244"/>
    </row>
    <row r="10" spans="1:33" s="113" customFormat="1" ht="3" customHeight="1" outlineLevel="1">
      <c r="A10" s="1263"/>
      <c r="B10" s="1263"/>
      <c r="C10" s="1263"/>
      <c r="D10" s="1263"/>
      <c r="E10" s="1263"/>
      <c r="F10" s="1263"/>
      <c r="G10" s="1264"/>
      <c r="H10" s="1244"/>
      <c r="I10" s="1264"/>
      <c r="J10" s="1244"/>
      <c r="K10" s="1264"/>
      <c r="L10" s="1244"/>
      <c r="M10" s="1264"/>
      <c r="N10" s="1244"/>
      <c r="O10" s="1264"/>
      <c r="P10" s="1244"/>
      <c r="Q10" s="1264"/>
      <c r="R10" s="1244"/>
      <c r="S10" s="1264"/>
      <c r="T10" s="1244"/>
      <c r="U10" s="1264"/>
      <c r="V10" s="1244"/>
      <c r="W10" s="1264"/>
      <c r="X10" s="1244"/>
      <c r="Y10" s="1264"/>
      <c r="Z10" s="1244"/>
      <c r="AA10" s="1264"/>
      <c r="AB10" s="1244"/>
      <c r="AC10" s="1264"/>
      <c r="AD10" s="1244"/>
      <c r="AE10" s="1264"/>
      <c r="AF10" s="1264"/>
      <c r="AG10" s="1244"/>
    </row>
    <row r="11" spans="1:33" ht="15.75" customHeight="1" outlineLevel="1">
      <c r="A11" s="1260">
        <v>31000</v>
      </c>
      <c r="B11" s="1260" t="s">
        <v>205</v>
      </c>
      <c r="C11" s="1261"/>
      <c r="D11" s="1262"/>
      <c r="E11" s="1263"/>
      <c r="F11" s="1264"/>
      <c r="G11" s="1265">
        <v>12875.95</v>
      </c>
      <c r="H11" s="1264"/>
      <c r="I11" s="1265">
        <v>15242.54</v>
      </c>
      <c r="J11" s="1264"/>
      <c r="K11" s="1265">
        <v>10131.94</v>
      </c>
      <c r="L11" s="1264"/>
      <c r="M11" s="1265">
        <v>14118.74</v>
      </c>
      <c r="N11" s="1264"/>
      <c r="O11" s="1265">
        <v>19530.21</v>
      </c>
      <c r="P11" s="1264"/>
      <c r="Q11" s="1265">
        <v>16176.09</v>
      </c>
      <c r="R11" s="1264"/>
      <c r="S11" s="1265">
        <v>12851.37</v>
      </c>
      <c r="T11" s="1264"/>
      <c r="U11" s="1265">
        <v>12618.85</v>
      </c>
      <c r="V11" s="1264"/>
      <c r="W11" s="1265">
        <v>17695.099999999999</v>
      </c>
      <c r="X11" s="1264"/>
      <c r="Y11" s="1265">
        <v>11548.5</v>
      </c>
      <c r="Z11" s="1264"/>
      <c r="AA11" s="1265">
        <v>17227.77</v>
      </c>
      <c r="AB11" s="1264"/>
      <c r="AC11" s="1265">
        <v>80116.039999999994</v>
      </c>
      <c r="AD11" s="1264"/>
      <c r="AE11" s="1265">
        <f t="shared" ref="AE11:AE17" si="0">AC11+AA11+Y11+W11+U11+S11+Q11+O11+M11+K11+I11+G11</f>
        <v>240133.1</v>
      </c>
      <c r="AF11" s="1266">
        <f t="shared" ref="AF11:AF17" si="1">IF(AE$45=0,0,AE11/AE$45)</f>
        <v>0.17164958215557036</v>
      </c>
      <c r="AG11" s="1267"/>
    </row>
    <row r="12" spans="1:33" ht="15.75" customHeight="1" outlineLevel="1">
      <c r="A12" s="1260">
        <v>31005</v>
      </c>
      <c r="B12" s="1260" t="s">
        <v>207</v>
      </c>
      <c r="C12" s="1261"/>
      <c r="D12" s="1262"/>
      <c r="E12" s="1263"/>
      <c r="F12" s="1264"/>
      <c r="G12" s="1265">
        <v>15757.7</v>
      </c>
      <c r="H12" s="1264"/>
      <c r="I12" s="1265">
        <v>18825.7</v>
      </c>
      <c r="J12" s="1264"/>
      <c r="K12" s="1265">
        <v>14681.7</v>
      </c>
      <c r="L12" s="1264"/>
      <c r="M12" s="1265">
        <v>19603.68</v>
      </c>
      <c r="N12" s="1264"/>
      <c r="O12" s="1265">
        <v>24337.27</v>
      </c>
      <c r="P12" s="1264"/>
      <c r="Q12" s="1265">
        <v>12062.1</v>
      </c>
      <c r="R12" s="1264"/>
      <c r="S12" s="1265">
        <v>9302.59</v>
      </c>
      <c r="T12" s="1264"/>
      <c r="U12" s="1265">
        <v>8666.64</v>
      </c>
      <c r="V12" s="1264"/>
      <c r="W12" s="1265">
        <v>14771.2</v>
      </c>
      <c r="X12" s="1264"/>
      <c r="Y12" s="1265">
        <v>10114.870000000001</v>
      </c>
      <c r="Z12" s="1264"/>
      <c r="AA12" s="1265">
        <v>5958.56</v>
      </c>
      <c r="AB12" s="1264"/>
      <c r="AC12" s="1265">
        <v>11671.82</v>
      </c>
      <c r="AD12" s="1264"/>
      <c r="AE12" s="1265">
        <f t="shared" si="0"/>
        <v>165753.83000000005</v>
      </c>
      <c r="AF12" s="1266">
        <f t="shared" si="1"/>
        <v>0.11848252348462353</v>
      </c>
      <c r="AG12" s="1267"/>
    </row>
    <row r="13" spans="1:33" ht="15.75" customHeight="1" outlineLevel="1">
      <c r="A13" s="1260">
        <v>31010</v>
      </c>
      <c r="B13" s="1260" t="s">
        <v>208</v>
      </c>
      <c r="C13" s="1261"/>
      <c r="D13" s="1262"/>
      <c r="E13" s="1263"/>
      <c r="F13" s="1264"/>
      <c r="G13" s="1265">
        <v>0</v>
      </c>
      <c r="H13" s="1264"/>
      <c r="I13" s="1265">
        <v>0</v>
      </c>
      <c r="J13" s="1264"/>
      <c r="K13" s="1265">
        <v>8.1199999999999992</v>
      </c>
      <c r="L13" s="1264"/>
      <c r="M13" s="1265">
        <v>2555.37</v>
      </c>
      <c r="N13" s="1264"/>
      <c r="O13" s="1265">
        <v>541.26</v>
      </c>
      <c r="P13" s="1264"/>
      <c r="Q13" s="1265">
        <v>0</v>
      </c>
      <c r="R13" s="1264"/>
      <c r="S13" s="1265">
        <v>0</v>
      </c>
      <c r="T13" s="1264"/>
      <c r="U13" s="1265">
        <v>0</v>
      </c>
      <c r="V13" s="1264"/>
      <c r="W13" s="1265">
        <v>0</v>
      </c>
      <c r="X13" s="1264"/>
      <c r="Y13" s="1265">
        <v>0</v>
      </c>
      <c r="Z13" s="1264"/>
      <c r="AA13" s="1265">
        <v>0</v>
      </c>
      <c r="AB13" s="1264"/>
      <c r="AC13" s="1265">
        <v>0</v>
      </c>
      <c r="AD13" s="1264"/>
      <c r="AE13" s="1265">
        <f t="shared" si="0"/>
        <v>3104.75</v>
      </c>
      <c r="AF13" s="1266">
        <f t="shared" si="1"/>
        <v>2.2193068768841407E-3</v>
      </c>
      <c r="AG13" s="1267"/>
    </row>
    <row r="14" spans="1:33" ht="15.75" customHeight="1" outlineLevel="1">
      <c r="A14" s="1260">
        <v>32000</v>
      </c>
      <c r="B14" s="1260" t="s">
        <v>209</v>
      </c>
      <c r="C14" s="1261"/>
      <c r="D14" s="1262"/>
      <c r="E14" s="1263"/>
      <c r="F14" s="1264"/>
      <c r="G14" s="1265">
        <v>36602.21</v>
      </c>
      <c r="H14" s="1264"/>
      <c r="I14" s="1265">
        <v>37450.370000000003</v>
      </c>
      <c r="J14" s="1264"/>
      <c r="K14" s="1265">
        <v>37486.639999999999</v>
      </c>
      <c r="L14" s="1264"/>
      <c r="M14" s="1265">
        <v>38165.71</v>
      </c>
      <c r="N14" s="1264"/>
      <c r="O14" s="1265">
        <v>38303.96</v>
      </c>
      <c r="P14" s="1264"/>
      <c r="Q14" s="1265">
        <v>38119.61</v>
      </c>
      <c r="R14" s="1264"/>
      <c r="S14" s="1265">
        <v>39033.43</v>
      </c>
      <c r="T14" s="1264"/>
      <c r="U14" s="1265">
        <v>38908.93</v>
      </c>
      <c r="V14" s="1264"/>
      <c r="W14" s="1265">
        <v>38444.22</v>
      </c>
      <c r="X14" s="1264"/>
      <c r="Y14" s="1265">
        <v>37972.54</v>
      </c>
      <c r="Z14" s="1264"/>
      <c r="AA14" s="1265">
        <v>38007.21</v>
      </c>
      <c r="AB14" s="1264"/>
      <c r="AC14" s="1265">
        <v>38100.5</v>
      </c>
      <c r="AD14" s="1264"/>
      <c r="AE14" s="1265">
        <f t="shared" si="0"/>
        <v>456595.33000000007</v>
      </c>
      <c r="AF14" s="1266">
        <f t="shared" si="1"/>
        <v>0.32637898569037244</v>
      </c>
      <c r="AG14" s="1267"/>
    </row>
    <row r="15" spans="1:33" ht="15.75" customHeight="1" outlineLevel="1">
      <c r="A15" s="1260">
        <v>32001</v>
      </c>
      <c r="B15" s="1260" t="s">
        <v>210</v>
      </c>
      <c r="C15" s="1261"/>
      <c r="D15" s="1262"/>
      <c r="E15" s="1263"/>
      <c r="F15" s="1264"/>
      <c r="G15" s="1265">
        <v>1533.23</v>
      </c>
      <c r="H15" s="1264"/>
      <c r="I15" s="1265">
        <v>2437</v>
      </c>
      <c r="J15" s="1264"/>
      <c r="K15" s="1265">
        <v>1874.24</v>
      </c>
      <c r="L15" s="1264"/>
      <c r="M15" s="1265">
        <v>2261.98</v>
      </c>
      <c r="N15" s="1264"/>
      <c r="O15" s="1265">
        <v>2848.54</v>
      </c>
      <c r="P15" s="1264"/>
      <c r="Q15" s="1265">
        <v>2608.94</v>
      </c>
      <c r="R15" s="1264"/>
      <c r="S15" s="1265">
        <v>3124.28</v>
      </c>
      <c r="T15" s="1264"/>
      <c r="U15" s="1265">
        <v>4455.0600000000004</v>
      </c>
      <c r="V15" s="1264"/>
      <c r="W15" s="1265">
        <v>2860.97</v>
      </c>
      <c r="X15" s="1264"/>
      <c r="Y15" s="1265">
        <v>3107.28</v>
      </c>
      <c r="Z15" s="1264"/>
      <c r="AA15" s="1265">
        <v>3147.99</v>
      </c>
      <c r="AB15" s="1264"/>
      <c r="AC15" s="1265">
        <v>4498.92</v>
      </c>
      <c r="AD15" s="1264"/>
      <c r="AE15" s="1265">
        <f t="shared" si="0"/>
        <v>34758.43</v>
      </c>
      <c r="AF15" s="1266">
        <f t="shared" si="1"/>
        <v>2.4845679274883976E-2</v>
      </c>
      <c r="AG15" s="1267"/>
    </row>
    <row r="16" spans="1:33" ht="15.75" customHeight="1" outlineLevel="1">
      <c r="A16" s="1260">
        <v>33000</v>
      </c>
      <c r="B16" s="1260" t="s">
        <v>211</v>
      </c>
      <c r="C16" s="1261"/>
      <c r="D16" s="1262"/>
      <c r="E16" s="1263"/>
      <c r="F16" s="1264"/>
      <c r="G16" s="1265">
        <v>35638.730000000003</v>
      </c>
      <c r="H16" s="1264"/>
      <c r="I16" s="1265">
        <v>37119.269999999997</v>
      </c>
      <c r="J16" s="1264"/>
      <c r="K16" s="1265">
        <v>37932.74</v>
      </c>
      <c r="L16" s="1264"/>
      <c r="M16" s="1265">
        <v>39037.24</v>
      </c>
      <c r="N16" s="1264"/>
      <c r="O16" s="1265">
        <v>41147.9</v>
      </c>
      <c r="P16" s="1264"/>
      <c r="Q16" s="1265">
        <v>42048.19</v>
      </c>
      <c r="R16" s="1264"/>
      <c r="S16" s="1265">
        <v>42117.61</v>
      </c>
      <c r="T16" s="1264"/>
      <c r="U16" s="1265">
        <v>43087.75</v>
      </c>
      <c r="V16" s="1264"/>
      <c r="W16" s="1265">
        <v>40877.22</v>
      </c>
      <c r="X16" s="1264"/>
      <c r="Y16" s="1265">
        <v>39876.14</v>
      </c>
      <c r="Z16" s="1264"/>
      <c r="AA16" s="1265">
        <v>39110.410000000003</v>
      </c>
      <c r="AB16" s="1264"/>
      <c r="AC16" s="1265">
        <v>38731.39</v>
      </c>
      <c r="AD16" s="1264"/>
      <c r="AE16" s="1265">
        <f t="shared" si="0"/>
        <v>476724.59</v>
      </c>
      <c r="AF16" s="1266">
        <f t="shared" si="1"/>
        <v>0.34076758546316854</v>
      </c>
      <c r="AG16" s="1267"/>
    </row>
    <row r="17" spans="1:33" outlineLevel="1">
      <c r="A17" s="1260">
        <v>33001</v>
      </c>
      <c r="B17" s="1260" t="s">
        <v>212</v>
      </c>
      <c r="C17" s="1261"/>
      <c r="D17" s="1262"/>
      <c r="E17" s="1263"/>
      <c r="F17" s="1264"/>
      <c r="G17" s="1265">
        <v>967.76</v>
      </c>
      <c r="H17" s="1264"/>
      <c r="I17" s="1265">
        <v>1601.01</v>
      </c>
      <c r="J17" s="1264"/>
      <c r="K17" s="1265">
        <v>1063.9000000000001</v>
      </c>
      <c r="L17" s="1264"/>
      <c r="M17" s="1265">
        <v>1171.72</v>
      </c>
      <c r="N17" s="1264"/>
      <c r="O17" s="1265">
        <v>1253.77</v>
      </c>
      <c r="P17" s="1264"/>
      <c r="Q17" s="1265">
        <v>1114.9100000000001</v>
      </c>
      <c r="R17" s="1264"/>
      <c r="S17" s="1265">
        <v>1398.81</v>
      </c>
      <c r="T17" s="1264"/>
      <c r="U17" s="1265">
        <v>1129.44</v>
      </c>
      <c r="V17" s="1264"/>
      <c r="W17" s="1265">
        <v>1154.02</v>
      </c>
      <c r="X17" s="1264"/>
      <c r="Y17" s="1265">
        <v>1019.48</v>
      </c>
      <c r="Z17" s="1264"/>
      <c r="AA17" s="1265">
        <v>1381.21</v>
      </c>
      <c r="AB17" s="1264"/>
      <c r="AC17" s="1265">
        <v>1548.65</v>
      </c>
      <c r="AD17" s="1264"/>
      <c r="AE17" s="1265">
        <f t="shared" si="0"/>
        <v>14804.68</v>
      </c>
      <c r="AF17" s="1266">
        <f t="shared" si="1"/>
        <v>1.0582535835113649E-2</v>
      </c>
      <c r="AG17" s="1267"/>
    </row>
    <row r="18" spans="1:33" s="113" customFormat="1" ht="4.5" customHeight="1" outlineLevel="1">
      <c r="A18" s="1263"/>
      <c r="B18" s="1263"/>
      <c r="C18" s="1263"/>
      <c r="D18" s="1263"/>
      <c r="E18" s="1263"/>
      <c r="F18" s="1263"/>
      <c r="G18" s="1268"/>
      <c r="H18" s="1244"/>
      <c r="I18" s="1268"/>
      <c r="J18" s="1244"/>
      <c r="K18" s="1268"/>
      <c r="L18" s="1244"/>
      <c r="M18" s="1268"/>
      <c r="N18" s="1244"/>
      <c r="O18" s="1268"/>
      <c r="P18" s="1244"/>
      <c r="Q18" s="1268"/>
      <c r="R18" s="1244"/>
      <c r="S18" s="1268"/>
      <c r="T18" s="1244"/>
      <c r="U18" s="1268"/>
      <c r="V18" s="1244"/>
      <c r="W18" s="1268"/>
      <c r="X18" s="1244"/>
      <c r="Y18" s="1268"/>
      <c r="Z18" s="1244"/>
      <c r="AA18" s="1268"/>
      <c r="AB18" s="1244"/>
      <c r="AC18" s="1268"/>
      <c r="AD18" s="1244"/>
      <c r="AE18" s="1268"/>
      <c r="AF18" s="1264"/>
      <c r="AG18" s="1244"/>
    </row>
    <row r="19" spans="1:33" s="113" customFormat="1">
      <c r="A19" s="1263"/>
      <c r="B19" s="1263"/>
      <c r="C19" s="1263" t="s">
        <v>213</v>
      </c>
      <c r="D19" s="1263"/>
      <c r="E19" s="1263"/>
      <c r="F19" s="1263"/>
      <c r="G19" s="1269">
        <f>SUM(G10:G18)</f>
        <v>103375.58</v>
      </c>
      <c r="H19" s="1270"/>
      <c r="I19" s="1269">
        <f>SUM(I10:I18)</f>
        <v>112675.89</v>
      </c>
      <c r="J19" s="1270"/>
      <c r="K19" s="1269">
        <f>SUM(K10:K18)</f>
        <v>103179.27999999998</v>
      </c>
      <c r="L19" s="1270"/>
      <c r="M19" s="1269">
        <f>SUM(M10:M18)</f>
        <v>116914.44</v>
      </c>
      <c r="N19" s="1270"/>
      <c r="O19" s="1269">
        <f>SUM(O10:O18)</f>
        <v>127962.90999999999</v>
      </c>
      <c r="P19" s="1270"/>
      <c r="Q19" s="1269">
        <f>SUM(Q10:Q18)</f>
        <v>112129.84000000001</v>
      </c>
      <c r="R19" s="1270"/>
      <c r="S19" s="1269">
        <f>SUM(S10:S18)</f>
        <v>107828.09</v>
      </c>
      <c r="T19" s="1270"/>
      <c r="U19" s="1269">
        <f>SUM(U10:U18)</f>
        <v>108866.67</v>
      </c>
      <c r="V19" s="1270"/>
      <c r="W19" s="1269">
        <f>SUM(W10:W18)</f>
        <v>115802.73000000001</v>
      </c>
      <c r="X19" s="1270"/>
      <c r="Y19" s="1269">
        <f>SUM(Y10:Y18)</f>
        <v>103638.81</v>
      </c>
      <c r="Z19" s="1270"/>
      <c r="AA19" s="1269">
        <f>SUM(AA10:AA18)</f>
        <v>104833.15000000001</v>
      </c>
      <c r="AB19" s="1270"/>
      <c r="AC19" s="1269">
        <f>SUM(AC10:AC18)</f>
        <v>174667.31999999998</v>
      </c>
      <c r="AD19" s="1270"/>
      <c r="AE19" s="1269">
        <f>SUM(AE10:AE18)</f>
        <v>1391874.7100000002</v>
      </c>
      <c r="AF19" s="1266">
        <f>IF(AE$45=0,0,AE19/AE$45)</f>
        <v>0.99492619878061672</v>
      </c>
      <c r="AG19" s="1244"/>
    </row>
    <row r="20" spans="1:33" s="113" customFormat="1" hidden="1" outlineLevel="1">
      <c r="A20" s="1263"/>
      <c r="B20" s="1263"/>
      <c r="C20" s="1263"/>
      <c r="D20" s="1263"/>
      <c r="E20" s="1263"/>
      <c r="F20" s="1263"/>
      <c r="G20" s="1270"/>
      <c r="H20" s="1270"/>
      <c r="I20" s="1270"/>
      <c r="J20" s="1270"/>
      <c r="K20" s="1270"/>
      <c r="L20" s="1270"/>
      <c r="M20" s="1270"/>
      <c r="N20" s="1270"/>
      <c r="O20" s="1270"/>
      <c r="P20" s="1270"/>
      <c r="Q20" s="1270"/>
      <c r="R20" s="1270"/>
      <c r="S20" s="1270"/>
      <c r="T20" s="1270"/>
      <c r="U20" s="1270"/>
      <c r="V20" s="1270"/>
      <c r="W20" s="1270"/>
      <c r="X20" s="1270"/>
      <c r="Y20" s="1270"/>
      <c r="Z20" s="1270"/>
      <c r="AA20" s="1270"/>
      <c r="AB20" s="1270"/>
      <c r="AC20" s="1270"/>
      <c r="AD20" s="1270"/>
      <c r="AE20" s="1270"/>
      <c r="AF20" s="1264"/>
      <c r="AG20" s="1244"/>
    </row>
    <row r="21" spans="1:33" hidden="1" outlineLevel="1">
      <c r="A21" s="1260"/>
      <c r="B21" s="1260"/>
      <c r="C21" s="1261"/>
      <c r="D21" s="1262"/>
      <c r="E21" s="1263"/>
      <c r="F21" s="1264"/>
      <c r="G21" s="1265"/>
      <c r="H21" s="1264"/>
      <c r="I21" s="1265"/>
      <c r="J21" s="1264"/>
      <c r="K21" s="1265"/>
      <c r="L21" s="1264"/>
      <c r="M21" s="1265"/>
      <c r="N21" s="1264"/>
      <c r="O21" s="1265"/>
      <c r="P21" s="1264"/>
      <c r="Q21" s="1265"/>
      <c r="R21" s="1264"/>
      <c r="S21" s="1265"/>
      <c r="T21" s="1264"/>
      <c r="U21" s="1265"/>
      <c r="V21" s="1264"/>
      <c r="W21" s="1265"/>
      <c r="X21" s="1264"/>
      <c r="Y21" s="1265"/>
      <c r="Z21" s="1264"/>
      <c r="AA21" s="1265"/>
      <c r="AB21" s="1264"/>
      <c r="AC21" s="1265"/>
      <c r="AD21" s="1264"/>
      <c r="AE21" s="1265">
        <f>AC21+AA21+Y21+W21+U21+S21+Q21+O21+M21+K21+I21+G21</f>
        <v>0</v>
      </c>
      <c r="AF21" s="1266">
        <f>IF(AE$45=0,0,AE21/AE$45)</f>
        <v>0</v>
      </c>
      <c r="AG21" s="1267"/>
    </row>
    <row r="22" spans="1:33" s="113" customFormat="1" ht="5.0999999999999996" hidden="1" customHeight="1" outlineLevel="1">
      <c r="A22" s="1261"/>
      <c r="B22" s="1261"/>
      <c r="C22" s="1261"/>
      <c r="D22" s="1261"/>
      <c r="E22" s="1263"/>
      <c r="F22" s="1263"/>
      <c r="G22" s="1271"/>
      <c r="H22" s="1270"/>
      <c r="I22" s="1271"/>
      <c r="J22" s="1270"/>
      <c r="K22" s="1271"/>
      <c r="L22" s="1270"/>
      <c r="M22" s="1271"/>
      <c r="N22" s="1270"/>
      <c r="O22" s="1271"/>
      <c r="P22" s="1270"/>
      <c r="Q22" s="1271"/>
      <c r="R22" s="1270"/>
      <c r="S22" s="1271"/>
      <c r="T22" s="1270"/>
      <c r="U22" s="1271"/>
      <c r="V22" s="1270"/>
      <c r="W22" s="1271"/>
      <c r="X22" s="1270"/>
      <c r="Y22" s="1271"/>
      <c r="Z22" s="1270"/>
      <c r="AA22" s="1271"/>
      <c r="AB22" s="1270"/>
      <c r="AC22" s="1271"/>
      <c r="AD22" s="1270"/>
      <c r="AE22" s="1271"/>
      <c r="AF22" s="1264"/>
      <c r="AG22" s="1244"/>
    </row>
    <row r="23" spans="1:33" s="113" customFormat="1" hidden="1" collapsed="1">
      <c r="A23" s="1263"/>
      <c r="B23" s="1263"/>
      <c r="C23" s="1261" t="s">
        <v>215</v>
      </c>
      <c r="D23" s="1263"/>
      <c r="E23" s="1263"/>
      <c r="F23" s="1263"/>
      <c r="G23" s="1269">
        <f>SUM(G21:G22)</f>
        <v>0</v>
      </c>
      <c r="H23" s="1270"/>
      <c r="I23" s="1269">
        <f>SUM(I21:I22)</f>
        <v>0</v>
      </c>
      <c r="J23" s="1270"/>
      <c r="K23" s="1269">
        <f>SUM(K21:K22)</f>
        <v>0</v>
      </c>
      <c r="L23" s="1270"/>
      <c r="M23" s="1269">
        <f>SUM(M21:M22)</f>
        <v>0</v>
      </c>
      <c r="N23" s="1270"/>
      <c r="O23" s="1269">
        <f>SUM(O21:O22)</f>
        <v>0</v>
      </c>
      <c r="P23" s="1270"/>
      <c r="Q23" s="1269">
        <f>SUM(Q21:Q22)</f>
        <v>0</v>
      </c>
      <c r="R23" s="1270"/>
      <c r="S23" s="1269">
        <f>SUM(S21:S22)</f>
        <v>0</v>
      </c>
      <c r="T23" s="1270"/>
      <c r="U23" s="1269">
        <f>SUM(U21:U22)</f>
        <v>0</v>
      </c>
      <c r="V23" s="1270"/>
      <c r="W23" s="1269">
        <f>SUM(W21:W22)</f>
        <v>0</v>
      </c>
      <c r="X23" s="1270"/>
      <c r="Y23" s="1269">
        <f>SUM(Y21:Y22)</f>
        <v>0</v>
      </c>
      <c r="Z23" s="1270"/>
      <c r="AA23" s="1269">
        <f>SUM(AA21:AA22)</f>
        <v>0</v>
      </c>
      <c r="AB23" s="1270"/>
      <c r="AC23" s="1269">
        <f>SUM(AC21:AC22)</f>
        <v>0</v>
      </c>
      <c r="AD23" s="1270"/>
      <c r="AE23" s="1269">
        <f>SUM(AE21:AE22)</f>
        <v>0</v>
      </c>
      <c r="AF23" s="1266">
        <f>IF(AE$45=0,0,AE23/AE$45)</f>
        <v>0</v>
      </c>
      <c r="AG23" s="1244"/>
    </row>
    <row r="24" spans="1:33" s="113" customFormat="1" hidden="1" outlineLevel="1">
      <c r="A24" s="1263"/>
      <c r="B24" s="1263"/>
      <c r="C24" s="1263"/>
      <c r="D24" s="1263"/>
      <c r="E24" s="1263"/>
      <c r="F24" s="1263"/>
      <c r="G24" s="1270"/>
      <c r="H24" s="1270"/>
      <c r="I24" s="1270"/>
      <c r="J24" s="1270"/>
      <c r="K24" s="1270"/>
      <c r="L24" s="1270"/>
      <c r="M24" s="1270"/>
      <c r="N24" s="1270"/>
      <c r="O24" s="1270"/>
      <c r="P24" s="1270"/>
      <c r="Q24" s="1270"/>
      <c r="R24" s="1270"/>
      <c r="S24" s="1270"/>
      <c r="T24" s="1270"/>
      <c r="U24" s="1270"/>
      <c r="V24" s="1270"/>
      <c r="W24" s="1270"/>
      <c r="X24" s="1270"/>
      <c r="Y24" s="1270"/>
      <c r="Z24" s="1270"/>
      <c r="AA24" s="1270"/>
      <c r="AB24" s="1270"/>
      <c r="AC24" s="1270"/>
      <c r="AD24" s="1270"/>
      <c r="AE24" s="1270"/>
      <c r="AF24" s="1264"/>
      <c r="AG24" s="1244"/>
    </row>
    <row r="25" spans="1:33" s="113" customFormat="1" hidden="1" outlineLevel="1">
      <c r="A25" s="1263"/>
      <c r="B25" s="1263"/>
      <c r="C25" s="1263"/>
      <c r="D25" s="1263"/>
      <c r="E25" s="1263"/>
      <c r="F25" s="1263"/>
      <c r="G25" s="1270"/>
      <c r="H25" s="1270"/>
      <c r="I25" s="1270"/>
      <c r="J25" s="1270"/>
      <c r="K25" s="1270"/>
      <c r="L25" s="1270"/>
      <c r="M25" s="1270"/>
      <c r="N25" s="1270"/>
      <c r="O25" s="1270"/>
      <c r="P25" s="1270"/>
      <c r="Q25" s="1270"/>
      <c r="R25" s="1270"/>
      <c r="S25" s="1270"/>
      <c r="T25" s="1270"/>
      <c r="U25" s="1270"/>
      <c r="V25" s="1270"/>
      <c r="W25" s="1270"/>
      <c r="X25" s="1270"/>
      <c r="Y25" s="1270"/>
      <c r="Z25" s="1270"/>
      <c r="AA25" s="1270"/>
      <c r="AB25" s="1270"/>
      <c r="AC25" s="1270"/>
      <c r="AD25" s="1270"/>
      <c r="AE25" s="1270"/>
      <c r="AF25" s="1264"/>
      <c r="AG25" s="1244"/>
    </row>
    <row r="26" spans="1:33" hidden="1" outlineLevel="1">
      <c r="A26" s="1260"/>
      <c r="B26" s="1260"/>
      <c r="C26" s="1261"/>
      <c r="D26" s="1262"/>
      <c r="E26" s="1263"/>
      <c r="F26" s="1264"/>
      <c r="G26" s="1265"/>
      <c r="H26" s="1264"/>
      <c r="I26" s="1265"/>
      <c r="J26" s="1264"/>
      <c r="K26" s="1265"/>
      <c r="L26" s="1264"/>
      <c r="M26" s="1265"/>
      <c r="N26" s="1264"/>
      <c r="O26" s="1265"/>
      <c r="P26" s="1264"/>
      <c r="Q26" s="1265"/>
      <c r="R26" s="1264"/>
      <c r="S26" s="1265"/>
      <c r="T26" s="1264"/>
      <c r="U26" s="1265"/>
      <c r="V26" s="1264"/>
      <c r="W26" s="1265"/>
      <c r="X26" s="1264"/>
      <c r="Y26" s="1265"/>
      <c r="Z26" s="1264"/>
      <c r="AA26" s="1265"/>
      <c r="AB26" s="1264"/>
      <c r="AC26" s="1265"/>
      <c r="AD26" s="1264"/>
      <c r="AE26" s="1265">
        <f>AC26+AA26+Y26+W26+U26+S26+Q26+O26+M26+K26+I26+G26</f>
        <v>0</v>
      </c>
      <c r="AF26" s="1266">
        <f>IF(AE$45=0,0,AE26/AE$45)</f>
        <v>0</v>
      </c>
      <c r="AG26" s="1267"/>
    </row>
    <row r="27" spans="1:33" s="113" customFormat="1" ht="5.0999999999999996" hidden="1" customHeight="1" outlineLevel="1">
      <c r="A27" s="1261"/>
      <c r="B27" s="1261"/>
      <c r="C27" s="1261"/>
      <c r="D27" s="1261"/>
      <c r="E27" s="1263"/>
      <c r="F27" s="1263"/>
      <c r="G27" s="1271"/>
      <c r="H27" s="1270"/>
      <c r="I27" s="1271"/>
      <c r="J27" s="1270"/>
      <c r="K27" s="1271"/>
      <c r="L27" s="1270"/>
      <c r="M27" s="1271"/>
      <c r="N27" s="1270"/>
      <c r="O27" s="1271"/>
      <c r="P27" s="1270"/>
      <c r="Q27" s="1271"/>
      <c r="R27" s="1270"/>
      <c r="S27" s="1271"/>
      <c r="T27" s="1270"/>
      <c r="U27" s="1271"/>
      <c r="V27" s="1270"/>
      <c r="W27" s="1271"/>
      <c r="X27" s="1270"/>
      <c r="Y27" s="1271"/>
      <c r="Z27" s="1270"/>
      <c r="AA27" s="1271"/>
      <c r="AB27" s="1270"/>
      <c r="AC27" s="1271"/>
      <c r="AD27" s="1270"/>
      <c r="AE27" s="1271"/>
      <c r="AF27" s="1264"/>
      <c r="AG27" s="1244"/>
    </row>
    <row r="28" spans="1:33" s="113" customFormat="1" hidden="1" collapsed="1">
      <c r="A28" s="1263"/>
      <c r="B28" s="1263"/>
      <c r="C28" s="1261" t="s">
        <v>217</v>
      </c>
      <c r="D28" s="1263"/>
      <c r="E28" s="1263"/>
      <c r="F28" s="1263"/>
      <c r="G28" s="1269">
        <f>SUM(G25:G27)</f>
        <v>0</v>
      </c>
      <c r="H28" s="1270"/>
      <c r="I28" s="1269">
        <f>SUM(I25:I27)</f>
        <v>0</v>
      </c>
      <c r="J28" s="1270"/>
      <c r="K28" s="1269">
        <f>SUM(K25:K27)</f>
        <v>0</v>
      </c>
      <c r="L28" s="1270"/>
      <c r="M28" s="1269">
        <f>SUM(M25:M27)</f>
        <v>0</v>
      </c>
      <c r="N28" s="1270"/>
      <c r="O28" s="1269">
        <f>SUM(O25:O27)</f>
        <v>0</v>
      </c>
      <c r="P28" s="1270"/>
      <c r="Q28" s="1269">
        <f>SUM(Q25:Q27)</f>
        <v>0</v>
      </c>
      <c r="R28" s="1270"/>
      <c r="S28" s="1269">
        <f>SUM(S25:S27)</f>
        <v>0</v>
      </c>
      <c r="T28" s="1270"/>
      <c r="U28" s="1269">
        <f>SUM(U25:U27)</f>
        <v>0</v>
      </c>
      <c r="V28" s="1270"/>
      <c r="W28" s="1269">
        <f>SUM(W25:W27)</f>
        <v>0</v>
      </c>
      <c r="X28" s="1270"/>
      <c r="Y28" s="1269">
        <f>SUM(Y25:Y27)</f>
        <v>0</v>
      </c>
      <c r="Z28" s="1270"/>
      <c r="AA28" s="1269">
        <f>SUM(AA25:AA27)</f>
        <v>0</v>
      </c>
      <c r="AB28" s="1270"/>
      <c r="AC28" s="1269">
        <f>SUM(AC25:AC27)</f>
        <v>0</v>
      </c>
      <c r="AD28" s="1270"/>
      <c r="AE28" s="1269">
        <f>SUM(AE25:AE27)</f>
        <v>0</v>
      </c>
      <c r="AF28" s="1266">
        <f>IF(AE$45=0,0,AE28/AE$45)</f>
        <v>0</v>
      </c>
      <c r="AG28" s="1244"/>
    </row>
    <row r="29" spans="1:33" s="113" customFormat="1" hidden="1" outlineLevel="1">
      <c r="A29" s="1261"/>
      <c r="B29" s="1261"/>
      <c r="C29" s="1261"/>
      <c r="D29" s="1261"/>
      <c r="E29" s="1263"/>
      <c r="F29" s="1263"/>
      <c r="G29" s="1270"/>
      <c r="H29" s="1270"/>
      <c r="I29" s="1270"/>
      <c r="J29" s="1270"/>
      <c r="K29" s="1270"/>
      <c r="L29" s="1270"/>
      <c r="M29" s="1270"/>
      <c r="N29" s="1270"/>
      <c r="O29" s="1270"/>
      <c r="P29" s="1270"/>
      <c r="Q29" s="1270"/>
      <c r="R29" s="1270"/>
      <c r="S29" s="1270"/>
      <c r="T29" s="1270"/>
      <c r="U29" s="1270"/>
      <c r="V29" s="1270"/>
      <c r="W29" s="1270"/>
      <c r="X29" s="1270"/>
      <c r="Y29" s="1270"/>
      <c r="Z29" s="1270"/>
      <c r="AA29" s="1270"/>
      <c r="AB29" s="1270"/>
      <c r="AC29" s="1270"/>
      <c r="AD29" s="1270"/>
      <c r="AE29" s="1270"/>
      <c r="AF29" s="1264"/>
      <c r="AG29" s="1244"/>
    </row>
    <row r="30" spans="1:33" s="113" customFormat="1" hidden="1" outlineLevel="1">
      <c r="A30" s="1263"/>
      <c r="B30" s="1263"/>
      <c r="C30" s="1263"/>
      <c r="D30" s="1263"/>
      <c r="E30" s="1263"/>
      <c r="F30" s="1263"/>
      <c r="G30" s="1270"/>
      <c r="H30" s="1270"/>
      <c r="I30" s="1270"/>
      <c r="J30" s="1270"/>
      <c r="K30" s="1270"/>
      <c r="L30" s="1270"/>
      <c r="M30" s="1270"/>
      <c r="N30" s="1270"/>
      <c r="O30" s="1270"/>
      <c r="P30" s="1270"/>
      <c r="Q30" s="1270"/>
      <c r="R30" s="1270"/>
      <c r="S30" s="1270"/>
      <c r="T30" s="1270"/>
      <c r="U30" s="1270"/>
      <c r="V30" s="1270"/>
      <c r="W30" s="1270"/>
      <c r="X30" s="1270"/>
      <c r="Y30" s="1270"/>
      <c r="Z30" s="1270"/>
      <c r="AA30" s="1270"/>
      <c r="AB30" s="1270"/>
      <c r="AC30" s="1270"/>
      <c r="AD30" s="1270"/>
      <c r="AE30" s="1270"/>
      <c r="AF30" s="1264"/>
      <c r="AG30" s="1244"/>
    </row>
    <row r="31" spans="1:33" hidden="1" outlineLevel="1">
      <c r="A31" s="1260"/>
      <c r="B31" s="1260"/>
      <c r="C31" s="1261"/>
      <c r="D31" s="1262"/>
      <c r="E31" s="1263"/>
      <c r="F31" s="1264"/>
      <c r="G31" s="1265"/>
      <c r="H31" s="1264"/>
      <c r="I31" s="1265"/>
      <c r="J31" s="1264"/>
      <c r="K31" s="1265"/>
      <c r="L31" s="1264"/>
      <c r="M31" s="1265"/>
      <c r="N31" s="1264"/>
      <c r="O31" s="1265"/>
      <c r="P31" s="1264"/>
      <c r="Q31" s="1265"/>
      <c r="R31" s="1264"/>
      <c r="S31" s="1265"/>
      <c r="T31" s="1264"/>
      <c r="U31" s="1265"/>
      <c r="V31" s="1264"/>
      <c r="W31" s="1265"/>
      <c r="X31" s="1264"/>
      <c r="Y31" s="1265"/>
      <c r="Z31" s="1264"/>
      <c r="AA31" s="1265"/>
      <c r="AB31" s="1264"/>
      <c r="AC31" s="1265"/>
      <c r="AD31" s="1264"/>
      <c r="AE31" s="1265">
        <f>AC31+AA31+Y31+W31+U31+S31+Q31+O31+M31+K31+I31+G31</f>
        <v>0</v>
      </c>
      <c r="AF31" s="1266">
        <f>IF(AE$45=0,0,AE31/AE$45)</f>
        <v>0</v>
      </c>
      <c r="AG31" s="1267"/>
    </row>
    <row r="32" spans="1:33" s="113" customFormat="1" ht="3.75" hidden="1" customHeight="1" outlineLevel="1">
      <c r="A32" s="1261"/>
      <c r="B32" s="1261"/>
      <c r="C32" s="1261"/>
      <c r="D32" s="1261"/>
      <c r="E32" s="1263"/>
      <c r="F32" s="1263"/>
      <c r="G32" s="1271"/>
      <c r="H32" s="1270"/>
      <c r="I32" s="1271"/>
      <c r="J32" s="1270"/>
      <c r="K32" s="1271"/>
      <c r="L32" s="1270"/>
      <c r="M32" s="1271"/>
      <c r="N32" s="1270"/>
      <c r="O32" s="1271"/>
      <c r="P32" s="1270"/>
      <c r="Q32" s="1271"/>
      <c r="R32" s="1270"/>
      <c r="S32" s="1271"/>
      <c r="T32" s="1270"/>
      <c r="U32" s="1271"/>
      <c r="V32" s="1270"/>
      <c r="W32" s="1271"/>
      <c r="X32" s="1270"/>
      <c r="Y32" s="1271"/>
      <c r="Z32" s="1270"/>
      <c r="AA32" s="1271"/>
      <c r="AB32" s="1270"/>
      <c r="AC32" s="1271"/>
      <c r="AD32" s="1270"/>
      <c r="AE32" s="1271"/>
      <c r="AF32" s="1264"/>
      <c r="AG32" s="1244"/>
    </row>
    <row r="33" spans="1:33" s="113" customFormat="1" hidden="1" collapsed="1">
      <c r="A33" s="1263"/>
      <c r="B33" s="1263"/>
      <c r="C33" s="1261" t="s">
        <v>219</v>
      </c>
      <c r="D33" s="1263"/>
      <c r="E33" s="1263"/>
      <c r="F33" s="1263"/>
      <c r="G33" s="1269">
        <f>SUM(G30:G32)</f>
        <v>0</v>
      </c>
      <c r="H33" s="1270"/>
      <c r="I33" s="1269">
        <f>SUM(I30:I32)</f>
        <v>0</v>
      </c>
      <c r="J33" s="1270"/>
      <c r="K33" s="1269">
        <f>SUM(K30:K32)</f>
        <v>0</v>
      </c>
      <c r="L33" s="1270"/>
      <c r="M33" s="1269">
        <f>SUM(M30:M32)</f>
        <v>0</v>
      </c>
      <c r="N33" s="1270"/>
      <c r="O33" s="1269">
        <f>SUM(O30:O32)</f>
        <v>0</v>
      </c>
      <c r="P33" s="1270"/>
      <c r="Q33" s="1269">
        <f>SUM(Q30:Q32)</f>
        <v>0</v>
      </c>
      <c r="R33" s="1270"/>
      <c r="S33" s="1269">
        <f>SUM(S30:S32)</f>
        <v>0</v>
      </c>
      <c r="T33" s="1270"/>
      <c r="U33" s="1269">
        <f>SUM(U30:U32)</f>
        <v>0</v>
      </c>
      <c r="V33" s="1270"/>
      <c r="W33" s="1269">
        <f>SUM(W30:W32)</f>
        <v>0</v>
      </c>
      <c r="X33" s="1270"/>
      <c r="Y33" s="1269">
        <f>SUM(Y30:Y32)</f>
        <v>0</v>
      </c>
      <c r="Z33" s="1270"/>
      <c r="AA33" s="1269">
        <f>SUM(AA30:AA32)</f>
        <v>0</v>
      </c>
      <c r="AB33" s="1270"/>
      <c r="AC33" s="1269">
        <f>SUM(AC30:AC32)</f>
        <v>0</v>
      </c>
      <c r="AD33" s="1270"/>
      <c r="AE33" s="1269">
        <f>SUM(AE30:AE32)</f>
        <v>0</v>
      </c>
      <c r="AF33" s="1266">
        <f>IF(AE$45=0,0,AE33/AE$45)</f>
        <v>0</v>
      </c>
      <c r="AG33" s="1244"/>
    </row>
    <row r="34" spans="1:33" s="113" customFormat="1" hidden="1" outlineLevel="1">
      <c r="A34" s="1263"/>
      <c r="B34" s="1263"/>
      <c r="C34" s="1263"/>
      <c r="D34" s="1263"/>
      <c r="E34" s="1263"/>
      <c r="F34" s="1263"/>
      <c r="G34" s="1270"/>
      <c r="H34" s="1270"/>
      <c r="I34" s="1270"/>
      <c r="J34" s="1270"/>
      <c r="K34" s="1270"/>
      <c r="L34" s="1270"/>
      <c r="M34" s="1270"/>
      <c r="N34" s="1270"/>
      <c r="O34" s="1270"/>
      <c r="P34" s="1270"/>
      <c r="Q34" s="1270"/>
      <c r="R34" s="1270"/>
      <c r="S34" s="1270"/>
      <c r="T34" s="1270"/>
      <c r="U34" s="1270"/>
      <c r="V34" s="1270"/>
      <c r="W34" s="1270"/>
      <c r="X34" s="1270"/>
      <c r="Y34" s="1270"/>
      <c r="Z34" s="1270"/>
      <c r="AA34" s="1270"/>
      <c r="AB34" s="1270"/>
      <c r="AC34" s="1270"/>
      <c r="AD34" s="1270"/>
      <c r="AE34" s="1270"/>
      <c r="AF34" s="1264"/>
      <c r="AG34" s="1244"/>
    </row>
    <row r="35" spans="1:33" hidden="1" outlineLevel="1">
      <c r="A35" s="1260"/>
      <c r="B35" s="1260"/>
      <c r="C35" s="1261"/>
      <c r="D35" s="1262"/>
      <c r="E35" s="1263"/>
      <c r="F35" s="1264"/>
      <c r="G35" s="1265"/>
      <c r="H35" s="1264"/>
      <c r="I35" s="1265"/>
      <c r="J35" s="1264"/>
      <c r="K35" s="1265"/>
      <c r="L35" s="1264"/>
      <c r="M35" s="1265"/>
      <c r="N35" s="1264"/>
      <c r="O35" s="1265"/>
      <c r="P35" s="1264"/>
      <c r="Q35" s="1265"/>
      <c r="R35" s="1264"/>
      <c r="S35" s="1265"/>
      <c r="T35" s="1264"/>
      <c r="U35" s="1265"/>
      <c r="V35" s="1264"/>
      <c r="W35" s="1265"/>
      <c r="X35" s="1264"/>
      <c r="Y35" s="1265"/>
      <c r="Z35" s="1264"/>
      <c r="AA35" s="1265"/>
      <c r="AB35" s="1264"/>
      <c r="AC35" s="1265"/>
      <c r="AD35" s="1264"/>
      <c r="AE35" s="1265">
        <f>AC35+AA35+Y35+W35+U35+S35+Q35+O35+M35+K35+I35+G35</f>
        <v>0</v>
      </c>
      <c r="AF35" s="1266">
        <f>IF(AE$45=0,0,AE35/AE$45)</f>
        <v>0</v>
      </c>
      <c r="AG35" s="1267"/>
    </row>
    <row r="36" spans="1:33" s="113" customFormat="1" ht="3.75" hidden="1" customHeight="1" outlineLevel="1">
      <c r="A36" s="1261"/>
      <c r="B36" s="1261"/>
      <c r="C36" s="1261"/>
      <c r="D36" s="1261"/>
      <c r="E36" s="1263"/>
      <c r="F36" s="1263"/>
      <c r="G36" s="1271"/>
      <c r="H36" s="1270"/>
      <c r="I36" s="1271"/>
      <c r="J36" s="1270"/>
      <c r="K36" s="1271"/>
      <c r="L36" s="1270"/>
      <c r="M36" s="1271"/>
      <c r="N36" s="1270"/>
      <c r="O36" s="1271"/>
      <c r="P36" s="1270"/>
      <c r="Q36" s="1271"/>
      <c r="R36" s="1270"/>
      <c r="S36" s="1271"/>
      <c r="T36" s="1270"/>
      <c r="U36" s="1271"/>
      <c r="V36" s="1270"/>
      <c r="W36" s="1271"/>
      <c r="X36" s="1270"/>
      <c r="Y36" s="1271"/>
      <c r="Z36" s="1270"/>
      <c r="AA36" s="1271"/>
      <c r="AB36" s="1270"/>
      <c r="AC36" s="1271"/>
      <c r="AD36" s="1270"/>
      <c r="AE36" s="1271"/>
      <c r="AF36" s="1264"/>
      <c r="AG36" s="1244"/>
    </row>
    <row r="37" spans="1:33" s="113" customFormat="1" hidden="1" collapsed="1">
      <c r="A37" s="1263"/>
      <c r="B37" s="1263"/>
      <c r="C37" s="1261" t="s">
        <v>221</v>
      </c>
      <c r="D37" s="1263"/>
      <c r="E37" s="1263"/>
      <c r="F37" s="1263"/>
      <c r="G37" s="1269">
        <f>SUM(G35:G36)</f>
        <v>0</v>
      </c>
      <c r="H37" s="1270"/>
      <c r="I37" s="1269">
        <f>SUM(I35:I36)</f>
        <v>0</v>
      </c>
      <c r="J37" s="1270"/>
      <c r="K37" s="1269">
        <f>SUM(K35:K36)</f>
        <v>0</v>
      </c>
      <c r="L37" s="1270"/>
      <c r="M37" s="1269">
        <f>SUM(M35:M36)</f>
        <v>0</v>
      </c>
      <c r="N37" s="1270"/>
      <c r="O37" s="1269">
        <f>SUM(O35:O36)</f>
        <v>0</v>
      </c>
      <c r="P37" s="1270"/>
      <c r="Q37" s="1269">
        <f>SUM(Q35:Q36)</f>
        <v>0</v>
      </c>
      <c r="R37" s="1270"/>
      <c r="S37" s="1269">
        <f>SUM(S35:S36)</f>
        <v>0</v>
      </c>
      <c r="T37" s="1270"/>
      <c r="U37" s="1269">
        <f>SUM(U35:U36)</f>
        <v>0</v>
      </c>
      <c r="V37" s="1270"/>
      <c r="W37" s="1269">
        <f>SUM(W35:W36)</f>
        <v>0</v>
      </c>
      <c r="X37" s="1270"/>
      <c r="Y37" s="1269">
        <f>SUM(Y35:Y36)</f>
        <v>0</v>
      </c>
      <c r="Z37" s="1270"/>
      <c r="AA37" s="1269">
        <f>SUM(AA35:AA36)</f>
        <v>0</v>
      </c>
      <c r="AB37" s="1270"/>
      <c r="AC37" s="1269">
        <f>SUM(AC35:AC36)</f>
        <v>0</v>
      </c>
      <c r="AD37" s="1270"/>
      <c r="AE37" s="1269">
        <f>SUM(AE35:AE36)</f>
        <v>0</v>
      </c>
      <c r="AF37" s="1266">
        <f>IF(AE$45=0,0,AE37/AE$45)</f>
        <v>0</v>
      </c>
      <c r="AG37" s="1244"/>
    </row>
    <row r="38" spans="1:33" s="113" customFormat="1" hidden="1" outlineLevel="1">
      <c r="A38" s="1263"/>
      <c r="B38" s="1263"/>
      <c r="C38" s="1263"/>
      <c r="D38" s="1263"/>
      <c r="E38" s="1263"/>
      <c r="F38" s="1263"/>
      <c r="G38" s="1270"/>
      <c r="H38" s="1270"/>
      <c r="I38" s="1270"/>
      <c r="J38" s="1270"/>
      <c r="K38" s="1270"/>
      <c r="L38" s="1270"/>
      <c r="M38" s="1270"/>
      <c r="N38" s="1270"/>
      <c r="O38" s="1270"/>
      <c r="P38" s="1270"/>
      <c r="Q38" s="1270"/>
      <c r="R38" s="1270"/>
      <c r="S38" s="1270"/>
      <c r="T38" s="1270"/>
      <c r="U38" s="1270"/>
      <c r="V38" s="1270"/>
      <c r="W38" s="1270"/>
      <c r="X38" s="1270"/>
      <c r="Y38" s="1270"/>
      <c r="Z38" s="1270"/>
      <c r="AA38" s="1270"/>
      <c r="AB38" s="1270"/>
      <c r="AC38" s="1270"/>
      <c r="AD38" s="1270"/>
      <c r="AE38" s="1270"/>
      <c r="AF38" s="1264"/>
      <c r="AG38" s="1244"/>
    </row>
    <row r="39" spans="1:33" s="113" customFormat="1" hidden="1" outlineLevel="1">
      <c r="A39" s="1263"/>
      <c r="B39" s="1263"/>
      <c r="C39" s="1263"/>
      <c r="D39" s="1263"/>
      <c r="E39" s="1263"/>
      <c r="F39" s="1263"/>
      <c r="G39" s="1270"/>
      <c r="H39" s="1270"/>
      <c r="I39" s="1270"/>
      <c r="J39" s="1270"/>
      <c r="K39" s="1270"/>
      <c r="L39" s="1270"/>
      <c r="M39" s="1270"/>
      <c r="N39" s="1270"/>
      <c r="O39" s="1270"/>
      <c r="P39" s="1270"/>
      <c r="Q39" s="1270"/>
      <c r="R39" s="1270"/>
      <c r="S39" s="1270"/>
      <c r="T39" s="1270"/>
      <c r="U39" s="1270"/>
      <c r="V39" s="1270"/>
      <c r="W39" s="1270"/>
      <c r="X39" s="1270"/>
      <c r="Y39" s="1270"/>
      <c r="Z39" s="1270"/>
      <c r="AA39" s="1270"/>
      <c r="AB39" s="1270"/>
      <c r="AC39" s="1270"/>
      <c r="AD39" s="1270"/>
      <c r="AE39" s="1270"/>
      <c r="AF39" s="1264"/>
      <c r="AG39" s="1244"/>
    </row>
    <row r="40" spans="1:33" ht="15.75" customHeight="1" outlineLevel="1">
      <c r="A40" s="1260">
        <v>38000</v>
      </c>
      <c r="B40" s="1260" t="s">
        <v>223</v>
      </c>
      <c r="C40" s="1261"/>
      <c r="D40" s="1262"/>
      <c r="E40" s="1263"/>
      <c r="F40" s="1264"/>
      <c r="G40" s="1265">
        <v>485.62</v>
      </c>
      <c r="H40" s="1264"/>
      <c r="I40" s="1265">
        <v>539.84</v>
      </c>
      <c r="J40" s="1264"/>
      <c r="K40" s="1265">
        <v>408.63</v>
      </c>
      <c r="L40" s="1264"/>
      <c r="M40" s="1265">
        <v>522.9</v>
      </c>
      <c r="N40" s="1264"/>
      <c r="O40" s="1265">
        <v>705.38</v>
      </c>
      <c r="P40" s="1264"/>
      <c r="Q40" s="1265">
        <v>593.83000000000004</v>
      </c>
      <c r="R40" s="1264"/>
      <c r="S40" s="1265">
        <v>574.95000000000005</v>
      </c>
      <c r="T40" s="1264"/>
      <c r="U40" s="1265">
        <v>283.52999999999997</v>
      </c>
      <c r="V40" s="1264"/>
      <c r="W40" s="1265">
        <v>536.26</v>
      </c>
      <c r="X40" s="1264"/>
      <c r="Y40" s="1265">
        <v>371.66</v>
      </c>
      <c r="Z40" s="1264"/>
      <c r="AA40" s="1265">
        <v>374.87</v>
      </c>
      <c r="AB40" s="1264"/>
      <c r="AC40" s="1265">
        <v>465</v>
      </c>
      <c r="AD40" s="1264"/>
      <c r="AE40" s="1265">
        <f>AC40+AA40+Y40+W40+U40+S40+Q40+O40+M40+K40+I40+G40</f>
        <v>5862.47</v>
      </c>
      <c r="AF40" s="1266">
        <f>IF(AE$45=0,0,AE40/AE$45)</f>
        <v>4.190553180296955E-3</v>
      </c>
      <c r="AG40" s="1267"/>
    </row>
    <row r="41" spans="1:33" ht="15.75" customHeight="1" outlineLevel="1">
      <c r="A41" s="1260">
        <v>38001</v>
      </c>
      <c r="B41" s="1260" t="s">
        <v>224</v>
      </c>
      <c r="C41" s="1261"/>
      <c r="D41" s="1262"/>
      <c r="E41" s="1263"/>
      <c r="F41" s="1264"/>
      <c r="G41" s="1265">
        <v>84.07</v>
      </c>
      <c r="H41" s="1264"/>
      <c r="I41" s="1265">
        <v>104.54</v>
      </c>
      <c r="J41" s="1264"/>
      <c r="K41" s="1265">
        <v>39.79</v>
      </c>
      <c r="L41" s="1264"/>
      <c r="M41" s="1265">
        <v>37.42</v>
      </c>
      <c r="N41" s="1264"/>
      <c r="O41" s="1265">
        <v>132.91999999999999</v>
      </c>
      <c r="P41" s="1264"/>
      <c r="Q41" s="1265">
        <v>85.45</v>
      </c>
      <c r="R41" s="1264"/>
      <c r="S41" s="1265">
        <v>93.58</v>
      </c>
      <c r="T41" s="1264"/>
      <c r="U41" s="1265">
        <v>91.67</v>
      </c>
      <c r="V41" s="1264"/>
      <c r="W41" s="1265">
        <v>303.52999999999997</v>
      </c>
      <c r="X41" s="1264"/>
      <c r="Y41" s="1265">
        <v>93.56</v>
      </c>
      <c r="Z41" s="1264"/>
      <c r="AA41" s="1265">
        <v>148.11000000000001</v>
      </c>
      <c r="AB41" s="1264"/>
      <c r="AC41" s="1265">
        <v>21</v>
      </c>
      <c r="AD41" s="1264"/>
      <c r="AE41" s="1265">
        <f>AC41+AA41+Y41+W41+U41+S41+Q41+O41+M41+K41+I41+G41</f>
        <v>1235.6399999999999</v>
      </c>
      <c r="AF41" s="1266">
        <f>IF(AE$45=0,0,AE41/AE$45)</f>
        <v>8.8324803908627729E-4</v>
      </c>
      <c r="AG41" s="1267"/>
    </row>
    <row r="42" spans="1:33" s="113" customFormat="1" ht="4.5" customHeight="1" outlineLevel="1">
      <c r="A42" s="1272"/>
      <c r="B42" s="1263"/>
      <c r="C42" s="1263"/>
      <c r="D42" s="1263"/>
      <c r="E42" s="1263"/>
      <c r="F42" s="1263"/>
      <c r="G42" s="1271"/>
      <c r="H42" s="1270"/>
      <c r="I42" s="1271"/>
      <c r="J42" s="1270"/>
      <c r="K42" s="1271"/>
      <c r="L42" s="1270"/>
      <c r="M42" s="1271"/>
      <c r="N42" s="1270"/>
      <c r="O42" s="1271"/>
      <c r="P42" s="1270"/>
      <c r="Q42" s="1271"/>
      <c r="R42" s="1270"/>
      <c r="S42" s="1271"/>
      <c r="T42" s="1270"/>
      <c r="U42" s="1271"/>
      <c r="V42" s="1270"/>
      <c r="W42" s="1271"/>
      <c r="X42" s="1270"/>
      <c r="Y42" s="1271"/>
      <c r="Z42" s="1270"/>
      <c r="AA42" s="1271"/>
      <c r="AB42" s="1270"/>
      <c r="AC42" s="1271"/>
      <c r="AD42" s="1270"/>
      <c r="AE42" s="1271"/>
      <c r="AF42" s="1264"/>
      <c r="AG42" s="1244"/>
    </row>
    <row r="43" spans="1:33" s="113" customFormat="1">
      <c r="A43" s="1263"/>
      <c r="B43" s="1263"/>
      <c r="C43" s="1263" t="s">
        <v>223</v>
      </c>
      <c r="D43" s="1263"/>
      <c r="E43" s="1263"/>
      <c r="F43" s="1263"/>
      <c r="G43" s="1269">
        <f>SUM(G39:G42)</f>
        <v>569.69000000000005</v>
      </c>
      <c r="H43" s="1270"/>
      <c r="I43" s="1269">
        <f>SUM(I39:I42)</f>
        <v>644.38</v>
      </c>
      <c r="J43" s="1270"/>
      <c r="K43" s="1269">
        <f>SUM(K39:K42)</f>
        <v>448.42</v>
      </c>
      <c r="L43" s="1270"/>
      <c r="M43" s="1269">
        <f>SUM(M39:M42)</f>
        <v>560.31999999999994</v>
      </c>
      <c r="N43" s="1270"/>
      <c r="O43" s="1269">
        <f>SUM(O39:O42)</f>
        <v>838.3</v>
      </c>
      <c r="P43" s="1270"/>
      <c r="Q43" s="1269">
        <f>SUM(Q39:Q42)</f>
        <v>679.28000000000009</v>
      </c>
      <c r="R43" s="1270"/>
      <c r="S43" s="1269">
        <f>SUM(S39:S42)</f>
        <v>668.53000000000009</v>
      </c>
      <c r="T43" s="1270"/>
      <c r="U43" s="1269">
        <f>SUM(U39:U42)</f>
        <v>375.2</v>
      </c>
      <c r="V43" s="1270"/>
      <c r="W43" s="1269">
        <f>SUM(W39:W42)</f>
        <v>839.79</v>
      </c>
      <c r="X43" s="1270"/>
      <c r="Y43" s="1269">
        <f>SUM(Y39:Y42)</f>
        <v>465.22</v>
      </c>
      <c r="Z43" s="1270"/>
      <c r="AA43" s="1269">
        <f>SUM(AA39:AA42)</f>
        <v>522.98</v>
      </c>
      <c r="AB43" s="1270"/>
      <c r="AC43" s="1269">
        <f>SUM(AC39:AC42)</f>
        <v>486</v>
      </c>
      <c r="AD43" s="1270"/>
      <c r="AE43" s="1269">
        <f>SUM(AE39:AE42)</f>
        <v>7098.1100000000006</v>
      </c>
      <c r="AF43" s="1266">
        <f>IF(AE$45=0,0,AE43/AE$45)</f>
        <v>5.0738012193832322E-3</v>
      </c>
      <c r="AG43" s="1244"/>
    </row>
    <row r="44" spans="1:33" s="113" customFormat="1" ht="7.5" customHeight="1">
      <c r="A44" s="1263"/>
      <c r="B44" s="1263"/>
      <c r="C44" s="1263"/>
      <c r="D44" s="1263"/>
      <c r="E44" s="1263"/>
      <c r="F44" s="1263"/>
      <c r="G44" s="1270"/>
      <c r="H44" s="1270"/>
      <c r="I44" s="1270"/>
      <c r="J44" s="1270"/>
      <c r="K44" s="1270"/>
      <c r="L44" s="1270"/>
      <c r="M44" s="1270"/>
      <c r="N44" s="1270"/>
      <c r="O44" s="1270"/>
      <c r="P44" s="1270"/>
      <c r="Q44" s="1270"/>
      <c r="R44" s="1270"/>
      <c r="S44" s="1270"/>
      <c r="T44" s="1270"/>
      <c r="U44" s="1270"/>
      <c r="V44" s="1270"/>
      <c r="W44" s="1270"/>
      <c r="X44" s="1270"/>
      <c r="Y44" s="1270"/>
      <c r="Z44" s="1270"/>
      <c r="AA44" s="1270"/>
      <c r="AB44" s="1270"/>
      <c r="AC44" s="1270"/>
      <c r="AD44" s="1270"/>
      <c r="AE44" s="1270"/>
      <c r="AF44" s="1264"/>
      <c r="AG44" s="1244"/>
    </row>
    <row r="45" spans="1:33" s="113" customFormat="1" ht="15">
      <c r="A45" s="1263"/>
      <c r="B45" s="1273" t="s">
        <v>84</v>
      </c>
      <c r="C45" s="1263"/>
      <c r="D45" s="1263"/>
      <c r="E45" s="1263"/>
      <c r="F45" s="1263"/>
      <c r="G45" s="1274">
        <f>+G23+G28+G33+G43+G19+G37</f>
        <v>103945.27</v>
      </c>
      <c r="H45" s="1270"/>
      <c r="I45" s="1274">
        <f>+I23+I28+I33+I43+I19+I37</f>
        <v>113320.27</v>
      </c>
      <c r="J45" s="1270"/>
      <c r="K45" s="1274">
        <f>+K23+K28+K33+K43+K19+K37</f>
        <v>103627.69999999998</v>
      </c>
      <c r="L45" s="1270"/>
      <c r="M45" s="1274">
        <f>+M23+M28+M33+M43+M19+M37</f>
        <v>117474.76000000001</v>
      </c>
      <c r="N45" s="1270"/>
      <c r="O45" s="1274">
        <f>+O23+O28+O33+O43+O19+O37</f>
        <v>128801.20999999999</v>
      </c>
      <c r="P45" s="1270"/>
      <c r="Q45" s="1274">
        <f>+Q23+Q28+Q33+Q43+Q19+Q37</f>
        <v>112809.12000000001</v>
      </c>
      <c r="R45" s="1270"/>
      <c r="S45" s="1274">
        <f>+S23+S28+S33+S43+S19+S37</f>
        <v>108496.62</v>
      </c>
      <c r="T45" s="1270"/>
      <c r="U45" s="1274">
        <f>+U23+U28+U33+U43+U19+U37</f>
        <v>109241.87</v>
      </c>
      <c r="V45" s="1270"/>
      <c r="W45" s="1274">
        <f>+W23+W28+W33+W43+W19+W37</f>
        <v>116642.52</v>
      </c>
      <c r="X45" s="1270"/>
      <c r="Y45" s="1274">
        <f>+Y23+Y28+Y33+Y43+Y19+Y37</f>
        <v>104104.03</v>
      </c>
      <c r="Z45" s="1270"/>
      <c r="AA45" s="1274">
        <f>+AA23+AA28+AA33+AA43+AA19+AA37</f>
        <v>105356.13</v>
      </c>
      <c r="AB45" s="1270"/>
      <c r="AC45" s="1274">
        <f>+AC23+AC28+AC33+AC43+AC19+AC37</f>
        <v>175153.31999999998</v>
      </c>
      <c r="AD45" s="1270"/>
      <c r="AE45" s="1274">
        <f>+AE23+AE28+AE33+AE43+AE19+AE37</f>
        <v>1398972.8200000003</v>
      </c>
      <c r="AF45" s="1266">
        <f>IF(AE$45=0,0,AE45/AE$45)</f>
        <v>1</v>
      </c>
      <c r="AG45" s="1244"/>
    </row>
    <row r="46" spans="1:33" s="113" customFormat="1" ht="7.5" hidden="1" customHeight="1">
      <c r="A46" s="1263"/>
      <c r="B46" s="1263"/>
      <c r="C46" s="1263"/>
      <c r="D46" s="1263"/>
      <c r="E46" s="1263"/>
      <c r="F46" s="1263"/>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64"/>
      <c r="AG46" s="1244"/>
    </row>
    <row r="47" spans="1:33" s="113" customFormat="1" ht="9" customHeight="1" outlineLevel="1">
      <c r="A47" s="1263"/>
      <c r="B47" s="1263"/>
      <c r="C47" s="1263"/>
      <c r="D47" s="1263"/>
      <c r="E47" s="1263"/>
      <c r="F47" s="1263"/>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64"/>
      <c r="AG47" s="1244"/>
    </row>
    <row r="48" spans="1:33" ht="15.75" customHeight="1" outlineLevel="1">
      <c r="A48" s="1260">
        <v>40101</v>
      </c>
      <c r="B48" s="1260" t="s">
        <v>75</v>
      </c>
      <c r="C48" s="1261"/>
      <c r="D48" s="1262"/>
      <c r="E48" s="1263"/>
      <c r="F48" s="1264"/>
      <c r="G48" s="1265">
        <v>22497.18</v>
      </c>
      <c r="H48" s="1264"/>
      <c r="I48" s="1265">
        <v>29887.15</v>
      </c>
      <c r="J48" s="1264"/>
      <c r="K48" s="1265">
        <v>40787.65</v>
      </c>
      <c r="L48" s="1264"/>
      <c r="M48" s="1265">
        <v>28919.94</v>
      </c>
      <c r="N48" s="1264"/>
      <c r="O48" s="1265">
        <v>40325.410000000003</v>
      </c>
      <c r="P48" s="1264"/>
      <c r="Q48" s="1265">
        <v>35314.79</v>
      </c>
      <c r="R48" s="1264"/>
      <c r="S48" s="1265">
        <v>28328.3</v>
      </c>
      <c r="T48" s="1264"/>
      <c r="U48" s="1265">
        <v>30406.87</v>
      </c>
      <c r="V48" s="1264"/>
      <c r="W48" s="1265">
        <v>31034.82</v>
      </c>
      <c r="X48" s="1264"/>
      <c r="Y48" s="1265">
        <v>27022.46</v>
      </c>
      <c r="Z48" s="1264"/>
      <c r="AA48" s="1265">
        <v>20996.46</v>
      </c>
      <c r="AB48" s="1264"/>
      <c r="AC48" s="1265">
        <v>28547.96</v>
      </c>
      <c r="AD48" s="1264"/>
      <c r="AE48" s="1265">
        <f>AC48+AA48+Y48+W48+U48+S48+Q48+O48+M48+K48+I48+G48</f>
        <v>364068.99000000005</v>
      </c>
      <c r="AF48" s="1266">
        <f>IF(AE$45=0,0,AE48/AE$45)</f>
        <v>0.26024021681850829</v>
      </c>
      <c r="AG48" s="1267"/>
    </row>
    <row r="49" spans="1:33" ht="15.75" customHeight="1" outlineLevel="1">
      <c r="A49" s="1260">
        <v>40139</v>
      </c>
      <c r="B49" s="1260" t="s">
        <v>226</v>
      </c>
      <c r="C49" s="1261"/>
      <c r="D49" s="1262"/>
      <c r="E49" s="1263"/>
      <c r="F49" s="1264"/>
      <c r="G49" s="1265">
        <v>0</v>
      </c>
      <c r="H49" s="1264"/>
      <c r="I49" s="1265">
        <v>0</v>
      </c>
      <c r="J49" s="1264"/>
      <c r="K49" s="1265">
        <v>0</v>
      </c>
      <c r="L49" s="1264"/>
      <c r="M49" s="1265">
        <v>0</v>
      </c>
      <c r="N49" s="1264"/>
      <c r="O49" s="1265">
        <v>0</v>
      </c>
      <c r="P49" s="1264"/>
      <c r="Q49" s="1265">
        <v>0</v>
      </c>
      <c r="R49" s="1264"/>
      <c r="S49" s="1265">
        <v>0</v>
      </c>
      <c r="T49" s="1264"/>
      <c r="U49" s="1265">
        <v>687.35</v>
      </c>
      <c r="V49" s="1264"/>
      <c r="W49" s="1265">
        <v>0</v>
      </c>
      <c r="X49" s="1264"/>
      <c r="Y49" s="1265">
        <v>0</v>
      </c>
      <c r="Z49" s="1264"/>
      <c r="AA49" s="1265">
        <v>0</v>
      </c>
      <c r="AB49" s="1264"/>
      <c r="AC49" s="1265">
        <v>0</v>
      </c>
      <c r="AD49" s="1264"/>
      <c r="AE49" s="1265">
        <f>AC49+AA49+Y49+W49+U49+S49+Q49+O49+M49+K49+I49+G49</f>
        <v>687.35</v>
      </c>
      <c r="AF49" s="1266">
        <f>IF(AE$45=0,0,AE49/AE$45)</f>
        <v>4.913247706985471E-4</v>
      </c>
      <c r="AG49" s="1267"/>
    </row>
    <row r="50" spans="1:33" s="113" customFormat="1" ht="5.0999999999999996" customHeight="1" outlineLevel="1">
      <c r="A50" s="1261"/>
      <c r="B50" s="1261"/>
      <c r="C50" s="1261"/>
      <c r="D50" s="1261"/>
      <c r="E50" s="1263"/>
      <c r="F50" s="1263"/>
      <c r="G50" s="1271"/>
      <c r="H50" s="1270"/>
      <c r="I50" s="1271"/>
      <c r="J50" s="1270"/>
      <c r="K50" s="1271"/>
      <c r="L50" s="1270"/>
      <c r="M50" s="1271"/>
      <c r="N50" s="1270"/>
      <c r="O50" s="1271"/>
      <c r="P50" s="1270"/>
      <c r="Q50" s="1271"/>
      <c r="R50" s="1270"/>
      <c r="S50" s="1271"/>
      <c r="T50" s="1270"/>
      <c r="U50" s="1271"/>
      <c r="V50" s="1270"/>
      <c r="W50" s="1271"/>
      <c r="X50" s="1270"/>
      <c r="Y50" s="1271"/>
      <c r="Z50" s="1270"/>
      <c r="AA50" s="1271"/>
      <c r="AB50" s="1270"/>
      <c r="AC50" s="1271"/>
      <c r="AD50" s="1270"/>
      <c r="AE50" s="1271"/>
      <c r="AF50" s="1264"/>
      <c r="AG50" s="1244"/>
    </row>
    <row r="51" spans="1:33" s="113" customFormat="1">
      <c r="A51" s="1263"/>
      <c r="B51" s="1263"/>
      <c r="C51" s="1261" t="s">
        <v>227</v>
      </c>
      <c r="D51" s="1263"/>
      <c r="E51" s="1263"/>
      <c r="F51" s="1263"/>
      <c r="G51" s="1269">
        <f>SUM(G47:G50)</f>
        <v>22497.18</v>
      </c>
      <c r="H51" s="1270"/>
      <c r="I51" s="1269">
        <f>SUM(I47:I50)</f>
        <v>29887.15</v>
      </c>
      <c r="J51" s="1270"/>
      <c r="K51" s="1269">
        <f>SUM(K47:K50)</f>
        <v>40787.65</v>
      </c>
      <c r="L51" s="1270"/>
      <c r="M51" s="1269">
        <f>SUM(M47:M50)</f>
        <v>28919.94</v>
      </c>
      <c r="N51" s="1270"/>
      <c r="O51" s="1269">
        <f>SUM(O47:O50)</f>
        <v>40325.410000000003</v>
      </c>
      <c r="P51" s="1270"/>
      <c r="Q51" s="1269">
        <f>SUM(Q47:Q50)</f>
        <v>35314.79</v>
      </c>
      <c r="R51" s="1270"/>
      <c r="S51" s="1269">
        <f>SUM(S47:S50)</f>
        <v>28328.3</v>
      </c>
      <c r="T51" s="1270"/>
      <c r="U51" s="1269">
        <f>SUM(U47:U50)</f>
        <v>31094.219999999998</v>
      </c>
      <c r="V51" s="1270"/>
      <c r="W51" s="1269">
        <f>SUM(W47:W50)</f>
        <v>31034.82</v>
      </c>
      <c r="X51" s="1270"/>
      <c r="Y51" s="1269">
        <f>SUM(Y47:Y50)</f>
        <v>27022.46</v>
      </c>
      <c r="Z51" s="1270"/>
      <c r="AA51" s="1269">
        <f>SUM(AA47:AA50)</f>
        <v>20996.46</v>
      </c>
      <c r="AB51" s="1270"/>
      <c r="AC51" s="1269">
        <f>SUM(AC47:AC50)</f>
        <v>28547.96</v>
      </c>
      <c r="AD51" s="1270"/>
      <c r="AE51" s="1269">
        <f>SUM(AE47:AE50)</f>
        <v>364756.34</v>
      </c>
      <c r="AF51" s="1266">
        <f>IF(AE$45=0,0,AE51/AE$45)</f>
        <v>0.26073154158920681</v>
      </c>
      <c r="AG51" s="1244"/>
    </row>
    <row r="52" spans="1:33" s="113" customFormat="1" hidden="1" outlineLevel="1">
      <c r="A52" s="1263"/>
      <c r="B52" s="1263"/>
      <c r="C52" s="1263"/>
      <c r="D52" s="1263"/>
      <c r="E52" s="1263"/>
      <c r="F52" s="1263"/>
      <c r="G52" s="1270"/>
      <c r="H52" s="1270"/>
      <c r="I52" s="1270"/>
      <c r="J52" s="1270"/>
      <c r="K52" s="1270"/>
      <c r="L52" s="1270"/>
      <c r="M52" s="1270"/>
      <c r="N52" s="1270"/>
      <c r="O52" s="1270"/>
      <c r="P52" s="1270"/>
      <c r="Q52" s="1270"/>
      <c r="R52" s="1270"/>
      <c r="S52" s="1270"/>
      <c r="T52" s="1270"/>
      <c r="U52" s="1270"/>
      <c r="V52" s="1270"/>
      <c r="W52" s="1270"/>
      <c r="X52" s="1270"/>
      <c r="Y52" s="1270"/>
      <c r="Z52" s="1270"/>
      <c r="AA52" s="1270"/>
      <c r="AB52" s="1270"/>
      <c r="AC52" s="1270"/>
      <c r="AD52" s="1270"/>
      <c r="AE52" s="1270"/>
      <c r="AF52" s="1264"/>
      <c r="AG52" s="1244"/>
    </row>
    <row r="53" spans="1:33" hidden="1" outlineLevel="1">
      <c r="A53" s="1260"/>
      <c r="B53" s="1260"/>
      <c r="C53" s="1261"/>
      <c r="D53" s="1262"/>
      <c r="E53" s="1263"/>
      <c r="F53" s="1264"/>
      <c r="G53" s="1265"/>
      <c r="H53" s="1264"/>
      <c r="I53" s="1265"/>
      <c r="J53" s="1264"/>
      <c r="K53" s="1265"/>
      <c r="L53" s="1264"/>
      <c r="M53" s="1265"/>
      <c r="N53" s="1264"/>
      <c r="O53" s="1265"/>
      <c r="P53" s="1264"/>
      <c r="Q53" s="1265"/>
      <c r="R53" s="1264"/>
      <c r="S53" s="1265"/>
      <c r="T53" s="1264"/>
      <c r="U53" s="1265"/>
      <c r="V53" s="1264"/>
      <c r="W53" s="1265"/>
      <c r="X53" s="1264"/>
      <c r="Y53" s="1265"/>
      <c r="Z53" s="1264"/>
      <c r="AA53" s="1265"/>
      <c r="AB53" s="1264"/>
      <c r="AC53" s="1265"/>
      <c r="AD53" s="1264"/>
      <c r="AE53" s="1265">
        <f>AC53+AA53+Y53+W53+U53+S53+Q53+O53+M53+K53+I53+G53</f>
        <v>0</v>
      </c>
      <c r="AF53" s="1266">
        <f>IF(AE$45=0,0,AE53/AE$45)</f>
        <v>0</v>
      </c>
      <c r="AG53" s="1267"/>
    </row>
    <row r="54" spans="1:33" s="113" customFormat="1" ht="4.5" hidden="1" customHeight="1" outlineLevel="1">
      <c r="A54" s="1272"/>
      <c r="B54" s="1263"/>
      <c r="C54" s="1263"/>
      <c r="D54" s="1263"/>
      <c r="E54" s="1263"/>
      <c r="F54" s="1263"/>
      <c r="G54" s="1271"/>
      <c r="H54" s="1270"/>
      <c r="I54" s="1271"/>
      <c r="J54" s="1270"/>
      <c r="K54" s="1271"/>
      <c r="L54" s="1270"/>
      <c r="M54" s="1271"/>
      <c r="N54" s="1270"/>
      <c r="O54" s="1271"/>
      <c r="P54" s="1270"/>
      <c r="Q54" s="1271"/>
      <c r="R54" s="1270"/>
      <c r="S54" s="1271"/>
      <c r="T54" s="1270"/>
      <c r="U54" s="1271"/>
      <c r="V54" s="1270"/>
      <c r="W54" s="1271"/>
      <c r="X54" s="1270"/>
      <c r="Y54" s="1271"/>
      <c r="Z54" s="1270"/>
      <c r="AA54" s="1271"/>
      <c r="AB54" s="1270"/>
      <c r="AC54" s="1271"/>
      <c r="AD54" s="1270"/>
      <c r="AE54" s="1271"/>
      <c r="AF54" s="1264"/>
      <c r="AG54" s="1244"/>
    </row>
    <row r="55" spans="1:33" s="113" customFormat="1" ht="13.5" hidden="1" customHeight="1" collapsed="1">
      <c r="A55" s="1263"/>
      <c r="B55" s="1263"/>
      <c r="C55" s="1263" t="s">
        <v>229</v>
      </c>
      <c r="D55" s="1263"/>
      <c r="E55" s="1263"/>
      <c r="F55" s="1263"/>
      <c r="G55" s="1269">
        <f>SUM(G53:G54)</f>
        <v>0</v>
      </c>
      <c r="H55" s="1270"/>
      <c r="I55" s="1269">
        <f>SUM(I53:I54)</f>
        <v>0</v>
      </c>
      <c r="J55" s="1270"/>
      <c r="K55" s="1269">
        <f>SUM(K53:K54)</f>
        <v>0</v>
      </c>
      <c r="L55" s="1270"/>
      <c r="M55" s="1269">
        <f>SUM(M53:M54)</f>
        <v>0</v>
      </c>
      <c r="N55" s="1270"/>
      <c r="O55" s="1269">
        <f>SUM(O53:O54)</f>
        <v>0</v>
      </c>
      <c r="P55" s="1270"/>
      <c r="Q55" s="1269">
        <f>SUM(Q53:Q54)</f>
        <v>0</v>
      </c>
      <c r="R55" s="1270"/>
      <c r="S55" s="1269">
        <f>SUM(S53:S54)</f>
        <v>0</v>
      </c>
      <c r="T55" s="1270"/>
      <c r="U55" s="1269">
        <f>SUM(U53:U54)</f>
        <v>0</v>
      </c>
      <c r="V55" s="1270"/>
      <c r="W55" s="1269">
        <f>SUM(W53:W54)</f>
        <v>0</v>
      </c>
      <c r="X55" s="1270"/>
      <c r="Y55" s="1269">
        <f>SUM(Y53:Y54)</f>
        <v>0</v>
      </c>
      <c r="Z55" s="1270"/>
      <c r="AA55" s="1269">
        <f>SUM(AA53:AA54)</f>
        <v>0</v>
      </c>
      <c r="AB55" s="1270"/>
      <c r="AC55" s="1269">
        <f>SUM(AC53:AC54)</f>
        <v>0</v>
      </c>
      <c r="AD55" s="1270"/>
      <c r="AE55" s="1269">
        <f>SUM(AE53:AE54)</f>
        <v>0</v>
      </c>
      <c r="AF55" s="1266">
        <f>IF(AE$45=0,0,AE55/AE$45)</f>
        <v>0</v>
      </c>
      <c r="AG55" s="1244"/>
    </row>
    <row r="56" spans="1:33" s="113" customFormat="1" hidden="1" outlineLevel="1">
      <c r="A56" s="1263"/>
      <c r="B56" s="1263"/>
      <c r="C56" s="1263"/>
      <c r="D56" s="1263"/>
      <c r="E56" s="1263"/>
      <c r="F56" s="1263"/>
      <c r="G56" s="1270"/>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64"/>
      <c r="AG56" s="1244"/>
    </row>
    <row r="57" spans="1:33" s="113" customFormat="1" ht="8.25" customHeight="1" outlineLevel="1">
      <c r="A57" s="1263"/>
      <c r="B57" s="1263"/>
      <c r="C57" s="1263"/>
      <c r="D57" s="1263"/>
      <c r="E57" s="1263"/>
      <c r="F57" s="1263"/>
      <c r="G57" s="1270"/>
      <c r="H57" s="1270"/>
      <c r="I57" s="1270"/>
      <c r="J57" s="1270"/>
      <c r="K57" s="1270"/>
      <c r="L57" s="1270"/>
      <c r="M57" s="1270"/>
      <c r="N57" s="1270"/>
      <c r="O57" s="1270"/>
      <c r="P57" s="1270"/>
      <c r="Q57" s="1270"/>
      <c r="R57" s="1270"/>
      <c r="S57" s="1270"/>
      <c r="T57" s="1270"/>
      <c r="U57" s="1270"/>
      <c r="V57" s="1270"/>
      <c r="W57" s="1270"/>
      <c r="X57" s="1270"/>
      <c r="Y57" s="1270"/>
      <c r="Z57" s="1270"/>
      <c r="AA57" s="1270"/>
      <c r="AB57" s="1270"/>
      <c r="AC57" s="1270"/>
      <c r="AD57" s="1270"/>
      <c r="AE57" s="1270"/>
      <c r="AF57" s="1264"/>
      <c r="AG57" s="1244"/>
    </row>
    <row r="58" spans="1:33" ht="15.75" customHeight="1" outlineLevel="1">
      <c r="A58" s="1260">
        <v>41121</v>
      </c>
      <c r="B58" s="1260" t="s">
        <v>231</v>
      </c>
      <c r="C58" s="1261"/>
      <c r="D58" s="1262"/>
      <c r="E58" s="1263"/>
      <c r="F58" s="1264"/>
      <c r="G58" s="1265">
        <v>0</v>
      </c>
      <c r="H58" s="1264"/>
      <c r="I58" s="1265">
        <v>0</v>
      </c>
      <c r="J58" s="1264"/>
      <c r="K58" s="1265">
        <v>0</v>
      </c>
      <c r="L58" s="1264"/>
      <c r="M58" s="1265">
        <v>0</v>
      </c>
      <c r="N58" s="1264"/>
      <c r="O58" s="1265">
        <v>0</v>
      </c>
      <c r="P58" s="1264"/>
      <c r="Q58" s="1265">
        <v>0</v>
      </c>
      <c r="R58" s="1264"/>
      <c r="S58" s="1265">
        <v>0</v>
      </c>
      <c r="T58" s="1264"/>
      <c r="U58" s="1265">
        <v>0</v>
      </c>
      <c r="V58" s="1264"/>
      <c r="W58" s="1265">
        <v>0</v>
      </c>
      <c r="X58" s="1264"/>
      <c r="Y58" s="1265">
        <v>0</v>
      </c>
      <c r="Z58" s="1264"/>
      <c r="AA58" s="1265">
        <v>323.52</v>
      </c>
      <c r="AB58" s="1264"/>
      <c r="AC58" s="1265">
        <v>0</v>
      </c>
      <c r="AD58" s="1264"/>
      <c r="AE58" s="1265">
        <f>AC58+AA58+Y58+W58+U58+S58+Q58+O58+M58+K58+I58+G58</f>
        <v>323.52</v>
      </c>
      <c r="AF58" s="1266">
        <f>IF(AE$45=0,0,AE58/AE$45)</f>
        <v>2.3125538636268854E-4</v>
      </c>
      <c r="AG58" s="1267"/>
    </row>
    <row r="59" spans="1:33" ht="15.75" customHeight="1" outlineLevel="1">
      <c r="A59" s="1260">
        <v>43001</v>
      </c>
      <c r="B59" s="1260" t="s">
        <v>232</v>
      </c>
      <c r="C59" s="1261"/>
      <c r="D59" s="1262"/>
      <c r="E59" s="1263"/>
      <c r="F59" s="1264"/>
      <c r="G59" s="1265">
        <v>1550.63</v>
      </c>
      <c r="H59" s="1264"/>
      <c r="I59" s="1265">
        <v>0</v>
      </c>
      <c r="J59" s="1264"/>
      <c r="K59" s="1265">
        <v>3100</v>
      </c>
      <c r="L59" s="1264"/>
      <c r="M59" s="1265">
        <v>3100</v>
      </c>
      <c r="N59" s="1264"/>
      <c r="O59" s="1265">
        <v>3100</v>
      </c>
      <c r="P59" s="1264"/>
      <c r="Q59" s="1265">
        <v>2700</v>
      </c>
      <c r="R59" s="1264"/>
      <c r="S59" s="1265">
        <v>114.4</v>
      </c>
      <c r="T59" s="1264"/>
      <c r="U59" s="1265">
        <v>1582.76</v>
      </c>
      <c r="V59" s="1264"/>
      <c r="W59" s="1265">
        <v>1697.96</v>
      </c>
      <c r="X59" s="1264"/>
      <c r="Y59" s="1265">
        <v>1636.72</v>
      </c>
      <c r="Z59" s="1264"/>
      <c r="AA59" s="1265">
        <v>1644.07</v>
      </c>
      <c r="AB59" s="1264"/>
      <c r="AC59" s="1265">
        <v>2578.9</v>
      </c>
      <c r="AD59" s="1264"/>
      <c r="AE59" s="1265">
        <f>AC59+AA59+Y59+W59+U59+S59+Q59+O59+M59+K59+I59+G59</f>
        <v>22805.439999999999</v>
      </c>
      <c r="AF59" s="1266">
        <f>IF(AE$45=0,0,AE59/AE$45)</f>
        <v>1.6301560454905759E-2</v>
      </c>
      <c r="AG59" s="1267"/>
    </row>
    <row r="60" spans="1:33" ht="15.75" customHeight="1" outlineLevel="1">
      <c r="A60" s="1260">
        <v>43002</v>
      </c>
      <c r="B60" s="1260" t="s">
        <v>233</v>
      </c>
      <c r="C60" s="1261"/>
      <c r="D60" s="1262"/>
      <c r="E60" s="1263"/>
      <c r="F60" s="1264"/>
      <c r="G60" s="1265">
        <v>444.37</v>
      </c>
      <c r="H60" s="1264"/>
      <c r="I60" s="1265">
        <v>0</v>
      </c>
      <c r="J60" s="1264"/>
      <c r="K60" s="1265">
        <v>900</v>
      </c>
      <c r="L60" s="1264"/>
      <c r="M60" s="1265">
        <v>900</v>
      </c>
      <c r="N60" s="1264"/>
      <c r="O60" s="1265">
        <v>900</v>
      </c>
      <c r="P60" s="1264"/>
      <c r="Q60" s="1265">
        <v>530</v>
      </c>
      <c r="R60" s="1264"/>
      <c r="S60" s="1265">
        <v>530</v>
      </c>
      <c r="T60" s="1264"/>
      <c r="U60" s="1265">
        <v>530</v>
      </c>
      <c r="V60" s="1264"/>
      <c r="W60" s="1265">
        <v>530</v>
      </c>
      <c r="X60" s="1264"/>
      <c r="Y60" s="1265">
        <v>530</v>
      </c>
      <c r="Z60" s="1264"/>
      <c r="AA60" s="1265">
        <v>530</v>
      </c>
      <c r="AB60" s="1264"/>
      <c r="AC60" s="1265">
        <v>890.8</v>
      </c>
      <c r="AD60" s="1264"/>
      <c r="AE60" s="1265">
        <f>AC60+AA60+Y60+W60+U60+S60+Q60+O60+M60+K60+I60+G60</f>
        <v>7215.17</v>
      </c>
      <c r="AF60" s="1266">
        <f>IF(AE$45=0,0,AE60/AE$45)</f>
        <v>5.1574768979428766E-3</v>
      </c>
      <c r="AG60" s="1267"/>
    </row>
    <row r="61" spans="1:33" s="113" customFormat="1" ht="5.0999999999999996" customHeight="1" outlineLevel="1">
      <c r="A61" s="1261"/>
      <c r="B61" s="1261"/>
      <c r="C61" s="1261"/>
      <c r="D61" s="1261"/>
      <c r="E61" s="1263"/>
      <c r="F61" s="1263"/>
      <c r="G61" s="1271"/>
      <c r="H61" s="1270"/>
      <c r="I61" s="1271"/>
      <c r="J61" s="1270"/>
      <c r="K61" s="1271"/>
      <c r="L61" s="1270"/>
      <c r="M61" s="1271"/>
      <c r="N61" s="1270"/>
      <c r="O61" s="1271"/>
      <c r="P61" s="1270"/>
      <c r="Q61" s="1271"/>
      <c r="R61" s="1270"/>
      <c r="S61" s="1271"/>
      <c r="T61" s="1270"/>
      <c r="U61" s="1271"/>
      <c r="V61" s="1270"/>
      <c r="W61" s="1271"/>
      <c r="X61" s="1270"/>
      <c r="Y61" s="1271"/>
      <c r="Z61" s="1270"/>
      <c r="AA61" s="1271"/>
      <c r="AB61" s="1270"/>
      <c r="AC61" s="1271"/>
      <c r="AD61" s="1270"/>
      <c r="AE61" s="1271"/>
      <c r="AF61" s="1264"/>
      <c r="AG61" s="1244"/>
    </row>
    <row r="62" spans="1:33" s="113" customFormat="1" ht="15">
      <c r="A62" s="1263"/>
      <c r="B62" s="1263"/>
      <c r="C62" s="1261" t="s">
        <v>234</v>
      </c>
      <c r="D62" s="1275"/>
      <c r="E62" s="1275"/>
      <c r="F62" s="1275"/>
      <c r="G62" s="1269">
        <f>SUM(G57:G61)</f>
        <v>1995</v>
      </c>
      <c r="H62" s="1270"/>
      <c r="I62" s="1269">
        <f>SUM(I57:I61)</f>
        <v>0</v>
      </c>
      <c r="J62" s="1270"/>
      <c r="K62" s="1269">
        <f>SUM(K57:K61)</f>
        <v>4000</v>
      </c>
      <c r="L62" s="1270"/>
      <c r="M62" s="1269">
        <f>SUM(M57:M61)</f>
        <v>4000</v>
      </c>
      <c r="N62" s="1270"/>
      <c r="O62" s="1269">
        <f>SUM(O57:O61)</f>
        <v>4000</v>
      </c>
      <c r="P62" s="1270"/>
      <c r="Q62" s="1269">
        <f>SUM(Q57:Q61)</f>
        <v>3230</v>
      </c>
      <c r="R62" s="1270"/>
      <c r="S62" s="1269">
        <f>SUM(S57:S61)</f>
        <v>644.4</v>
      </c>
      <c r="T62" s="1270"/>
      <c r="U62" s="1269">
        <f>SUM(U57:U61)</f>
        <v>2112.7600000000002</v>
      </c>
      <c r="V62" s="1270"/>
      <c r="W62" s="1269">
        <f>SUM(W57:W61)</f>
        <v>2227.96</v>
      </c>
      <c r="X62" s="1270"/>
      <c r="Y62" s="1269">
        <f>SUM(Y57:Y61)</f>
        <v>2166.7200000000003</v>
      </c>
      <c r="Z62" s="1270"/>
      <c r="AA62" s="1269">
        <f>SUM(AA57:AA61)</f>
        <v>2497.59</v>
      </c>
      <c r="AB62" s="1270"/>
      <c r="AC62" s="1269">
        <f>SUM(AC57:AC61)</f>
        <v>3469.7</v>
      </c>
      <c r="AD62" s="1270"/>
      <c r="AE62" s="1269">
        <f>SUM(AE57:AE61)</f>
        <v>30344.129999999997</v>
      </c>
      <c r="AF62" s="1266">
        <f>IF(AE$45=0,0,AE62/AE$45)</f>
        <v>2.1690292739211324E-2</v>
      </c>
      <c r="AG62" s="1244"/>
    </row>
    <row r="63" spans="1:33" s="113" customFormat="1" hidden="1" outlineLevel="1">
      <c r="A63" s="1263"/>
      <c r="B63" s="1263"/>
      <c r="C63" s="1263"/>
      <c r="D63" s="1263"/>
      <c r="E63" s="1263"/>
      <c r="F63" s="1263"/>
      <c r="G63" s="1270"/>
      <c r="H63" s="1270"/>
      <c r="I63" s="1270"/>
      <c r="J63" s="1270"/>
      <c r="K63" s="1270"/>
      <c r="L63" s="1270"/>
      <c r="M63" s="1270"/>
      <c r="N63" s="1270"/>
      <c r="O63" s="1270"/>
      <c r="P63" s="1270"/>
      <c r="Q63" s="1270"/>
      <c r="R63" s="1270"/>
      <c r="S63" s="1270"/>
      <c r="T63" s="1270"/>
      <c r="U63" s="1270"/>
      <c r="V63" s="1270"/>
      <c r="W63" s="1270"/>
      <c r="X63" s="1270"/>
      <c r="Y63" s="1270"/>
      <c r="Z63" s="1270"/>
      <c r="AA63" s="1270"/>
      <c r="AB63" s="1270"/>
      <c r="AC63" s="1270"/>
      <c r="AD63" s="1270"/>
      <c r="AE63" s="1270"/>
      <c r="AF63" s="1264"/>
      <c r="AG63" s="1244"/>
    </row>
    <row r="64" spans="1:33" s="113" customFormat="1" hidden="1" outlineLevel="1">
      <c r="A64" s="1263"/>
      <c r="B64" s="1263"/>
      <c r="C64" s="1263"/>
      <c r="D64" s="1263"/>
      <c r="E64" s="1263"/>
      <c r="F64" s="1263"/>
      <c r="G64" s="1270"/>
      <c r="H64" s="1270"/>
      <c r="I64" s="1270"/>
      <c r="J64" s="1270"/>
      <c r="K64" s="1270"/>
      <c r="L64" s="1270"/>
      <c r="M64" s="1270"/>
      <c r="N64" s="1270"/>
      <c r="O64" s="1270"/>
      <c r="P64" s="1270"/>
      <c r="Q64" s="1270"/>
      <c r="R64" s="1270"/>
      <c r="S64" s="1270"/>
      <c r="T64" s="1270"/>
      <c r="U64" s="1270"/>
      <c r="V64" s="1270"/>
      <c r="W64" s="1270"/>
      <c r="X64" s="1270"/>
      <c r="Y64" s="1270"/>
      <c r="Z64" s="1270"/>
      <c r="AA64" s="1270"/>
      <c r="AB64" s="1270"/>
      <c r="AC64" s="1270"/>
      <c r="AD64" s="1270"/>
      <c r="AE64" s="1270"/>
      <c r="AF64" s="1264"/>
      <c r="AG64" s="1244"/>
    </row>
    <row r="65" spans="1:33" hidden="1" outlineLevel="1">
      <c r="A65" s="1260"/>
      <c r="B65" s="1260"/>
      <c r="C65" s="1261"/>
      <c r="D65" s="1262"/>
      <c r="E65" s="1263"/>
      <c r="F65" s="1264"/>
      <c r="G65" s="1265"/>
      <c r="H65" s="1264"/>
      <c r="I65" s="1265"/>
      <c r="J65" s="1264"/>
      <c r="K65" s="1265"/>
      <c r="L65" s="1264"/>
      <c r="M65" s="1265"/>
      <c r="N65" s="1264"/>
      <c r="O65" s="1265"/>
      <c r="P65" s="1264"/>
      <c r="Q65" s="1265"/>
      <c r="R65" s="1264"/>
      <c r="S65" s="1265"/>
      <c r="T65" s="1264"/>
      <c r="U65" s="1265"/>
      <c r="V65" s="1264"/>
      <c r="W65" s="1265"/>
      <c r="X65" s="1264"/>
      <c r="Y65" s="1265"/>
      <c r="Z65" s="1264"/>
      <c r="AA65" s="1265"/>
      <c r="AB65" s="1264"/>
      <c r="AC65" s="1265"/>
      <c r="AD65" s="1264"/>
      <c r="AE65" s="1265">
        <f>AC65+AA65+Y65+W65+U65+S65+Q65+O65+M65+K65+I65+G65</f>
        <v>0</v>
      </c>
      <c r="AF65" s="1266">
        <f>IF(AE$45=0,0,AE65/AE$45)</f>
        <v>0</v>
      </c>
      <c r="AG65" s="1267"/>
    </row>
    <row r="66" spans="1:33" s="113" customFormat="1" ht="5.0999999999999996" hidden="1" customHeight="1" outlineLevel="1">
      <c r="A66" s="1261"/>
      <c r="B66" s="1261"/>
      <c r="C66" s="1261"/>
      <c r="D66" s="1261"/>
      <c r="E66" s="1263"/>
      <c r="F66" s="1263"/>
      <c r="G66" s="1271"/>
      <c r="H66" s="1270"/>
      <c r="I66" s="1271"/>
      <c r="J66" s="1270"/>
      <c r="K66" s="1271"/>
      <c r="L66" s="1270"/>
      <c r="M66" s="1271"/>
      <c r="N66" s="1270"/>
      <c r="O66" s="1271"/>
      <c r="P66" s="1270"/>
      <c r="Q66" s="1271"/>
      <c r="R66" s="1270"/>
      <c r="S66" s="1271"/>
      <c r="T66" s="1270"/>
      <c r="U66" s="1271"/>
      <c r="V66" s="1270"/>
      <c r="W66" s="1271"/>
      <c r="X66" s="1270"/>
      <c r="Y66" s="1271"/>
      <c r="Z66" s="1270"/>
      <c r="AA66" s="1271"/>
      <c r="AB66" s="1270"/>
      <c r="AC66" s="1271"/>
      <c r="AD66" s="1270"/>
      <c r="AE66" s="1271"/>
      <c r="AF66" s="1264"/>
      <c r="AG66" s="1244"/>
    </row>
    <row r="67" spans="1:33" s="113" customFormat="1" ht="15" hidden="1" collapsed="1">
      <c r="A67" s="1263"/>
      <c r="B67" s="1263"/>
      <c r="C67" s="1261" t="s">
        <v>236</v>
      </c>
      <c r="D67" s="1275"/>
      <c r="E67" s="1275"/>
      <c r="F67" s="1275"/>
      <c r="G67" s="1269">
        <f>SUM(G64:G66)</f>
        <v>0</v>
      </c>
      <c r="H67" s="1270"/>
      <c r="I67" s="1269">
        <f>SUM(I64:I66)</f>
        <v>0</v>
      </c>
      <c r="J67" s="1270"/>
      <c r="K67" s="1269">
        <f>SUM(K64:K66)</f>
        <v>0</v>
      </c>
      <c r="L67" s="1270"/>
      <c r="M67" s="1269">
        <f>SUM(M64:M66)</f>
        <v>0</v>
      </c>
      <c r="N67" s="1270"/>
      <c r="O67" s="1269">
        <f>SUM(O64:O66)</f>
        <v>0</v>
      </c>
      <c r="P67" s="1270"/>
      <c r="Q67" s="1269">
        <f>SUM(Q64:Q66)</f>
        <v>0</v>
      </c>
      <c r="R67" s="1270"/>
      <c r="S67" s="1269">
        <f>SUM(S64:S66)</f>
        <v>0</v>
      </c>
      <c r="T67" s="1270"/>
      <c r="U67" s="1269">
        <f>SUM(U64:U66)</f>
        <v>0</v>
      </c>
      <c r="V67" s="1270"/>
      <c r="W67" s="1269">
        <f>SUM(W64:W66)</f>
        <v>0</v>
      </c>
      <c r="X67" s="1270"/>
      <c r="Y67" s="1269">
        <f>SUM(Y64:Y66)</f>
        <v>0</v>
      </c>
      <c r="Z67" s="1270"/>
      <c r="AA67" s="1269">
        <f>SUM(AA64:AA66)</f>
        <v>0</v>
      </c>
      <c r="AB67" s="1270"/>
      <c r="AC67" s="1269">
        <f>SUM(AC64:AC66)</f>
        <v>0</v>
      </c>
      <c r="AD67" s="1270"/>
      <c r="AE67" s="1269">
        <f>SUM(AE64:AE66)</f>
        <v>0</v>
      </c>
      <c r="AF67" s="1266">
        <f>IF(AE$45=0,0,AE67/AE$45)</f>
        <v>0</v>
      </c>
      <c r="AG67" s="1244"/>
    </row>
    <row r="68" spans="1:33" s="113" customFormat="1" hidden="1" outlineLevel="1">
      <c r="A68" s="1263"/>
      <c r="B68" s="1263"/>
      <c r="C68" s="1263"/>
      <c r="D68" s="1263"/>
      <c r="E68" s="1263"/>
      <c r="F68" s="1263"/>
      <c r="G68" s="1270"/>
      <c r="H68" s="1270"/>
      <c r="I68" s="1270"/>
      <c r="J68" s="1270"/>
      <c r="K68" s="1270"/>
      <c r="L68" s="1270"/>
      <c r="M68" s="1270"/>
      <c r="N68" s="1270"/>
      <c r="O68" s="1270"/>
      <c r="P68" s="1270"/>
      <c r="Q68" s="1270"/>
      <c r="R68" s="1270"/>
      <c r="S68" s="1270"/>
      <c r="T68" s="1270"/>
      <c r="U68" s="1270"/>
      <c r="V68" s="1270"/>
      <c r="W68" s="1270"/>
      <c r="X68" s="1270"/>
      <c r="Y68" s="1270"/>
      <c r="Z68" s="1270"/>
      <c r="AA68" s="1270"/>
      <c r="AB68" s="1270"/>
      <c r="AC68" s="1270"/>
      <c r="AD68" s="1270"/>
      <c r="AE68" s="1270"/>
      <c r="AF68" s="1264"/>
      <c r="AG68" s="1244"/>
    </row>
    <row r="69" spans="1:33" hidden="1" outlineLevel="1">
      <c r="A69" s="1260"/>
      <c r="B69" s="1260"/>
      <c r="C69" s="1261"/>
      <c r="D69" s="1262"/>
      <c r="E69" s="1263"/>
      <c r="F69" s="1264"/>
      <c r="G69" s="1265"/>
      <c r="H69" s="1264"/>
      <c r="I69" s="1265"/>
      <c r="J69" s="1264"/>
      <c r="K69" s="1265"/>
      <c r="L69" s="1264"/>
      <c r="M69" s="1265"/>
      <c r="N69" s="1264"/>
      <c r="O69" s="1265"/>
      <c r="P69" s="1264"/>
      <c r="Q69" s="1265"/>
      <c r="R69" s="1264"/>
      <c r="S69" s="1265"/>
      <c r="T69" s="1264"/>
      <c r="U69" s="1265"/>
      <c r="V69" s="1264"/>
      <c r="W69" s="1265"/>
      <c r="X69" s="1264"/>
      <c r="Y69" s="1265"/>
      <c r="Z69" s="1264"/>
      <c r="AA69" s="1265"/>
      <c r="AB69" s="1264"/>
      <c r="AC69" s="1265"/>
      <c r="AD69" s="1264"/>
      <c r="AE69" s="1265">
        <f>AC69+AA69+Y69+W69+U69+S69+Q69+O69+M69+K69+I69+G69</f>
        <v>0</v>
      </c>
      <c r="AF69" s="1266">
        <f>IF(AE$45=0,0,AE69/AE$45)</f>
        <v>0</v>
      </c>
      <c r="AG69" s="1267"/>
    </row>
    <row r="70" spans="1:33" s="113" customFormat="1" ht="4.5" hidden="1" customHeight="1" outlineLevel="1">
      <c r="A70" s="1272"/>
      <c r="B70" s="1263"/>
      <c r="C70" s="1263"/>
      <c r="D70" s="1263"/>
      <c r="E70" s="1263"/>
      <c r="F70" s="1263"/>
      <c r="G70" s="1271"/>
      <c r="H70" s="1270"/>
      <c r="I70" s="1271"/>
      <c r="J70" s="1270"/>
      <c r="K70" s="1271"/>
      <c r="L70" s="1270"/>
      <c r="M70" s="1271"/>
      <c r="N70" s="1270"/>
      <c r="O70" s="1271"/>
      <c r="P70" s="1270"/>
      <c r="Q70" s="1271"/>
      <c r="R70" s="1270"/>
      <c r="S70" s="1271"/>
      <c r="T70" s="1270"/>
      <c r="U70" s="1271"/>
      <c r="V70" s="1270"/>
      <c r="W70" s="1271"/>
      <c r="X70" s="1270"/>
      <c r="Y70" s="1271"/>
      <c r="Z70" s="1270"/>
      <c r="AA70" s="1271"/>
      <c r="AB70" s="1270"/>
      <c r="AC70" s="1271"/>
      <c r="AD70" s="1270"/>
      <c r="AE70" s="1271"/>
      <c r="AF70" s="1264"/>
      <c r="AG70" s="1244"/>
    </row>
    <row r="71" spans="1:33" s="113" customFormat="1" hidden="1" collapsed="1">
      <c r="A71" s="1263"/>
      <c r="B71" s="1263"/>
      <c r="C71" s="1263" t="s">
        <v>238</v>
      </c>
      <c r="D71" s="1263"/>
      <c r="E71" s="1263"/>
      <c r="F71" s="1263"/>
      <c r="G71" s="1269">
        <f>SUM(G69:G70)</f>
        <v>0</v>
      </c>
      <c r="H71" s="1270"/>
      <c r="I71" s="1269">
        <f>SUM(I69:I70)</f>
        <v>0</v>
      </c>
      <c r="J71" s="1270"/>
      <c r="K71" s="1269">
        <f>SUM(K69:K70)</f>
        <v>0</v>
      </c>
      <c r="L71" s="1270"/>
      <c r="M71" s="1269">
        <f>SUM(M69:M70)</f>
        <v>0</v>
      </c>
      <c r="N71" s="1270"/>
      <c r="O71" s="1269">
        <f>SUM(O69:O70)</f>
        <v>0</v>
      </c>
      <c r="P71" s="1270"/>
      <c r="Q71" s="1269">
        <f>SUM(Q69:Q70)</f>
        <v>0</v>
      </c>
      <c r="R71" s="1270"/>
      <c r="S71" s="1269">
        <f>SUM(S69:S70)</f>
        <v>0</v>
      </c>
      <c r="T71" s="1270"/>
      <c r="U71" s="1269">
        <f>SUM(U69:U70)</f>
        <v>0</v>
      </c>
      <c r="V71" s="1270"/>
      <c r="W71" s="1269">
        <f>SUM(W69:W70)</f>
        <v>0</v>
      </c>
      <c r="X71" s="1270"/>
      <c r="Y71" s="1269">
        <f>SUM(Y69:Y70)</f>
        <v>0</v>
      </c>
      <c r="Z71" s="1270"/>
      <c r="AA71" s="1269">
        <f>SUM(AA69:AA70)</f>
        <v>0</v>
      </c>
      <c r="AB71" s="1270"/>
      <c r="AC71" s="1269">
        <f>SUM(AC69:AC70)</f>
        <v>0</v>
      </c>
      <c r="AD71" s="1270"/>
      <c r="AE71" s="1269">
        <f>SUM(AE69:AE70)</f>
        <v>0</v>
      </c>
      <c r="AF71" s="1266">
        <f>IF(AE$45=0,0,AE71/AE$45)</f>
        <v>0</v>
      </c>
      <c r="AG71" s="1244"/>
    </row>
    <row r="72" spans="1:33" s="113" customFormat="1" ht="7.5" customHeight="1">
      <c r="A72" s="1263"/>
      <c r="B72" s="1263"/>
      <c r="C72" s="1263"/>
      <c r="D72" s="1263"/>
      <c r="E72" s="1263"/>
      <c r="F72" s="1263"/>
      <c r="G72" s="1270"/>
      <c r="H72" s="1270"/>
      <c r="I72" s="1270"/>
      <c r="J72" s="1270"/>
      <c r="K72" s="1270"/>
      <c r="L72" s="1270"/>
      <c r="M72" s="1270"/>
      <c r="N72" s="1270"/>
      <c r="O72" s="1270"/>
      <c r="P72" s="1270"/>
      <c r="Q72" s="1270"/>
      <c r="R72" s="1270"/>
      <c r="S72" s="1270"/>
      <c r="T72" s="1270"/>
      <c r="U72" s="1270"/>
      <c r="V72" s="1270"/>
      <c r="W72" s="1270"/>
      <c r="X72" s="1270"/>
      <c r="Y72" s="1270"/>
      <c r="Z72" s="1270"/>
      <c r="AA72" s="1270"/>
      <c r="AB72" s="1270"/>
      <c r="AC72" s="1270"/>
      <c r="AD72" s="1270"/>
      <c r="AE72" s="1270"/>
      <c r="AF72" s="1264"/>
      <c r="AG72" s="1244"/>
    </row>
    <row r="73" spans="1:33" s="113" customFormat="1" ht="15">
      <c r="A73" s="1263"/>
      <c r="B73" s="1273" t="s">
        <v>239</v>
      </c>
      <c r="C73" s="1263"/>
      <c r="D73" s="1263"/>
      <c r="E73" s="1263"/>
      <c r="F73" s="1263"/>
      <c r="G73" s="1274">
        <f>+G51+G62+G67+G55+G71</f>
        <v>24492.18</v>
      </c>
      <c r="H73" s="1270"/>
      <c r="I73" s="1274">
        <f>+I51+I62+I67+I55+I71</f>
        <v>29887.15</v>
      </c>
      <c r="J73" s="1270"/>
      <c r="K73" s="1274">
        <f>+K51+K62+K67+K55+K71</f>
        <v>44787.65</v>
      </c>
      <c r="L73" s="1270"/>
      <c r="M73" s="1274">
        <f>+M51+M62+M67+M55+M71</f>
        <v>32919.94</v>
      </c>
      <c r="N73" s="1270"/>
      <c r="O73" s="1274">
        <f>+O51+O62+O67+O55+O71</f>
        <v>44325.41</v>
      </c>
      <c r="P73" s="1270"/>
      <c r="Q73" s="1274">
        <f>+Q51+Q62+Q67+Q55+Q71</f>
        <v>38544.79</v>
      </c>
      <c r="R73" s="1270"/>
      <c r="S73" s="1274">
        <f>+S51+S62+S67+S55+S71</f>
        <v>28972.7</v>
      </c>
      <c r="T73" s="1270"/>
      <c r="U73" s="1274">
        <f>+U51+U62+U67+U55+U71</f>
        <v>33206.979999999996</v>
      </c>
      <c r="V73" s="1270"/>
      <c r="W73" s="1274">
        <f>+W51+W62+W67+W55+W71</f>
        <v>33262.78</v>
      </c>
      <c r="X73" s="1270"/>
      <c r="Y73" s="1274">
        <f>+Y51+Y62+Y67+Y55+Y71</f>
        <v>29189.18</v>
      </c>
      <c r="Z73" s="1270"/>
      <c r="AA73" s="1274">
        <f>+AA51+AA62+AA67+AA55+AA71</f>
        <v>23494.05</v>
      </c>
      <c r="AB73" s="1270"/>
      <c r="AC73" s="1274">
        <f>+AC51+AC62+AC67+AC55+AC71</f>
        <v>32017.66</v>
      </c>
      <c r="AD73" s="1270"/>
      <c r="AE73" s="1274">
        <f>+AE51+AE62+AE67+AE55+AE71</f>
        <v>395100.47000000003</v>
      </c>
      <c r="AF73" s="1266">
        <f>IF(AE$45=0,0,AE73/AE$45)</f>
        <v>0.28242183432841816</v>
      </c>
      <c r="AG73" s="1244"/>
    </row>
    <row r="74" spans="1:33" s="113" customFormat="1" ht="7.5" customHeight="1">
      <c r="A74" s="1263"/>
      <c r="B74" s="1263"/>
      <c r="C74" s="1263"/>
      <c r="D74" s="1263"/>
      <c r="E74" s="1263"/>
      <c r="F74" s="1263"/>
      <c r="G74" s="1270"/>
      <c r="H74" s="1270"/>
      <c r="I74" s="1270"/>
      <c r="J74" s="1270"/>
      <c r="K74" s="1270"/>
      <c r="L74" s="1270"/>
      <c r="M74" s="1270"/>
      <c r="N74" s="1270"/>
      <c r="O74" s="1270"/>
      <c r="P74" s="1270"/>
      <c r="Q74" s="1270"/>
      <c r="R74" s="1270"/>
      <c r="S74" s="1270"/>
      <c r="T74" s="1270"/>
      <c r="U74" s="1270"/>
      <c r="V74" s="1270"/>
      <c r="W74" s="1270"/>
      <c r="X74" s="1270"/>
      <c r="Y74" s="1270"/>
      <c r="Z74" s="1270"/>
      <c r="AA74" s="1270"/>
      <c r="AB74" s="1270"/>
      <c r="AC74" s="1270"/>
      <c r="AD74" s="1270"/>
      <c r="AE74" s="1270"/>
      <c r="AF74" s="1264"/>
      <c r="AG74" s="1244"/>
    </row>
    <row r="75" spans="1:33" s="113" customFormat="1" ht="15">
      <c r="A75" s="1263"/>
      <c r="B75" s="1276" t="s">
        <v>240</v>
      </c>
      <c r="C75" s="1263"/>
      <c r="D75" s="1263"/>
      <c r="E75" s="1263"/>
      <c r="F75" s="1263"/>
      <c r="G75" s="1274">
        <f>G45-G73</f>
        <v>79453.09</v>
      </c>
      <c r="H75" s="1270"/>
      <c r="I75" s="1274">
        <f>I45-I73</f>
        <v>83433.119999999995</v>
      </c>
      <c r="J75" s="1270"/>
      <c r="K75" s="1274">
        <f>K45-K73</f>
        <v>58840.049999999981</v>
      </c>
      <c r="L75" s="1270"/>
      <c r="M75" s="1274">
        <f>M45-M73</f>
        <v>84554.82</v>
      </c>
      <c r="N75" s="1270"/>
      <c r="O75" s="1274">
        <f>O45-O73</f>
        <v>84475.799999999988</v>
      </c>
      <c r="P75" s="1270"/>
      <c r="Q75" s="1274">
        <f>Q45-Q73</f>
        <v>74264.330000000016</v>
      </c>
      <c r="R75" s="1270"/>
      <c r="S75" s="1274">
        <f>S45-S73</f>
        <v>79523.92</v>
      </c>
      <c r="T75" s="1270"/>
      <c r="U75" s="1274">
        <f>U45-U73</f>
        <v>76034.89</v>
      </c>
      <c r="V75" s="1270"/>
      <c r="W75" s="1274">
        <f>W45-W73</f>
        <v>83379.740000000005</v>
      </c>
      <c r="X75" s="1270"/>
      <c r="Y75" s="1274">
        <f>Y45-Y73</f>
        <v>74914.850000000006</v>
      </c>
      <c r="Z75" s="1270"/>
      <c r="AA75" s="1274">
        <f>AA45-AA73</f>
        <v>81862.080000000002</v>
      </c>
      <c r="AB75" s="1270"/>
      <c r="AC75" s="1274">
        <f>AC45-AC73</f>
        <v>143135.65999999997</v>
      </c>
      <c r="AD75" s="1270"/>
      <c r="AE75" s="1274">
        <f>AE45-AE73</f>
        <v>1003872.3500000003</v>
      </c>
      <c r="AF75" s="1266">
        <f>IF(AE$45=0,0,AE75/AE$45)</f>
        <v>0.71757816567158184</v>
      </c>
      <c r="AG75" s="1244"/>
    </row>
    <row r="76" spans="1:33" s="113" customFormat="1" ht="7.5" hidden="1" customHeight="1">
      <c r="A76" s="1263"/>
      <c r="B76" s="1263"/>
      <c r="C76" s="1263"/>
      <c r="D76" s="1263"/>
      <c r="E76" s="1263"/>
      <c r="F76" s="1263"/>
      <c r="G76" s="1270"/>
      <c r="H76" s="1270"/>
      <c r="I76" s="1270"/>
      <c r="J76" s="1270"/>
      <c r="K76" s="1270"/>
      <c r="L76" s="1270"/>
      <c r="M76" s="1270"/>
      <c r="N76" s="1270"/>
      <c r="O76" s="1270"/>
      <c r="P76" s="1270"/>
      <c r="Q76" s="1270"/>
      <c r="R76" s="1270"/>
      <c r="S76" s="1270"/>
      <c r="T76" s="1270"/>
      <c r="U76" s="1270"/>
      <c r="V76" s="1270"/>
      <c r="W76" s="1270"/>
      <c r="X76" s="1270"/>
      <c r="Y76" s="1270"/>
      <c r="Z76" s="1270"/>
      <c r="AA76" s="1270"/>
      <c r="AB76" s="1270"/>
      <c r="AC76" s="1270"/>
      <c r="AD76" s="1270"/>
      <c r="AE76" s="1270"/>
      <c r="AF76" s="1264"/>
      <c r="AG76" s="1244"/>
    </row>
    <row r="77" spans="1:33" s="113" customFormat="1" ht="6" customHeight="1" outlineLevel="1">
      <c r="A77" s="1263"/>
      <c r="B77" s="1263"/>
      <c r="C77" s="1263"/>
      <c r="D77" s="1263"/>
      <c r="E77" s="1263"/>
      <c r="F77" s="1263"/>
      <c r="G77" s="1270"/>
      <c r="H77" s="1270"/>
      <c r="I77" s="1270"/>
      <c r="J77" s="1270"/>
      <c r="K77" s="1270"/>
      <c r="L77" s="1270"/>
      <c r="M77" s="1270"/>
      <c r="N77" s="1270"/>
      <c r="O77" s="1270"/>
      <c r="P77" s="1270"/>
      <c r="Q77" s="1270"/>
      <c r="R77" s="1270"/>
      <c r="S77" s="1270"/>
      <c r="T77" s="1270"/>
      <c r="U77" s="1270"/>
      <c r="V77" s="1270"/>
      <c r="W77" s="1270"/>
      <c r="X77" s="1270"/>
      <c r="Y77" s="1270"/>
      <c r="Z77" s="1270"/>
      <c r="AA77" s="1270"/>
      <c r="AB77" s="1270"/>
      <c r="AC77" s="1270"/>
      <c r="AD77" s="1270"/>
      <c r="AE77" s="1270"/>
      <c r="AF77" s="1264"/>
      <c r="AG77" s="1244"/>
    </row>
    <row r="78" spans="1:33" ht="15" customHeight="1" outlineLevel="1">
      <c r="A78" s="1260">
        <v>50020</v>
      </c>
      <c r="B78" s="1260" t="s">
        <v>34</v>
      </c>
      <c r="C78" s="1261"/>
      <c r="D78" s="1262"/>
      <c r="E78" s="1263"/>
      <c r="F78" s="1264"/>
      <c r="G78" s="1265">
        <v>6548.46</v>
      </c>
      <c r="H78" s="1264"/>
      <c r="I78" s="1265">
        <v>6593.81</v>
      </c>
      <c r="J78" s="1264"/>
      <c r="K78" s="1265">
        <v>5376.4</v>
      </c>
      <c r="L78" s="1264"/>
      <c r="M78" s="1265">
        <v>7808.09</v>
      </c>
      <c r="N78" s="1264"/>
      <c r="O78" s="1265">
        <v>10114.08</v>
      </c>
      <c r="P78" s="1264"/>
      <c r="Q78" s="1265">
        <v>9278.9500000000007</v>
      </c>
      <c r="R78" s="1264"/>
      <c r="S78" s="1265">
        <v>7235.15</v>
      </c>
      <c r="T78" s="1264"/>
      <c r="U78" s="1265">
        <v>8602.16</v>
      </c>
      <c r="V78" s="1264"/>
      <c r="W78" s="1265">
        <v>10475.34</v>
      </c>
      <c r="X78" s="1264"/>
      <c r="Y78" s="1265">
        <v>10097.15</v>
      </c>
      <c r="Z78" s="1264"/>
      <c r="AA78" s="1265">
        <v>10392.530000000001</v>
      </c>
      <c r="AB78" s="1264"/>
      <c r="AC78" s="1265">
        <v>8237.67</v>
      </c>
      <c r="AD78" s="1264"/>
      <c r="AE78" s="1265">
        <f t="shared" ref="AE78:AE88" si="2">AC78+AA78+Y78+W78+U78+S78+Q78+O78+M78+K78+I78+G78</f>
        <v>100759.79000000001</v>
      </c>
      <c r="AF78" s="1266">
        <f t="shared" ref="AF78:AF88" si="3">IF(AE$45=0,0,AE78/AE$45)</f>
        <v>7.2024122670231713E-2</v>
      </c>
      <c r="AG78" s="1267"/>
    </row>
    <row r="79" spans="1:33" ht="15" customHeight="1" outlineLevel="1">
      <c r="A79" s="1260">
        <v>50025</v>
      </c>
      <c r="B79" s="1260" t="s">
        <v>35</v>
      </c>
      <c r="C79" s="1261"/>
      <c r="D79" s="1262"/>
      <c r="E79" s="1263"/>
      <c r="F79" s="1264"/>
      <c r="G79" s="1265">
        <v>3348.84</v>
      </c>
      <c r="H79" s="1264"/>
      <c r="I79" s="1265">
        <v>1778.07</v>
      </c>
      <c r="J79" s="1264"/>
      <c r="K79" s="1265">
        <v>2748.04</v>
      </c>
      <c r="L79" s="1264"/>
      <c r="M79" s="1265">
        <v>1947.8</v>
      </c>
      <c r="N79" s="1264"/>
      <c r="O79" s="1265">
        <v>2328.9499999999998</v>
      </c>
      <c r="P79" s="1264"/>
      <c r="Q79" s="1265">
        <v>3879.22</v>
      </c>
      <c r="R79" s="1264"/>
      <c r="S79" s="1265">
        <v>2718.71</v>
      </c>
      <c r="T79" s="1264"/>
      <c r="U79" s="1265">
        <v>2691.57</v>
      </c>
      <c r="V79" s="1264"/>
      <c r="W79" s="1265">
        <v>3490.79</v>
      </c>
      <c r="X79" s="1264"/>
      <c r="Y79" s="1265">
        <v>2363.0700000000002</v>
      </c>
      <c r="Z79" s="1264"/>
      <c r="AA79" s="1265">
        <v>1280.05</v>
      </c>
      <c r="AB79" s="1264"/>
      <c r="AC79" s="1265">
        <v>1285.75</v>
      </c>
      <c r="AD79" s="1264"/>
      <c r="AE79" s="1265">
        <f t="shared" si="2"/>
        <v>29860.86</v>
      </c>
      <c r="AF79" s="1266">
        <f t="shared" si="3"/>
        <v>2.1344846428110013E-2</v>
      </c>
      <c r="AG79" s="1267"/>
    </row>
    <row r="80" spans="1:33" ht="15" customHeight="1" outlineLevel="1">
      <c r="A80" s="1260">
        <v>50035</v>
      </c>
      <c r="B80" s="1260" t="s">
        <v>36</v>
      </c>
      <c r="C80" s="1261"/>
      <c r="D80" s="1262"/>
      <c r="E80" s="1263"/>
      <c r="F80" s="1264"/>
      <c r="G80" s="1265">
        <v>-206.1</v>
      </c>
      <c r="H80" s="1264"/>
      <c r="I80" s="1265">
        <v>-423.44</v>
      </c>
      <c r="J80" s="1264"/>
      <c r="K80" s="1265">
        <v>403.91</v>
      </c>
      <c r="L80" s="1264"/>
      <c r="M80" s="1265">
        <v>75</v>
      </c>
      <c r="N80" s="1264"/>
      <c r="O80" s="1265">
        <v>75</v>
      </c>
      <c r="P80" s="1264"/>
      <c r="Q80" s="1265">
        <v>75</v>
      </c>
      <c r="R80" s="1264"/>
      <c r="S80" s="1265">
        <v>100</v>
      </c>
      <c r="T80" s="1264"/>
      <c r="U80" s="1265">
        <v>100</v>
      </c>
      <c r="V80" s="1264"/>
      <c r="W80" s="1265">
        <v>-925</v>
      </c>
      <c r="X80" s="1264"/>
      <c r="Y80" s="1265">
        <v>239.01</v>
      </c>
      <c r="Z80" s="1264"/>
      <c r="AA80" s="1265">
        <v>8.24</v>
      </c>
      <c r="AB80" s="1264"/>
      <c r="AC80" s="1265">
        <v>127.75</v>
      </c>
      <c r="AD80" s="1264"/>
      <c r="AE80" s="1265">
        <f t="shared" si="2"/>
        <v>-350.63</v>
      </c>
      <c r="AF80" s="1266">
        <f t="shared" si="3"/>
        <v>-2.5063389008515543E-4</v>
      </c>
      <c r="AG80" s="1267"/>
    </row>
    <row r="81" spans="1:33" ht="15" customHeight="1" outlineLevel="1">
      <c r="A81" s="1260">
        <v>50036</v>
      </c>
      <c r="B81" s="1260" t="s">
        <v>37</v>
      </c>
      <c r="C81" s="1261"/>
      <c r="D81" s="1262"/>
      <c r="E81" s="1263"/>
      <c r="F81" s="1264"/>
      <c r="G81" s="1265">
        <v>1000</v>
      </c>
      <c r="H81" s="1264"/>
      <c r="I81" s="1265">
        <v>0</v>
      </c>
      <c r="J81" s="1264"/>
      <c r="K81" s="1265">
        <v>1096.96</v>
      </c>
      <c r="L81" s="1264"/>
      <c r="M81" s="1265">
        <v>0</v>
      </c>
      <c r="N81" s="1264"/>
      <c r="O81" s="1265">
        <v>0</v>
      </c>
      <c r="P81" s="1264"/>
      <c r="Q81" s="1265">
        <v>610.11</v>
      </c>
      <c r="R81" s="1264"/>
      <c r="S81" s="1265">
        <v>121.78</v>
      </c>
      <c r="T81" s="1264"/>
      <c r="U81" s="1265">
        <v>115.58</v>
      </c>
      <c r="V81" s="1264"/>
      <c r="W81" s="1265">
        <v>356.26</v>
      </c>
      <c r="X81" s="1264"/>
      <c r="Y81" s="1265">
        <v>129.11000000000001</v>
      </c>
      <c r="Z81" s="1264"/>
      <c r="AA81" s="1265">
        <v>127.46</v>
      </c>
      <c r="AB81" s="1264"/>
      <c r="AC81" s="1265">
        <v>744.46</v>
      </c>
      <c r="AD81" s="1264"/>
      <c r="AE81" s="1265">
        <f t="shared" si="2"/>
        <v>4301.7199999999993</v>
      </c>
      <c r="AF81" s="1266">
        <f t="shared" si="3"/>
        <v>3.0749132066768808E-3</v>
      </c>
      <c r="AG81" s="1267"/>
    </row>
    <row r="82" spans="1:33" ht="15" customHeight="1" outlineLevel="1">
      <c r="A82" s="1260">
        <v>50045</v>
      </c>
      <c r="B82" s="1260" t="s">
        <v>48</v>
      </c>
      <c r="C82" s="1261"/>
      <c r="D82" s="1262"/>
      <c r="E82" s="1263"/>
      <c r="F82" s="1264"/>
      <c r="G82" s="1265">
        <v>944.78</v>
      </c>
      <c r="H82" s="1264"/>
      <c r="I82" s="1265">
        <v>0</v>
      </c>
      <c r="J82" s="1264"/>
      <c r="K82" s="1265">
        <v>0</v>
      </c>
      <c r="L82" s="1264"/>
      <c r="M82" s="1265">
        <v>0</v>
      </c>
      <c r="N82" s="1264"/>
      <c r="O82" s="1265">
        <v>0</v>
      </c>
      <c r="P82" s="1264"/>
      <c r="Q82" s="1265">
        <v>0</v>
      </c>
      <c r="R82" s="1264"/>
      <c r="S82" s="1265">
        <v>0</v>
      </c>
      <c r="T82" s="1264"/>
      <c r="U82" s="1265">
        <v>0</v>
      </c>
      <c r="V82" s="1264"/>
      <c r="W82" s="1265">
        <v>0</v>
      </c>
      <c r="X82" s="1264"/>
      <c r="Y82" s="1265">
        <v>0</v>
      </c>
      <c r="Z82" s="1264"/>
      <c r="AA82" s="1265">
        <v>0</v>
      </c>
      <c r="AB82" s="1264"/>
      <c r="AC82" s="1265">
        <v>0</v>
      </c>
      <c r="AD82" s="1264"/>
      <c r="AE82" s="1265">
        <f t="shared" si="2"/>
        <v>944.78</v>
      </c>
      <c r="AF82" s="1266">
        <f t="shared" si="3"/>
        <v>6.7533835289237411E-4</v>
      </c>
      <c r="AG82" s="1267"/>
    </row>
    <row r="83" spans="1:33" ht="15" customHeight="1" outlineLevel="1">
      <c r="A83" s="1260">
        <v>50050</v>
      </c>
      <c r="B83" s="1260" t="s">
        <v>171</v>
      </c>
      <c r="C83" s="1261"/>
      <c r="D83" s="1262"/>
      <c r="E83" s="1263"/>
      <c r="F83" s="1264"/>
      <c r="G83" s="1265">
        <v>938.74</v>
      </c>
      <c r="H83" s="1264"/>
      <c r="I83" s="1265">
        <v>691.85</v>
      </c>
      <c r="J83" s="1264"/>
      <c r="K83" s="1265">
        <v>843.53</v>
      </c>
      <c r="L83" s="1264"/>
      <c r="M83" s="1265">
        <v>806.27</v>
      </c>
      <c r="N83" s="1264"/>
      <c r="O83" s="1265">
        <v>1040.5899999999999</v>
      </c>
      <c r="P83" s="1264"/>
      <c r="Q83" s="1265">
        <v>1156.8499999999999</v>
      </c>
      <c r="R83" s="1264"/>
      <c r="S83" s="1265">
        <v>827.16</v>
      </c>
      <c r="T83" s="1264"/>
      <c r="U83" s="1265">
        <v>938.67</v>
      </c>
      <c r="V83" s="1264"/>
      <c r="W83" s="1265">
        <v>1044.18</v>
      </c>
      <c r="X83" s="1264"/>
      <c r="Y83" s="1265">
        <v>959.1</v>
      </c>
      <c r="Z83" s="1264"/>
      <c r="AA83" s="1265">
        <v>995.94</v>
      </c>
      <c r="AB83" s="1264"/>
      <c r="AC83" s="1265">
        <v>943.49</v>
      </c>
      <c r="AD83" s="1264"/>
      <c r="AE83" s="1265">
        <f t="shared" si="2"/>
        <v>11186.37</v>
      </c>
      <c r="AF83" s="1266">
        <f t="shared" si="3"/>
        <v>7.9961310470635146E-3</v>
      </c>
      <c r="AG83" s="1267"/>
    </row>
    <row r="84" spans="1:33" ht="15" customHeight="1" outlineLevel="1">
      <c r="A84" s="1260">
        <v>50060</v>
      </c>
      <c r="B84" s="1260" t="s">
        <v>124</v>
      </c>
      <c r="C84" s="1261"/>
      <c r="D84" s="1262"/>
      <c r="E84" s="1263"/>
      <c r="F84" s="1264"/>
      <c r="G84" s="1265">
        <v>2747.08</v>
      </c>
      <c r="H84" s="1264"/>
      <c r="I84" s="1265">
        <v>1747.08</v>
      </c>
      <c r="J84" s="1264"/>
      <c r="K84" s="1265">
        <v>1756.92</v>
      </c>
      <c r="L84" s="1264"/>
      <c r="M84" s="1265">
        <v>1461.84</v>
      </c>
      <c r="N84" s="1264"/>
      <c r="O84" s="1265">
        <v>2609.5</v>
      </c>
      <c r="P84" s="1264"/>
      <c r="Q84" s="1265">
        <v>2626.34</v>
      </c>
      <c r="R84" s="1264"/>
      <c r="S84" s="1265">
        <v>2595.2600000000002</v>
      </c>
      <c r="T84" s="1264"/>
      <c r="U84" s="1265">
        <v>1591.38</v>
      </c>
      <c r="V84" s="1264"/>
      <c r="W84" s="1265">
        <v>2200.8000000000002</v>
      </c>
      <c r="X84" s="1264"/>
      <c r="Y84" s="1265">
        <v>2465.08</v>
      </c>
      <c r="Z84" s="1264"/>
      <c r="AA84" s="1265">
        <v>2465.96</v>
      </c>
      <c r="AB84" s="1264"/>
      <c r="AC84" s="1265">
        <v>1787.42</v>
      </c>
      <c r="AD84" s="1264"/>
      <c r="AE84" s="1265">
        <f t="shared" si="2"/>
        <v>26054.660000000003</v>
      </c>
      <c r="AF84" s="1266">
        <f t="shared" si="3"/>
        <v>1.8624135957123169E-2</v>
      </c>
      <c r="AG84" s="1267"/>
    </row>
    <row r="85" spans="1:33" ht="15" customHeight="1" outlineLevel="1">
      <c r="A85" s="1260">
        <v>50065</v>
      </c>
      <c r="B85" s="1260" t="s">
        <v>31</v>
      </c>
      <c r="C85" s="1261"/>
      <c r="D85" s="1262"/>
      <c r="E85" s="1263"/>
      <c r="F85" s="1264"/>
      <c r="G85" s="1265">
        <v>258.82</v>
      </c>
      <c r="H85" s="1264"/>
      <c r="I85" s="1265">
        <v>-909</v>
      </c>
      <c r="J85" s="1264"/>
      <c r="K85" s="1265">
        <v>1105.43</v>
      </c>
      <c r="L85" s="1264"/>
      <c r="M85" s="1265">
        <v>225.99</v>
      </c>
      <c r="N85" s="1264"/>
      <c r="O85" s="1265">
        <v>378.9</v>
      </c>
      <c r="P85" s="1264"/>
      <c r="Q85" s="1265">
        <v>651.29999999999995</v>
      </c>
      <c r="R85" s="1264"/>
      <c r="S85" s="1265">
        <v>-679.52</v>
      </c>
      <c r="T85" s="1264"/>
      <c r="U85" s="1265">
        <v>1220.83</v>
      </c>
      <c r="V85" s="1264"/>
      <c r="W85" s="1265">
        <v>329.97</v>
      </c>
      <c r="X85" s="1264"/>
      <c r="Y85" s="1265">
        <v>304.36</v>
      </c>
      <c r="Z85" s="1264"/>
      <c r="AA85" s="1265">
        <v>-487.61</v>
      </c>
      <c r="AB85" s="1264"/>
      <c r="AC85" s="1265">
        <v>971.37</v>
      </c>
      <c r="AD85" s="1264"/>
      <c r="AE85" s="1265">
        <f t="shared" si="2"/>
        <v>3370.8400000000006</v>
      </c>
      <c r="AF85" s="1266">
        <f t="shared" si="3"/>
        <v>2.4095107151545659E-3</v>
      </c>
      <c r="AG85" s="1267"/>
    </row>
    <row r="86" spans="1:33" ht="15" customHeight="1" outlineLevel="1">
      <c r="A86" s="1260">
        <v>50070</v>
      </c>
      <c r="B86" s="1260" t="s">
        <v>32</v>
      </c>
      <c r="C86" s="1261"/>
      <c r="D86" s="1262"/>
      <c r="E86" s="1263"/>
      <c r="F86" s="1264"/>
      <c r="G86" s="1265">
        <v>0</v>
      </c>
      <c r="H86" s="1264"/>
      <c r="I86" s="1265">
        <v>0</v>
      </c>
      <c r="J86" s="1264"/>
      <c r="K86" s="1265">
        <v>0</v>
      </c>
      <c r="L86" s="1264"/>
      <c r="M86" s="1265">
        <v>0</v>
      </c>
      <c r="N86" s="1264"/>
      <c r="O86" s="1265">
        <v>0</v>
      </c>
      <c r="P86" s="1264"/>
      <c r="Q86" s="1265">
        <v>0</v>
      </c>
      <c r="R86" s="1264"/>
      <c r="S86" s="1265">
        <v>0</v>
      </c>
      <c r="T86" s="1264"/>
      <c r="U86" s="1265">
        <v>0</v>
      </c>
      <c r="V86" s="1264"/>
      <c r="W86" s="1265">
        <v>0</v>
      </c>
      <c r="X86" s="1264"/>
      <c r="Y86" s="1265">
        <v>0</v>
      </c>
      <c r="Z86" s="1264"/>
      <c r="AA86" s="1265">
        <v>0</v>
      </c>
      <c r="AB86" s="1264"/>
      <c r="AC86" s="1265">
        <v>184</v>
      </c>
      <c r="AD86" s="1264"/>
      <c r="AE86" s="1265">
        <f t="shared" si="2"/>
        <v>184</v>
      </c>
      <c r="AF86" s="1266">
        <f t="shared" si="3"/>
        <v>1.315250713734381E-4</v>
      </c>
      <c r="AG86" s="1267"/>
    </row>
    <row r="87" spans="1:33" ht="15" customHeight="1" outlineLevel="1">
      <c r="A87" s="1260">
        <v>50086</v>
      </c>
      <c r="B87" s="1260" t="s">
        <v>242</v>
      </c>
      <c r="C87" s="1261"/>
      <c r="D87" s="1262"/>
      <c r="E87" s="1263"/>
      <c r="F87" s="1264"/>
      <c r="G87" s="1265">
        <v>728.26</v>
      </c>
      <c r="H87" s="1264"/>
      <c r="I87" s="1265">
        <v>30.38</v>
      </c>
      <c r="J87" s="1264"/>
      <c r="K87" s="1265">
        <v>17.75</v>
      </c>
      <c r="L87" s="1264"/>
      <c r="M87" s="1265">
        <v>195.75</v>
      </c>
      <c r="N87" s="1264"/>
      <c r="O87" s="1265">
        <v>470.73</v>
      </c>
      <c r="P87" s="1264"/>
      <c r="Q87" s="1265">
        <v>32.75</v>
      </c>
      <c r="R87" s="1264"/>
      <c r="S87" s="1265">
        <v>0</v>
      </c>
      <c r="T87" s="1264"/>
      <c r="U87" s="1265">
        <v>142.69999999999999</v>
      </c>
      <c r="V87" s="1264"/>
      <c r="W87" s="1265">
        <v>72.75</v>
      </c>
      <c r="X87" s="1264"/>
      <c r="Y87" s="1265">
        <v>72.75</v>
      </c>
      <c r="Z87" s="1264"/>
      <c r="AA87" s="1265">
        <v>29.75</v>
      </c>
      <c r="AB87" s="1264"/>
      <c r="AC87" s="1265">
        <v>-55</v>
      </c>
      <c r="AD87" s="1264"/>
      <c r="AE87" s="1265">
        <f t="shared" si="2"/>
        <v>1738.5700000000002</v>
      </c>
      <c r="AF87" s="1266">
        <f t="shared" si="3"/>
        <v>1.2427475181397733E-3</v>
      </c>
      <c r="AG87" s="1267"/>
    </row>
    <row r="88" spans="1:33" outlineLevel="1">
      <c r="A88" s="1260">
        <v>50090</v>
      </c>
      <c r="B88" s="1260" t="s">
        <v>49</v>
      </c>
      <c r="C88" s="1261"/>
      <c r="D88" s="1262"/>
      <c r="E88" s="1263"/>
      <c r="F88" s="1264"/>
      <c r="G88" s="1265">
        <v>85.33</v>
      </c>
      <c r="H88" s="1264"/>
      <c r="I88" s="1265">
        <v>367.37</v>
      </c>
      <c r="J88" s="1264"/>
      <c r="K88" s="1265">
        <v>60.12</v>
      </c>
      <c r="L88" s="1264"/>
      <c r="M88" s="1265">
        <v>220.68</v>
      </c>
      <c r="N88" s="1264"/>
      <c r="O88" s="1265">
        <v>218.57</v>
      </c>
      <c r="P88" s="1264"/>
      <c r="Q88" s="1265">
        <v>193.22</v>
      </c>
      <c r="R88" s="1264"/>
      <c r="S88" s="1265">
        <v>148.63999999999999</v>
      </c>
      <c r="T88" s="1264"/>
      <c r="U88" s="1265">
        <v>86</v>
      </c>
      <c r="V88" s="1264"/>
      <c r="W88" s="1265">
        <v>351.43</v>
      </c>
      <c r="X88" s="1264"/>
      <c r="Y88" s="1265">
        <v>1013.8</v>
      </c>
      <c r="Z88" s="1264"/>
      <c r="AA88" s="1265">
        <v>108.08</v>
      </c>
      <c r="AB88" s="1264"/>
      <c r="AC88" s="1265">
        <v>253.32</v>
      </c>
      <c r="AD88" s="1264"/>
      <c r="AE88" s="1265">
        <f t="shared" si="2"/>
        <v>3106.5599999999995</v>
      </c>
      <c r="AF88" s="1266">
        <f t="shared" si="3"/>
        <v>2.2206006832927597E-3</v>
      </c>
      <c r="AG88" s="1267"/>
    </row>
    <row r="89" spans="1:33" s="113" customFormat="1" ht="5.0999999999999996" customHeight="1" outlineLevel="1">
      <c r="A89" s="1261"/>
      <c r="B89" s="1261"/>
      <c r="C89" s="1261"/>
      <c r="D89" s="1261"/>
      <c r="E89" s="1263"/>
      <c r="F89" s="1263"/>
      <c r="G89" s="1271"/>
      <c r="H89" s="1270"/>
      <c r="I89" s="1271"/>
      <c r="J89" s="1270"/>
      <c r="K89" s="1271"/>
      <c r="L89" s="1270"/>
      <c r="M89" s="1271"/>
      <c r="N89" s="1270"/>
      <c r="O89" s="1271"/>
      <c r="P89" s="1270"/>
      <c r="Q89" s="1271"/>
      <c r="R89" s="1270"/>
      <c r="S89" s="1271"/>
      <c r="T89" s="1270"/>
      <c r="U89" s="1271"/>
      <c r="V89" s="1270"/>
      <c r="W89" s="1271"/>
      <c r="X89" s="1270"/>
      <c r="Y89" s="1271"/>
      <c r="Z89" s="1270"/>
      <c r="AA89" s="1271"/>
      <c r="AB89" s="1270"/>
      <c r="AC89" s="1271"/>
      <c r="AD89" s="1270"/>
      <c r="AE89" s="1271"/>
      <c r="AF89" s="1264"/>
      <c r="AG89" s="1244"/>
    </row>
    <row r="90" spans="1:33" s="113" customFormat="1">
      <c r="A90" s="1263"/>
      <c r="B90" s="1263"/>
      <c r="C90" s="1261" t="s">
        <v>243</v>
      </c>
      <c r="D90" s="1263"/>
      <c r="E90" s="1263"/>
      <c r="F90" s="1263"/>
      <c r="G90" s="1269">
        <f>SUM(G77:G89)</f>
        <v>16394.21</v>
      </c>
      <c r="H90" s="1270"/>
      <c r="I90" s="1269">
        <f>SUM(I77:I89)</f>
        <v>9876.1200000000008</v>
      </c>
      <c r="J90" s="1270"/>
      <c r="K90" s="1269">
        <f>SUM(K77:K89)</f>
        <v>13409.060000000003</v>
      </c>
      <c r="L90" s="1270"/>
      <c r="M90" s="1269">
        <f>SUM(M77:M89)</f>
        <v>12741.42</v>
      </c>
      <c r="N90" s="1270"/>
      <c r="O90" s="1269">
        <f>SUM(O77:O89)</f>
        <v>17236.32</v>
      </c>
      <c r="P90" s="1270"/>
      <c r="Q90" s="1269">
        <f>SUM(Q77:Q89)</f>
        <v>18503.740000000002</v>
      </c>
      <c r="R90" s="1270"/>
      <c r="S90" s="1269">
        <f>SUM(S77:S89)</f>
        <v>13067.18</v>
      </c>
      <c r="T90" s="1270"/>
      <c r="U90" s="1269">
        <f>SUM(U77:U89)</f>
        <v>15488.890000000001</v>
      </c>
      <c r="V90" s="1270"/>
      <c r="W90" s="1269">
        <f>SUM(W77:W89)</f>
        <v>17396.520000000004</v>
      </c>
      <c r="X90" s="1270"/>
      <c r="Y90" s="1269">
        <f>SUM(Y77:Y89)</f>
        <v>17643.43</v>
      </c>
      <c r="Z90" s="1270"/>
      <c r="AA90" s="1269">
        <f>SUM(AA77:AA89)</f>
        <v>14920.4</v>
      </c>
      <c r="AB90" s="1270"/>
      <c r="AC90" s="1269">
        <f>SUM(AC77:AC89)</f>
        <v>14480.230000000001</v>
      </c>
      <c r="AD90" s="1270"/>
      <c r="AE90" s="1269">
        <f>SUM(AE77:AE89)</f>
        <v>181157.52</v>
      </c>
      <c r="AF90" s="1266">
        <f>IF(AE$45=0,0,AE90/AE$45)</f>
        <v>0.12949323775997304</v>
      </c>
      <c r="AG90" s="1244"/>
    </row>
    <row r="91" spans="1:33" s="113" customFormat="1" ht="8.25" customHeight="1" outlineLevel="1">
      <c r="A91" s="1263"/>
      <c r="B91" s="1263"/>
      <c r="C91" s="1263"/>
      <c r="D91" s="1263"/>
      <c r="E91" s="1263"/>
      <c r="F91" s="1263"/>
      <c r="G91" s="1270"/>
      <c r="H91" s="1270"/>
      <c r="I91" s="1270"/>
      <c r="J91" s="1270"/>
      <c r="K91" s="1270"/>
      <c r="L91" s="1270"/>
      <c r="M91" s="1270"/>
      <c r="N91" s="1270"/>
      <c r="O91" s="1270"/>
      <c r="P91" s="1270"/>
      <c r="Q91" s="1270"/>
      <c r="R91" s="1270"/>
      <c r="S91" s="1270"/>
      <c r="T91" s="1270"/>
      <c r="U91" s="1270"/>
      <c r="V91" s="1270"/>
      <c r="W91" s="1270"/>
      <c r="X91" s="1270"/>
      <c r="Y91" s="1270"/>
      <c r="Z91" s="1270"/>
      <c r="AA91" s="1270"/>
      <c r="AB91" s="1270"/>
      <c r="AC91" s="1270"/>
      <c r="AD91" s="1270"/>
      <c r="AE91" s="1270"/>
      <c r="AF91" s="1264"/>
      <c r="AG91" s="1244"/>
    </row>
    <row r="92" spans="1:33" outlineLevel="1">
      <c r="A92" s="1260">
        <v>51295</v>
      </c>
      <c r="B92" s="1260" t="s">
        <v>169</v>
      </c>
      <c r="C92" s="1261"/>
      <c r="D92" s="1262"/>
      <c r="E92" s="1263"/>
      <c r="F92" s="1264"/>
      <c r="G92" s="1265">
        <v>317.43</v>
      </c>
      <c r="H92" s="1264"/>
      <c r="I92" s="1265">
        <v>317.43</v>
      </c>
      <c r="J92" s="1264"/>
      <c r="K92" s="1265">
        <v>451.49</v>
      </c>
      <c r="L92" s="1264"/>
      <c r="M92" s="1265">
        <v>219.47</v>
      </c>
      <c r="N92" s="1264"/>
      <c r="O92" s="1265">
        <v>701.49</v>
      </c>
      <c r="P92" s="1264"/>
      <c r="Q92" s="1265">
        <v>619.04999999999995</v>
      </c>
      <c r="R92" s="1264"/>
      <c r="S92" s="1265">
        <v>619.55999999999995</v>
      </c>
      <c r="T92" s="1264"/>
      <c r="U92" s="1265">
        <v>417.98</v>
      </c>
      <c r="V92" s="1264"/>
      <c r="W92" s="1265">
        <v>417.98</v>
      </c>
      <c r="X92" s="1264"/>
      <c r="Y92" s="1265">
        <v>417.98</v>
      </c>
      <c r="Z92" s="1264"/>
      <c r="AA92" s="1265">
        <v>417.98</v>
      </c>
      <c r="AB92" s="1264"/>
      <c r="AC92" s="1265">
        <v>459.27</v>
      </c>
      <c r="AD92" s="1264"/>
      <c r="AE92" s="1265">
        <f>AC92+AA92+Y92+W92+U92+S92+Q92+O92+M92+K92+I92+G92</f>
        <v>5377.1100000000006</v>
      </c>
      <c r="AF92" s="1266">
        <f>IF(AE$45=0,0,AE92/AE$45)</f>
        <v>3.8436129159392812E-3</v>
      </c>
      <c r="AG92" s="1267"/>
    </row>
    <row r="93" spans="1:33" s="113" customFormat="1" ht="5.0999999999999996" customHeight="1" outlineLevel="1">
      <c r="A93" s="1261"/>
      <c r="B93" s="1261"/>
      <c r="C93" s="1261"/>
      <c r="D93" s="1261"/>
      <c r="E93" s="1263"/>
      <c r="F93" s="1263"/>
      <c r="G93" s="1271"/>
      <c r="H93" s="1270"/>
      <c r="I93" s="1271"/>
      <c r="J93" s="1270"/>
      <c r="K93" s="1271"/>
      <c r="L93" s="1270"/>
      <c r="M93" s="1271"/>
      <c r="N93" s="1270"/>
      <c r="O93" s="1271"/>
      <c r="P93" s="1270"/>
      <c r="Q93" s="1271"/>
      <c r="R93" s="1270"/>
      <c r="S93" s="1271"/>
      <c r="T93" s="1270"/>
      <c r="U93" s="1271"/>
      <c r="V93" s="1270"/>
      <c r="W93" s="1271"/>
      <c r="X93" s="1270"/>
      <c r="Y93" s="1271"/>
      <c r="Z93" s="1270"/>
      <c r="AA93" s="1271"/>
      <c r="AB93" s="1270"/>
      <c r="AC93" s="1271"/>
      <c r="AD93" s="1270"/>
      <c r="AE93" s="1271"/>
      <c r="AF93" s="1264"/>
      <c r="AG93" s="1244"/>
    </row>
    <row r="94" spans="1:33" s="113" customFormat="1">
      <c r="A94" s="1263"/>
      <c r="B94" s="1263"/>
      <c r="C94" s="1261" t="s">
        <v>245</v>
      </c>
      <c r="D94" s="1263"/>
      <c r="E94" s="1263"/>
      <c r="F94" s="1263"/>
      <c r="G94" s="1269">
        <f>SUM(G92:G93)</f>
        <v>317.43</v>
      </c>
      <c r="H94" s="1270"/>
      <c r="I94" s="1269">
        <f>SUM(I92:I93)</f>
        <v>317.43</v>
      </c>
      <c r="J94" s="1270"/>
      <c r="K94" s="1269">
        <f>SUM(K92:K93)</f>
        <v>451.49</v>
      </c>
      <c r="L94" s="1270"/>
      <c r="M94" s="1269">
        <f>SUM(M92:M93)</f>
        <v>219.47</v>
      </c>
      <c r="N94" s="1270"/>
      <c r="O94" s="1269">
        <f>SUM(O92:O93)</f>
        <v>701.49</v>
      </c>
      <c r="P94" s="1270"/>
      <c r="Q94" s="1269">
        <f>SUM(Q92:Q93)</f>
        <v>619.04999999999995</v>
      </c>
      <c r="R94" s="1270"/>
      <c r="S94" s="1269">
        <f>SUM(S92:S93)</f>
        <v>619.55999999999995</v>
      </c>
      <c r="T94" s="1270"/>
      <c r="U94" s="1269">
        <f>SUM(U92:U93)</f>
        <v>417.98</v>
      </c>
      <c r="V94" s="1270"/>
      <c r="W94" s="1269">
        <f>SUM(W92:W93)</f>
        <v>417.98</v>
      </c>
      <c r="X94" s="1270"/>
      <c r="Y94" s="1269">
        <f>SUM(Y92:Y93)</f>
        <v>417.98</v>
      </c>
      <c r="Z94" s="1270"/>
      <c r="AA94" s="1269">
        <f>SUM(AA92:AA93)</f>
        <v>417.98</v>
      </c>
      <c r="AB94" s="1270"/>
      <c r="AC94" s="1269">
        <f>SUM(AC92:AC93)</f>
        <v>459.27</v>
      </c>
      <c r="AD94" s="1270"/>
      <c r="AE94" s="1269">
        <f>SUM(AE92:AE93)</f>
        <v>5377.1100000000006</v>
      </c>
      <c r="AF94" s="1266">
        <f>IF(AE$45=0,0,AE94/AE$45)</f>
        <v>3.8436129159392812E-3</v>
      </c>
      <c r="AG94" s="1244"/>
    </row>
    <row r="95" spans="1:33" s="113" customFormat="1" ht="6" customHeight="1" outlineLevel="1">
      <c r="A95" s="1263"/>
      <c r="B95" s="1263"/>
      <c r="C95" s="1263"/>
      <c r="D95" s="1263"/>
      <c r="E95" s="1263"/>
      <c r="F95" s="1263"/>
      <c r="G95" s="1270"/>
      <c r="H95" s="1270"/>
      <c r="I95" s="1270"/>
      <c r="J95" s="1270"/>
      <c r="K95" s="1270"/>
      <c r="L95" s="1270"/>
      <c r="M95" s="1270"/>
      <c r="N95" s="1270"/>
      <c r="O95" s="1270"/>
      <c r="P95" s="1270"/>
      <c r="Q95" s="1270"/>
      <c r="R95" s="1270"/>
      <c r="S95" s="1270"/>
      <c r="T95" s="1270"/>
      <c r="U95" s="1270"/>
      <c r="V95" s="1270"/>
      <c r="W95" s="1270"/>
      <c r="X95" s="1270"/>
      <c r="Y95" s="1270"/>
      <c r="Z95" s="1270"/>
      <c r="AA95" s="1270"/>
      <c r="AB95" s="1270"/>
      <c r="AC95" s="1270"/>
      <c r="AD95" s="1270"/>
      <c r="AE95" s="1270"/>
      <c r="AF95" s="1264"/>
      <c r="AG95" s="1244"/>
    </row>
    <row r="96" spans="1:33" s="113" customFormat="1" ht="6" customHeight="1" outlineLevel="1">
      <c r="A96" s="1263"/>
      <c r="B96" s="1263"/>
      <c r="C96" s="1263"/>
      <c r="D96" s="1263"/>
      <c r="E96" s="1263"/>
      <c r="F96" s="1263"/>
      <c r="G96" s="1270"/>
      <c r="H96" s="1270"/>
      <c r="I96" s="1270"/>
      <c r="J96" s="1270"/>
      <c r="K96" s="1270"/>
      <c r="L96" s="1270"/>
      <c r="M96" s="1270"/>
      <c r="N96" s="1270"/>
      <c r="O96" s="1270"/>
      <c r="P96" s="1270"/>
      <c r="Q96" s="1270"/>
      <c r="R96" s="1270"/>
      <c r="S96" s="1270"/>
      <c r="T96" s="1270"/>
      <c r="U96" s="1270"/>
      <c r="V96" s="1270"/>
      <c r="W96" s="1270"/>
      <c r="X96" s="1270"/>
      <c r="Y96" s="1270"/>
      <c r="Z96" s="1270"/>
      <c r="AA96" s="1270"/>
      <c r="AB96" s="1270"/>
      <c r="AC96" s="1270"/>
      <c r="AD96" s="1270"/>
      <c r="AE96" s="1270"/>
      <c r="AF96" s="1264"/>
      <c r="AG96" s="1244"/>
    </row>
    <row r="97" spans="1:33" ht="15.75" customHeight="1" outlineLevel="1">
      <c r="A97" s="1260">
        <v>52020</v>
      </c>
      <c r="B97" s="1260" t="s">
        <v>34</v>
      </c>
      <c r="C97" s="1261"/>
      <c r="D97" s="1262"/>
      <c r="E97" s="1263"/>
      <c r="F97" s="1264"/>
      <c r="G97" s="1265">
        <v>2924.72</v>
      </c>
      <c r="H97" s="1264"/>
      <c r="I97" s="1265">
        <v>3284.4</v>
      </c>
      <c r="J97" s="1264"/>
      <c r="K97" s="1265">
        <v>2720.06</v>
      </c>
      <c r="L97" s="1264"/>
      <c r="M97" s="1265">
        <v>3616.37</v>
      </c>
      <c r="N97" s="1264"/>
      <c r="O97" s="1265">
        <v>3468.4</v>
      </c>
      <c r="P97" s="1264"/>
      <c r="Q97" s="1265">
        <v>3317.6</v>
      </c>
      <c r="R97" s="1264"/>
      <c r="S97" s="1265">
        <v>3967.2</v>
      </c>
      <c r="T97" s="1264"/>
      <c r="U97" s="1265">
        <v>3696</v>
      </c>
      <c r="V97" s="1264"/>
      <c r="W97" s="1265">
        <v>3696</v>
      </c>
      <c r="X97" s="1264"/>
      <c r="Y97" s="1265">
        <v>4127.24</v>
      </c>
      <c r="Z97" s="1264"/>
      <c r="AA97" s="1265">
        <v>3850.5</v>
      </c>
      <c r="AB97" s="1264"/>
      <c r="AC97" s="1265">
        <v>4478.87</v>
      </c>
      <c r="AD97" s="1264"/>
      <c r="AE97" s="1265">
        <f t="shared" ref="AE97:AE113" si="4">AC97+AA97+Y97+W97+U97+S97+Q97+O97+M97+K97+I97+G97</f>
        <v>43147.360000000001</v>
      </c>
      <c r="AF97" s="1266">
        <f t="shared" ref="AF97:AF113" si="5">IF(AE$45=0,0,AE97/AE$45)</f>
        <v>3.0842171758562107E-2</v>
      </c>
      <c r="AG97" s="1267"/>
    </row>
    <row r="98" spans="1:33" ht="15.75" customHeight="1" outlineLevel="1">
      <c r="A98" s="1260">
        <v>52025</v>
      </c>
      <c r="B98" s="1260" t="s">
        <v>35</v>
      </c>
      <c r="C98" s="1261"/>
      <c r="D98" s="1262"/>
      <c r="E98" s="1263"/>
      <c r="F98" s="1264"/>
      <c r="G98" s="1265">
        <v>2013.38</v>
      </c>
      <c r="H98" s="1264"/>
      <c r="I98" s="1265">
        <v>1568.14</v>
      </c>
      <c r="J98" s="1264"/>
      <c r="K98" s="1265">
        <v>433.35</v>
      </c>
      <c r="L98" s="1264"/>
      <c r="M98" s="1265">
        <v>1392.4</v>
      </c>
      <c r="N98" s="1264"/>
      <c r="O98" s="1265">
        <v>1174.57</v>
      </c>
      <c r="P98" s="1264"/>
      <c r="Q98" s="1265">
        <v>1338.09</v>
      </c>
      <c r="R98" s="1264"/>
      <c r="S98" s="1265">
        <v>2393.8200000000002</v>
      </c>
      <c r="T98" s="1264"/>
      <c r="U98" s="1265">
        <v>1213.32</v>
      </c>
      <c r="V98" s="1264"/>
      <c r="W98" s="1265">
        <v>1228.8599999999999</v>
      </c>
      <c r="X98" s="1264"/>
      <c r="Y98" s="1265">
        <v>477.59</v>
      </c>
      <c r="Z98" s="1264"/>
      <c r="AA98" s="1265">
        <v>983.48</v>
      </c>
      <c r="AB98" s="1264"/>
      <c r="AC98" s="1265">
        <v>1328.04</v>
      </c>
      <c r="AD98" s="1264"/>
      <c r="AE98" s="1265">
        <f t="shared" si="4"/>
        <v>15545.04</v>
      </c>
      <c r="AF98" s="1266">
        <f t="shared" si="5"/>
        <v>1.1111752692950816E-2</v>
      </c>
      <c r="AG98" s="1267"/>
    </row>
    <row r="99" spans="1:33" ht="15.75" customHeight="1" outlineLevel="1">
      <c r="A99" s="1260">
        <v>52035</v>
      </c>
      <c r="B99" s="1260" t="s">
        <v>36</v>
      </c>
      <c r="C99" s="1261"/>
      <c r="D99" s="1262"/>
      <c r="E99" s="1263"/>
      <c r="F99" s="1264"/>
      <c r="G99" s="1265">
        <v>120.94</v>
      </c>
      <c r="H99" s="1264"/>
      <c r="I99" s="1265">
        <v>120.94</v>
      </c>
      <c r="J99" s="1264"/>
      <c r="K99" s="1265">
        <v>395.31</v>
      </c>
      <c r="L99" s="1264"/>
      <c r="M99" s="1265">
        <v>25</v>
      </c>
      <c r="N99" s="1264"/>
      <c r="O99" s="1265">
        <v>25</v>
      </c>
      <c r="P99" s="1264"/>
      <c r="Q99" s="1265">
        <v>25</v>
      </c>
      <c r="R99" s="1264"/>
      <c r="S99" s="1265">
        <v>100</v>
      </c>
      <c r="T99" s="1264"/>
      <c r="U99" s="1265">
        <v>100</v>
      </c>
      <c r="V99" s="1264"/>
      <c r="W99" s="1265">
        <v>225.01</v>
      </c>
      <c r="X99" s="1264"/>
      <c r="Y99" s="1265">
        <v>119.51</v>
      </c>
      <c r="Z99" s="1264"/>
      <c r="AA99" s="1265">
        <v>127.74</v>
      </c>
      <c r="AB99" s="1264"/>
      <c r="AC99" s="1265">
        <v>127.75</v>
      </c>
      <c r="AD99" s="1264"/>
      <c r="AE99" s="1265">
        <f t="shared" si="4"/>
        <v>1512.2</v>
      </c>
      <c r="AF99" s="1266">
        <f t="shared" si="5"/>
        <v>1.080935939841919E-3</v>
      </c>
      <c r="AG99" s="1267"/>
    </row>
    <row r="100" spans="1:33" ht="15.75" customHeight="1" outlineLevel="1">
      <c r="A100" s="1260">
        <v>52036</v>
      </c>
      <c r="B100" s="1260" t="s">
        <v>37</v>
      </c>
      <c r="C100" s="1261"/>
      <c r="D100" s="1262"/>
      <c r="E100" s="1263"/>
      <c r="F100" s="1264"/>
      <c r="G100" s="1265">
        <v>0</v>
      </c>
      <c r="H100" s="1264"/>
      <c r="I100" s="1265">
        <v>0</v>
      </c>
      <c r="J100" s="1264"/>
      <c r="K100" s="1265">
        <v>0</v>
      </c>
      <c r="L100" s="1264"/>
      <c r="M100" s="1265">
        <v>0</v>
      </c>
      <c r="N100" s="1264"/>
      <c r="O100" s="1265">
        <v>0</v>
      </c>
      <c r="P100" s="1264"/>
      <c r="Q100" s="1265">
        <v>0</v>
      </c>
      <c r="R100" s="1264"/>
      <c r="S100" s="1265">
        <v>0</v>
      </c>
      <c r="T100" s="1264"/>
      <c r="U100" s="1265">
        <v>0</v>
      </c>
      <c r="V100" s="1264"/>
      <c r="W100" s="1265">
        <v>0</v>
      </c>
      <c r="X100" s="1264"/>
      <c r="Y100" s="1265">
        <v>0</v>
      </c>
      <c r="Z100" s="1264"/>
      <c r="AA100" s="1265">
        <v>0</v>
      </c>
      <c r="AB100" s="1264"/>
      <c r="AC100" s="1265">
        <v>0</v>
      </c>
      <c r="AD100" s="1264"/>
      <c r="AE100" s="1265">
        <f t="shared" si="4"/>
        <v>0</v>
      </c>
      <c r="AF100" s="1266">
        <f t="shared" si="5"/>
        <v>0</v>
      </c>
      <c r="AG100" s="1267"/>
    </row>
    <row r="101" spans="1:33" ht="15.75" customHeight="1" outlineLevel="1">
      <c r="A101" s="1260">
        <v>52050</v>
      </c>
      <c r="B101" s="1260" t="s">
        <v>171</v>
      </c>
      <c r="C101" s="1261"/>
      <c r="D101" s="1262"/>
      <c r="E101" s="1263"/>
      <c r="F101" s="1264"/>
      <c r="G101" s="1265">
        <v>385.42</v>
      </c>
      <c r="H101" s="1264"/>
      <c r="I101" s="1265">
        <v>398.98</v>
      </c>
      <c r="J101" s="1264"/>
      <c r="K101" s="1265">
        <v>285.39</v>
      </c>
      <c r="L101" s="1264"/>
      <c r="M101" s="1265">
        <v>402.15</v>
      </c>
      <c r="N101" s="1264"/>
      <c r="O101" s="1265">
        <v>381.44</v>
      </c>
      <c r="P101" s="1264"/>
      <c r="Q101" s="1265">
        <v>383.24</v>
      </c>
      <c r="R101" s="1264"/>
      <c r="S101" s="1265">
        <v>524.47</v>
      </c>
      <c r="T101" s="1264"/>
      <c r="U101" s="1265">
        <v>419.79</v>
      </c>
      <c r="V101" s="1264"/>
      <c r="W101" s="1265">
        <v>367.29</v>
      </c>
      <c r="X101" s="1264"/>
      <c r="Y101" s="1265">
        <v>342.83</v>
      </c>
      <c r="Z101" s="1264"/>
      <c r="AA101" s="1265">
        <v>525.35</v>
      </c>
      <c r="AB101" s="1264"/>
      <c r="AC101" s="1265">
        <v>505.92</v>
      </c>
      <c r="AD101" s="1264"/>
      <c r="AE101" s="1265">
        <f t="shared" si="4"/>
        <v>4922.2700000000004</v>
      </c>
      <c r="AF101" s="1266">
        <f t="shared" si="5"/>
        <v>3.5184886579855065E-3</v>
      </c>
      <c r="AG101" s="1267"/>
    </row>
    <row r="102" spans="1:33" ht="15.75" customHeight="1" outlineLevel="1">
      <c r="A102" s="1260">
        <v>52060</v>
      </c>
      <c r="B102" s="1260" t="s">
        <v>124</v>
      </c>
      <c r="C102" s="1261"/>
      <c r="D102" s="1262"/>
      <c r="E102" s="1263"/>
      <c r="F102" s="1264"/>
      <c r="G102" s="1265">
        <v>866.16</v>
      </c>
      <c r="H102" s="1264"/>
      <c r="I102" s="1265">
        <v>866.16</v>
      </c>
      <c r="J102" s="1264"/>
      <c r="K102" s="1265">
        <v>870.92</v>
      </c>
      <c r="L102" s="1264"/>
      <c r="M102" s="1265">
        <v>806.38</v>
      </c>
      <c r="N102" s="1264"/>
      <c r="O102" s="1265">
        <v>864.72</v>
      </c>
      <c r="P102" s="1264"/>
      <c r="Q102" s="1265">
        <v>873.08</v>
      </c>
      <c r="R102" s="1264"/>
      <c r="S102" s="1265">
        <v>874.58</v>
      </c>
      <c r="T102" s="1264"/>
      <c r="U102" s="1265">
        <v>874.58</v>
      </c>
      <c r="V102" s="1264"/>
      <c r="W102" s="1265">
        <v>811.87</v>
      </c>
      <c r="X102" s="1264"/>
      <c r="Y102" s="1265">
        <v>876.02</v>
      </c>
      <c r="Z102" s="1264"/>
      <c r="AA102" s="1265">
        <v>876.02</v>
      </c>
      <c r="AB102" s="1264"/>
      <c r="AC102" s="1265">
        <v>1026.02</v>
      </c>
      <c r="AD102" s="1264"/>
      <c r="AE102" s="1265">
        <f t="shared" si="4"/>
        <v>10486.51</v>
      </c>
      <c r="AF102" s="1266">
        <f t="shared" si="5"/>
        <v>7.4958640011319145E-3</v>
      </c>
      <c r="AG102" s="1267"/>
    </row>
    <row r="103" spans="1:33" ht="15.75" customHeight="1" outlineLevel="1">
      <c r="A103" s="1260">
        <v>52065</v>
      </c>
      <c r="B103" s="1260" t="s">
        <v>31</v>
      </c>
      <c r="C103" s="1261"/>
      <c r="D103" s="1262"/>
      <c r="E103" s="1263"/>
      <c r="F103" s="1264"/>
      <c r="G103" s="1265">
        <v>-51.42</v>
      </c>
      <c r="H103" s="1264"/>
      <c r="I103" s="1265">
        <v>130.47</v>
      </c>
      <c r="J103" s="1264"/>
      <c r="K103" s="1265">
        <v>126.44</v>
      </c>
      <c r="L103" s="1264"/>
      <c r="M103" s="1265">
        <v>127.96</v>
      </c>
      <c r="N103" s="1264"/>
      <c r="O103" s="1265">
        <v>230.92</v>
      </c>
      <c r="P103" s="1264"/>
      <c r="Q103" s="1265">
        <v>378.16</v>
      </c>
      <c r="R103" s="1264"/>
      <c r="S103" s="1265">
        <v>153.6</v>
      </c>
      <c r="T103" s="1264"/>
      <c r="U103" s="1265">
        <v>148.65</v>
      </c>
      <c r="V103" s="1264"/>
      <c r="W103" s="1265">
        <v>153.6</v>
      </c>
      <c r="X103" s="1264"/>
      <c r="Y103" s="1265">
        <v>148.65</v>
      </c>
      <c r="Z103" s="1264"/>
      <c r="AA103" s="1265">
        <v>153.6</v>
      </c>
      <c r="AB103" s="1264"/>
      <c r="AC103" s="1265">
        <v>153.6</v>
      </c>
      <c r="AD103" s="1264"/>
      <c r="AE103" s="1265">
        <f t="shared" si="4"/>
        <v>1854.2300000000002</v>
      </c>
      <c r="AF103" s="1266">
        <f t="shared" si="5"/>
        <v>1.3254224624607072E-3</v>
      </c>
      <c r="AG103" s="1267"/>
    </row>
    <row r="104" spans="1:33" ht="15.75" customHeight="1" outlineLevel="1">
      <c r="A104" s="1260">
        <v>52070</v>
      </c>
      <c r="B104" s="1260" t="s">
        <v>32</v>
      </c>
      <c r="C104" s="1261"/>
      <c r="D104" s="1262"/>
      <c r="E104" s="1263"/>
      <c r="F104" s="1264"/>
      <c r="G104" s="1265">
        <v>0</v>
      </c>
      <c r="H104" s="1264"/>
      <c r="I104" s="1265">
        <v>0</v>
      </c>
      <c r="J104" s="1264"/>
      <c r="K104" s="1265">
        <v>301.60000000000002</v>
      </c>
      <c r="L104" s="1264"/>
      <c r="M104" s="1265">
        <v>-150.80000000000001</v>
      </c>
      <c r="N104" s="1264"/>
      <c r="O104" s="1265">
        <v>0</v>
      </c>
      <c r="P104" s="1264"/>
      <c r="Q104" s="1265">
        <v>0</v>
      </c>
      <c r="R104" s="1264"/>
      <c r="S104" s="1265">
        <v>0</v>
      </c>
      <c r="T104" s="1264"/>
      <c r="U104" s="1265">
        <v>0</v>
      </c>
      <c r="V104" s="1264"/>
      <c r="W104" s="1265">
        <v>0</v>
      </c>
      <c r="X104" s="1264"/>
      <c r="Y104" s="1265">
        <v>0</v>
      </c>
      <c r="Z104" s="1264"/>
      <c r="AA104" s="1265">
        <v>0</v>
      </c>
      <c r="AB104" s="1264"/>
      <c r="AC104" s="1265">
        <v>0</v>
      </c>
      <c r="AD104" s="1264"/>
      <c r="AE104" s="1265">
        <f t="shared" si="4"/>
        <v>150.80000000000001</v>
      </c>
      <c r="AF104" s="1266">
        <f t="shared" si="5"/>
        <v>1.0779337371257861E-4</v>
      </c>
      <c r="AG104" s="1267"/>
    </row>
    <row r="105" spans="1:33" ht="15.75" customHeight="1" outlineLevel="1">
      <c r="A105" s="1260">
        <v>52120</v>
      </c>
      <c r="B105" s="1260" t="s">
        <v>247</v>
      </c>
      <c r="C105" s="1261"/>
      <c r="D105" s="1262"/>
      <c r="E105" s="1263"/>
      <c r="F105" s="1264"/>
      <c r="G105" s="1265">
        <v>992.27</v>
      </c>
      <c r="H105" s="1264"/>
      <c r="I105" s="1265">
        <v>1033.47</v>
      </c>
      <c r="J105" s="1264"/>
      <c r="K105" s="1265">
        <v>780.29</v>
      </c>
      <c r="L105" s="1264"/>
      <c r="M105" s="1265">
        <v>1952.84</v>
      </c>
      <c r="N105" s="1264"/>
      <c r="O105" s="1265">
        <v>65.86</v>
      </c>
      <c r="P105" s="1264"/>
      <c r="Q105" s="1265">
        <v>956.3</v>
      </c>
      <c r="R105" s="1264"/>
      <c r="S105" s="1265">
        <v>215.16</v>
      </c>
      <c r="T105" s="1264"/>
      <c r="U105" s="1265">
        <v>813.53</v>
      </c>
      <c r="V105" s="1264"/>
      <c r="W105" s="1265">
        <v>2579.5</v>
      </c>
      <c r="X105" s="1264"/>
      <c r="Y105" s="1265">
        <v>585.39</v>
      </c>
      <c r="Z105" s="1264"/>
      <c r="AA105" s="1265">
        <v>260.04000000000002</v>
      </c>
      <c r="AB105" s="1264"/>
      <c r="AC105" s="1265">
        <v>0</v>
      </c>
      <c r="AD105" s="1264"/>
      <c r="AE105" s="1265">
        <f t="shared" si="4"/>
        <v>10234.65</v>
      </c>
      <c r="AF105" s="1266">
        <f t="shared" si="5"/>
        <v>7.3158319115878157E-3</v>
      </c>
      <c r="AG105" s="1267"/>
    </row>
    <row r="106" spans="1:33" ht="15.75" customHeight="1" outlineLevel="1">
      <c r="A106" s="1260">
        <v>52125</v>
      </c>
      <c r="B106" s="1260" t="s">
        <v>40</v>
      </c>
      <c r="C106" s="1261"/>
      <c r="D106" s="1262"/>
      <c r="E106" s="1263"/>
      <c r="F106" s="1264"/>
      <c r="G106" s="1265">
        <v>1718.23</v>
      </c>
      <c r="H106" s="1264"/>
      <c r="I106" s="1265">
        <v>251.4</v>
      </c>
      <c r="J106" s="1264"/>
      <c r="K106" s="1265">
        <v>177.48</v>
      </c>
      <c r="L106" s="1264"/>
      <c r="M106" s="1265">
        <v>-82.13</v>
      </c>
      <c r="N106" s="1264"/>
      <c r="O106" s="1265">
        <v>145.94999999999999</v>
      </c>
      <c r="P106" s="1264"/>
      <c r="Q106" s="1265">
        <v>0</v>
      </c>
      <c r="R106" s="1264"/>
      <c r="S106" s="1265">
        <v>266.95999999999998</v>
      </c>
      <c r="T106" s="1264"/>
      <c r="U106" s="1265">
        <v>5.46</v>
      </c>
      <c r="V106" s="1264"/>
      <c r="W106" s="1265">
        <v>344.42</v>
      </c>
      <c r="X106" s="1264"/>
      <c r="Y106" s="1265">
        <v>0</v>
      </c>
      <c r="Z106" s="1264"/>
      <c r="AA106" s="1265">
        <v>0</v>
      </c>
      <c r="AB106" s="1264"/>
      <c r="AC106" s="1265">
        <v>0</v>
      </c>
      <c r="AD106" s="1264"/>
      <c r="AE106" s="1265">
        <f t="shared" si="4"/>
        <v>2827.77</v>
      </c>
      <c r="AF106" s="1266">
        <f t="shared" si="5"/>
        <v>2.021318755856886E-3</v>
      </c>
      <c r="AG106" s="1267"/>
    </row>
    <row r="107" spans="1:33" ht="15.75" customHeight="1" outlineLevel="1">
      <c r="A107" s="1260">
        <v>52135</v>
      </c>
      <c r="B107" s="1260" t="s">
        <v>56</v>
      </c>
      <c r="C107" s="1261"/>
      <c r="D107" s="1262"/>
      <c r="E107" s="1263"/>
      <c r="F107" s="1264"/>
      <c r="G107" s="1265">
        <v>217</v>
      </c>
      <c r="H107" s="1264"/>
      <c r="I107" s="1265">
        <v>185</v>
      </c>
      <c r="J107" s="1264"/>
      <c r="K107" s="1265">
        <v>259.5</v>
      </c>
      <c r="L107" s="1264"/>
      <c r="M107" s="1265">
        <v>224</v>
      </c>
      <c r="N107" s="1264"/>
      <c r="O107" s="1265">
        <v>224.5</v>
      </c>
      <c r="P107" s="1264"/>
      <c r="Q107" s="1265">
        <v>224.5</v>
      </c>
      <c r="R107" s="1264"/>
      <c r="S107" s="1265">
        <v>0</v>
      </c>
      <c r="T107" s="1264"/>
      <c r="U107" s="1265">
        <v>189</v>
      </c>
      <c r="V107" s="1264"/>
      <c r="W107" s="1265">
        <v>446.5</v>
      </c>
      <c r="X107" s="1264"/>
      <c r="Y107" s="1265">
        <v>224</v>
      </c>
      <c r="Z107" s="1264"/>
      <c r="AA107" s="1265">
        <v>259</v>
      </c>
      <c r="AB107" s="1264"/>
      <c r="AC107" s="1265">
        <v>424</v>
      </c>
      <c r="AD107" s="1264"/>
      <c r="AE107" s="1265">
        <f t="shared" si="4"/>
        <v>2877</v>
      </c>
      <c r="AF107" s="1266">
        <f t="shared" si="5"/>
        <v>2.0565088605509858E-3</v>
      </c>
      <c r="AG107" s="1267"/>
    </row>
    <row r="108" spans="1:33" ht="15.75" customHeight="1" outlineLevel="1">
      <c r="A108" s="1260">
        <v>52140</v>
      </c>
      <c r="B108" s="1260" t="s">
        <v>248</v>
      </c>
      <c r="C108" s="1261"/>
      <c r="D108" s="1262"/>
      <c r="E108" s="1263"/>
      <c r="F108" s="1264"/>
      <c r="G108" s="1265">
        <v>1442.76</v>
      </c>
      <c r="H108" s="1264"/>
      <c r="I108" s="1265">
        <v>216.79</v>
      </c>
      <c r="J108" s="1264"/>
      <c r="K108" s="1265">
        <v>2675.24</v>
      </c>
      <c r="L108" s="1264"/>
      <c r="M108" s="1265">
        <v>2038.09</v>
      </c>
      <c r="N108" s="1264"/>
      <c r="O108" s="1265">
        <v>698.14</v>
      </c>
      <c r="P108" s="1264"/>
      <c r="Q108" s="1265">
        <v>3508.18</v>
      </c>
      <c r="R108" s="1264"/>
      <c r="S108" s="1265">
        <v>3153.86</v>
      </c>
      <c r="T108" s="1264"/>
      <c r="U108" s="1265">
        <v>3370.88</v>
      </c>
      <c r="V108" s="1264"/>
      <c r="W108" s="1265">
        <v>2315.17</v>
      </c>
      <c r="X108" s="1264"/>
      <c r="Y108" s="1265">
        <v>0</v>
      </c>
      <c r="Z108" s="1264"/>
      <c r="AA108" s="1265">
        <v>72.16</v>
      </c>
      <c r="AB108" s="1264"/>
      <c r="AC108" s="1265">
        <v>0</v>
      </c>
      <c r="AD108" s="1264"/>
      <c r="AE108" s="1265">
        <f t="shared" si="4"/>
        <v>19491.27</v>
      </c>
      <c r="AF108" s="1266">
        <f t="shared" si="5"/>
        <v>1.3932558032113873E-2</v>
      </c>
      <c r="AG108" s="1267"/>
    </row>
    <row r="109" spans="1:33" ht="15.75" customHeight="1" outlineLevel="1">
      <c r="A109" s="1260">
        <v>52142</v>
      </c>
      <c r="B109" s="1260" t="s">
        <v>67</v>
      </c>
      <c r="C109" s="1261"/>
      <c r="D109" s="1262"/>
      <c r="E109" s="1263"/>
      <c r="F109" s="1264"/>
      <c r="G109" s="1265">
        <v>4469.63</v>
      </c>
      <c r="H109" s="1264"/>
      <c r="I109" s="1265">
        <v>5600</v>
      </c>
      <c r="J109" s="1264"/>
      <c r="K109" s="1265">
        <v>1019.29</v>
      </c>
      <c r="L109" s="1264"/>
      <c r="M109" s="1265">
        <v>8568.4</v>
      </c>
      <c r="N109" s="1264"/>
      <c r="O109" s="1265">
        <v>4805.68</v>
      </c>
      <c r="P109" s="1264"/>
      <c r="Q109" s="1265">
        <v>464.55</v>
      </c>
      <c r="R109" s="1264"/>
      <c r="S109" s="1265">
        <v>4043.89</v>
      </c>
      <c r="T109" s="1264"/>
      <c r="U109" s="1265">
        <v>4261</v>
      </c>
      <c r="V109" s="1264"/>
      <c r="W109" s="1265">
        <v>4827.0600000000004</v>
      </c>
      <c r="X109" s="1264"/>
      <c r="Y109" s="1265">
        <v>4735.79</v>
      </c>
      <c r="Z109" s="1264"/>
      <c r="AA109" s="1265">
        <v>4083.02</v>
      </c>
      <c r="AB109" s="1264"/>
      <c r="AC109" s="1265">
        <v>6277.95</v>
      </c>
      <c r="AD109" s="1264"/>
      <c r="AE109" s="1265">
        <f t="shared" si="4"/>
        <v>53156.26</v>
      </c>
      <c r="AF109" s="1266">
        <f t="shared" si="5"/>
        <v>3.7996635274157788E-2</v>
      </c>
      <c r="AG109" s="1267"/>
    </row>
    <row r="110" spans="1:33" ht="15.75" customHeight="1" outlineLevel="1">
      <c r="A110" s="1260">
        <v>52146</v>
      </c>
      <c r="B110" s="1260" t="s">
        <v>68</v>
      </c>
      <c r="C110" s="1261"/>
      <c r="D110" s="1262"/>
      <c r="E110" s="1263"/>
      <c r="F110" s="1264"/>
      <c r="G110" s="1265">
        <v>145.27000000000001</v>
      </c>
      <c r="H110" s="1264"/>
      <c r="I110" s="1265">
        <v>305.88</v>
      </c>
      <c r="J110" s="1264"/>
      <c r="K110" s="1265">
        <v>155.88</v>
      </c>
      <c r="L110" s="1264"/>
      <c r="M110" s="1265">
        <v>218.47</v>
      </c>
      <c r="N110" s="1264"/>
      <c r="O110" s="1265">
        <v>54.89</v>
      </c>
      <c r="P110" s="1264"/>
      <c r="Q110" s="1265">
        <v>451.12</v>
      </c>
      <c r="R110" s="1264"/>
      <c r="S110" s="1265">
        <v>243.46</v>
      </c>
      <c r="T110" s="1264"/>
      <c r="U110" s="1265">
        <v>114.64</v>
      </c>
      <c r="V110" s="1264"/>
      <c r="W110" s="1265">
        <v>281.33</v>
      </c>
      <c r="X110" s="1264"/>
      <c r="Y110" s="1265">
        <v>223.1</v>
      </c>
      <c r="Z110" s="1264"/>
      <c r="AA110" s="1265">
        <v>0</v>
      </c>
      <c r="AB110" s="1264"/>
      <c r="AC110" s="1265">
        <v>405.1</v>
      </c>
      <c r="AD110" s="1264"/>
      <c r="AE110" s="1265">
        <f t="shared" si="4"/>
        <v>2599.1400000000003</v>
      </c>
      <c r="AF110" s="1266">
        <f t="shared" si="5"/>
        <v>1.8578917065736843E-3</v>
      </c>
      <c r="AG110" s="1267"/>
    </row>
    <row r="111" spans="1:33" ht="15.75" customHeight="1" outlineLevel="1">
      <c r="A111" s="1260">
        <v>52147</v>
      </c>
      <c r="B111" s="1260" t="s">
        <v>57</v>
      </c>
      <c r="C111" s="1261"/>
      <c r="D111" s="1262"/>
      <c r="E111" s="1263"/>
      <c r="F111" s="1264"/>
      <c r="G111" s="1265">
        <v>0</v>
      </c>
      <c r="H111" s="1264"/>
      <c r="I111" s="1265">
        <v>0</v>
      </c>
      <c r="J111" s="1264"/>
      <c r="K111" s="1265">
        <v>0</v>
      </c>
      <c r="L111" s="1264"/>
      <c r="M111" s="1265">
        <v>115.51</v>
      </c>
      <c r="N111" s="1264"/>
      <c r="O111" s="1265">
        <v>0</v>
      </c>
      <c r="P111" s="1264"/>
      <c r="Q111" s="1265">
        <v>4757.5200000000004</v>
      </c>
      <c r="R111" s="1264"/>
      <c r="S111" s="1265">
        <v>1659.49</v>
      </c>
      <c r="T111" s="1264"/>
      <c r="U111" s="1265">
        <v>1178.6300000000001</v>
      </c>
      <c r="V111" s="1264"/>
      <c r="W111" s="1265">
        <v>291.39999999999998</v>
      </c>
      <c r="X111" s="1264"/>
      <c r="Y111" s="1265">
        <v>0</v>
      </c>
      <c r="Z111" s="1264"/>
      <c r="AA111" s="1265">
        <v>6032.28</v>
      </c>
      <c r="AB111" s="1264"/>
      <c r="AC111" s="1265">
        <v>829.1</v>
      </c>
      <c r="AD111" s="1264"/>
      <c r="AE111" s="1265">
        <f t="shared" si="4"/>
        <v>14863.93</v>
      </c>
      <c r="AF111" s="1266">
        <f t="shared" si="5"/>
        <v>1.0624888337716238E-2</v>
      </c>
      <c r="AG111" s="1267"/>
    </row>
    <row r="112" spans="1:33" ht="15.75" customHeight="1" outlineLevel="1">
      <c r="A112" s="1260">
        <v>52182</v>
      </c>
      <c r="B112" s="1260" t="s">
        <v>249</v>
      </c>
      <c r="C112" s="1261"/>
      <c r="D112" s="1262"/>
      <c r="E112" s="1263"/>
      <c r="F112" s="1264"/>
      <c r="G112" s="1265">
        <v>0</v>
      </c>
      <c r="H112" s="1264"/>
      <c r="I112" s="1265">
        <v>501.27</v>
      </c>
      <c r="J112" s="1264"/>
      <c r="K112" s="1265">
        <v>0</v>
      </c>
      <c r="L112" s="1264"/>
      <c r="M112" s="1265">
        <v>0</v>
      </c>
      <c r="N112" s="1264"/>
      <c r="O112" s="1265">
        <v>0</v>
      </c>
      <c r="P112" s="1264"/>
      <c r="Q112" s="1265">
        <v>865.03</v>
      </c>
      <c r="R112" s="1264"/>
      <c r="S112" s="1265">
        <v>1599.98</v>
      </c>
      <c r="T112" s="1264"/>
      <c r="U112" s="1265">
        <v>0</v>
      </c>
      <c r="V112" s="1264"/>
      <c r="W112" s="1265">
        <v>542</v>
      </c>
      <c r="X112" s="1264"/>
      <c r="Y112" s="1265">
        <v>0</v>
      </c>
      <c r="Z112" s="1264"/>
      <c r="AA112" s="1265">
        <v>0</v>
      </c>
      <c r="AB112" s="1264"/>
      <c r="AC112" s="1265">
        <v>0</v>
      </c>
      <c r="AD112" s="1264"/>
      <c r="AE112" s="1265">
        <f t="shared" si="4"/>
        <v>3508.28</v>
      </c>
      <c r="AF112" s="1266">
        <f t="shared" si="5"/>
        <v>2.5077542249891597E-3</v>
      </c>
      <c r="AG112" s="1267"/>
    </row>
    <row r="113" spans="1:33" ht="15.75" customHeight="1" outlineLevel="1">
      <c r="A113" s="1260">
        <v>52901</v>
      </c>
      <c r="B113" s="1260" t="s">
        <v>54</v>
      </c>
      <c r="C113" s="1261"/>
      <c r="D113" s="1262"/>
      <c r="E113" s="1263"/>
      <c r="F113" s="1264"/>
      <c r="G113" s="1265">
        <v>0</v>
      </c>
      <c r="H113" s="1264"/>
      <c r="I113" s="1265">
        <v>0</v>
      </c>
      <c r="J113" s="1264"/>
      <c r="K113" s="1265">
        <v>0</v>
      </c>
      <c r="L113" s="1264"/>
      <c r="M113" s="1265">
        <v>0</v>
      </c>
      <c r="N113" s="1264"/>
      <c r="O113" s="1265">
        <v>0</v>
      </c>
      <c r="P113" s="1264"/>
      <c r="Q113" s="1265">
        <v>0</v>
      </c>
      <c r="R113" s="1264"/>
      <c r="S113" s="1265">
        <v>0</v>
      </c>
      <c r="T113" s="1264"/>
      <c r="U113" s="1265">
        <v>0</v>
      </c>
      <c r="V113" s="1264"/>
      <c r="W113" s="1265">
        <v>0</v>
      </c>
      <c r="X113" s="1264"/>
      <c r="Y113" s="1265">
        <v>0</v>
      </c>
      <c r="Z113" s="1264"/>
      <c r="AA113" s="1265">
        <v>0</v>
      </c>
      <c r="AB113" s="1264"/>
      <c r="AC113" s="1265">
        <v>0</v>
      </c>
      <c r="AD113" s="1264"/>
      <c r="AE113" s="1265">
        <f t="shared" si="4"/>
        <v>0</v>
      </c>
      <c r="AF113" s="1266">
        <f t="shared" si="5"/>
        <v>0</v>
      </c>
      <c r="AG113" s="1267"/>
    </row>
    <row r="114" spans="1:33" s="113" customFormat="1" ht="5.0999999999999996" customHeight="1" outlineLevel="1">
      <c r="A114" s="1261"/>
      <c r="B114" s="1261"/>
      <c r="C114" s="1261"/>
      <c r="D114" s="1261"/>
      <c r="E114" s="1263"/>
      <c r="F114" s="1263"/>
      <c r="G114" s="1271"/>
      <c r="H114" s="1270"/>
      <c r="I114" s="1271"/>
      <c r="J114" s="1270"/>
      <c r="K114" s="1271"/>
      <c r="L114" s="1270"/>
      <c r="M114" s="1271"/>
      <c r="N114" s="1270"/>
      <c r="O114" s="1271"/>
      <c r="P114" s="1270"/>
      <c r="Q114" s="1271"/>
      <c r="R114" s="1270"/>
      <c r="S114" s="1271"/>
      <c r="T114" s="1270"/>
      <c r="U114" s="1271"/>
      <c r="V114" s="1270"/>
      <c r="W114" s="1271"/>
      <c r="X114" s="1270"/>
      <c r="Y114" s="1271"/>
      <c r="Z114" s="1270"/>
      <c r="AA114" s="1271"/>
      <c r="AB114" s="1270"/>
      <c r="AC114" s="1271"/>
      <c r="AD114" s="1270"/>
      <c r="AE114" s="1271"/>
      <c r="AF114" s="1264"/>
      <c r="AG114" s="1244"/>
    </row>
    <row r="115" spans="1:33" s="113" customFormat="1">
      <c r="A115" s="1263"/>
      <c r="B115" s="1263"/>
      <c r="C115" s="1261" t="s">
        <v>250</v>
      </c>
      <c r="D115" s="1263"/>
      <c r="E115" s="1263"/>
      <c r="F115" s="1263"/>
      <c r="G115" s="1269">
        <f>SUM(G96:G114)</f>
        <v>15244.36</v>
      </c>
      <c r="H115" s="1270"/>
      <c r="I115" s="1269">
        <f>SUM(I96:I114)</f>
        <v>14462.9</v>
      </c>
      <c r="J115" s="1270"/>
      <c r="K115" s="1269">
        <f>SUM(K96:K114)</f>
        <v>10200.749999999998</v>
      </c>
      <c r="L115" s="1270"/>
      <c r="M115" s="1269">
        <f>SUM(M96:M114)</f>
        <v>19254.64</v>
      </c>
      <c r="N115" s="1270"/>
      <c r="O115" s="1269">
        <f>SUM(O96:O114)</f>
        <v>12140.07</v>
      </c>
      <c r="P115" s="1270"/>
      <c r="Q115" s="1269">
        <f>SUM(Q96:Q114)</f>
        <v>17542.37</v>
      </c>
      <c r="R115" s="1270"/>
      <c r="S115" s="1269">
        <f>SUM(S96:S114)</f>
        <v>19196.47</v>
      </c>
      <c r="T115" s="1270"/>
      <c r="U115" s="1269">
        <f>SUM(U96:U114)</f>
        <v>16385.48</v>
      </c>
      <c r="V115" s="1270"/>
      <c r="W115" s="1269">
        <f>SUM(W96:W114)</f>
        <v>18110.010000000006</v>
      </c>
      <c r="X115" s="1270"/>
      <c r="Y115" s="1269">
        <f>SUM(Y96:Y114)</f>
        <v>11860.12</v>
      </c>
      <c r="Z115" s="1270"/>
      <c r="AA115" s="1269">
        <f>SUM(AA96:AA114)</f>
        <v>17223.189999999999</v>
      </c>
      <c r="AB115" s="1270"/>
      <c r="AC115" s="1269">
        <f>SUM(AC96:AC114)</f>
        <v>15556.350000000002</v>
      </c>
      <c r="AD115" s="1270"/>
      <c r="AE115" s="1269">
        <f>SUM(AE96:AE114)</f>
        <v>187176.71</v>
      </c>
      <c r="AF115" s="1266">
        <f>IF(AE$45=0,0,AE115/AE$45)</f>
        <v>0.13379581599019197</v>
      </c>
      <c r="AG115" s="1244"/>
    </row>
    <row r="116" spans="1:33" s="113" customFormat="1" ht="9.75" hidden="1" customHeight="1" outlineLevel="1">
      <c r="A116" s="1263"/>
      <c r="B116" s="1263"/>
      <c r="C116" s="1263"/>
      <c r="D116" s="1263"/>
      <c r="E116" s="1263"/>
      <c r="F116" s="1263"/>
      <c r="G116" s="1270"/>
      <c r="H116" s="1270"/>
      <c r="I116" s="1270"/>
      <c r="J116" s="1270"/>
      <c r="K116" s="1270"/>
      <c r="L116" s="1270"/>
      <c r="M116" s="1270"/>
      <c r="N116" s="1270"/>
      <c r="O116" s="1270"/>
      <c r="P116" s="1270"/>
      <c r="Q116" s="1270"/>
      <c r="R116" s="1270"/>
      <c r="S116" s="1270"/>
      <c r="T116" s="1270"/>
      <c r="U116" s="1270"/>
      <c r="V116" s="1270"/>
      <c r="W116" s="1270"/>
      <c r="X116" s="1270"/>
      <c r="Y116" s="1270"/>
      <c r="Z116" s="1270"/>
      <c r="AA116" s="1270"/>
      <c r="AB116" s="1270"/>
      <c r="AC116" s="1270"/>
      <c r="AD116" s="1270"/>
      <c r="AE116" s="1270"/>
      <c r="AF116" s="1264"/>
      <c r="AG116" s="1244"/>
    </row>
    <row r="117" spans="1:33" s="113" customFormat="1" ht="9.75" hidden="1" customHeight="1" outlineLevel="1">
      <c r="A117" s="1263"/>
      <c r="B117" s="1263"/>
      <c r="C117" s="1263"/>
      <c r="D117" s="1263"/>
      <c r="E117" s="1263"/>
      <c r="F117" s="1263"/>
      <c r="G117" s="1270"/>
      <c r="H117" s="1270"/>
      <c r="I117" s="1270"/>
      <c r="J117" s="1270"/>
      <c r="K117" s="1270"/>
      <c r="L117" s="1270"/>
      <c r="M117" s="1270"/>
      <c r="N117" s="1270"/>
      <c r="O117" s="1270"/>
      <c r="P117" s="1270"/>
      <c r="Q117" s="1270"/>
      <c r="R117" s="1270"/>
      <c r="S117" s="1270"/>
      <c r="T117" s="1270"/>
      <c r="U117" s="1270"/>
      <c r="V117" s="1270"/>
      <c r="W117" s="1270"/>
      <c r="X117" s="1270"/>
      <c r="Y117" s="1270"/>
      <c r="Z117" s="1270"/>
      <c r="AA117" s="1270"/>
      <c r="AB117" s="1270"/>
      <c r="AC117" s="1270"/>
      <c r="AD117" s="1270"/>
      <c r="AE117" s="1270"/>
      <c r="AF117" s="1264"/>
      <c r="AG117" s="1244"/>
    </row>
    <row r="118" spans="1:33" hidden="1" outlineLevel="1">
      <c r="A118" s="1260"/>
      <c r="B118" s="1260"/>
      <c r="C118" s="1261"/>
      <c r="D118" s="1262"/>
      <c r="E118" s="1263"/>
      <c r="F118" s="1264"/>
      <c r="G118" s="1265"/>
      <c r="H118" s="1264"/>
      <c r="I118" s="1265"/>
      <c r="J118" s="1264"/>
      <c r="K118" s="1265"/>
      <c r="L118" s="1264"/>
      <c r="M118" s="1265"/>
      <c r="N118" s="1264"/>
      <c r="O118" s="1265"/>
      <c r="P118" s="1264"/>
      <c r="Q118" s="1265"/>
      <c r="R118" s="1264"/>
      <c r="S118" s="1265"/>
      <c r="T118" s="1264"/>
      <c r="U118" s="1265"/>
      <c r="V118" s="1264"/>
      <c r="W118" s="1265"/>
      <c r="X118" s="1264"/>
      <c r="Y118" s="1265"/>
      <c r="Z118" s="1264"/>
      <c r="AA118" s="1265"/>
      <c r="AB118" s="1264"/>
      <c r="AC118" s="1265"/>
      <c r="AD118" s="1264"/>
      <c r="AE118" s="1265">
        <f>AC118+AA118+Y118+W118+U118+S118+Q118+O118+M118+K118+I118+G118</f>
        <v>0</v>
      </c>
      <c r="AF118" s="1266">
        <f>IF(AE$45=0,0,AE118/AE$45)</f>
        <v>0</v>
      </c>
      <c r="AG118" s="1267"/>
    </row>
    <row r="119" spans="1:33" s="113" customFormat="1" ht="5.0999999999999996" hidden="1" customHeight="1" outlineLevel="1">
      <c r="A119" s="1261"/>
      <c r="B119" s="1261"/>
      <c r="C119" s="1261"/>
      <c r="D119" s="1261"/>
      <c r="E119" s="1263"/>
      <c r="F119" s="1263"/>
      <c r="G119" s="1271"/>
      <c r="H119" s="1270"/>
      <c r="I119" s="1271"/>
      <c r="J119" s="1270"/>
      <c r="K119" s="1271"/>
      <c r="L119" s="1270"/>
      <c r="M119" s="1271"/>
      <c r="N119" s="1270"/>
      <c r="O119" s="1271"/>
      <c r="P119" s="1270"/>
      <c r="Q119" s="1271"/>
      <c r="R119" s="1270"/>
      <c r="S119" s="1271"/>
      <c r="T119" s="1270"/>
      <c r="U119" s="1271"/>
      <c r="V119" s="1270"/>
      <c r="W119" s="1271"/>
      <c r="X119" s="1270"/>
      <c r="Y119" s="1271"/>
      <c r="Z119" s="1270"/>
      <c r="AA119" s="1271"/>
      <c r="AB119" s="1270"/>
      <c r="AC119" s="1271"/>
      <c r="AD119" s="1270"/>
      <c r="AE119" s="1271"/>
      <c r="AF119" s="1264"/>
      <c r="AG119" s="1244"/>
    </row>
    <row r="120" spans="1:33" s="113" customFormat="1" hidden="1" collapsed="1">
      <c r="A120" s="1263"/>
      <c r="B120" s="1263"/>
      <c r="C120" s="1261" t="s">
        <v>252</v>
      </c>
      <c r="D120" s="1263"/>
      <c r="E120" s="1263"/>
      <c r="F120" s="1263"/>
      <c r="G120" s="1269">
        <f>SUM(G117:G119)</f>
        <v>0</v>
      </c>
      <c r="H120" s="1270"/>
      <c r="I120" s="1269">
        <f>SUM(I117:I119)</f>
        <v>0</v>
      </c>
      <c r="J120" s="1270"/>
      <c r="K120" s="1269">
        <f>SUM(K117:K119)</f>
        <v>0</v>
      </c>
      <c r="L120" s="1270"/>
      <c r="M120" s="1269">
        <f>SUM(M117:M119)</f>
        <v>0</v>
      </c>
      <c r="N120" s="1270"/>
      <c r="O120" s="1269">
        <f>SUM(O117:O119)</f>
        <v>0</v>
      </c>
      <c r="P120" s="1270"/>
      <c r="Q120" s="1269">
        <f>SUM(Q117:Q119)</f>
        <v>0</v>
      </c>
      <c r="R120" s="1270"/>
      <c r="S120" s="1269">
        <f>SUM(S117:S119)</f>
        <v>0</v>
      </c>
      <c r="T120" s="1270"/>
      <c r="U120" s="1269">
        <f>SUM(U117:U119)</f>
        <v>0</v>
      </c>
      <c r="V120" s="1270"/>
      <c r="W120" s="1269">
        <f>SUM(W117:W119)</f>
        <v>0</v>
      </c>
      <c r="X120" s="1270"/>
      <c r="Y120" s="1269">
        <f>SUM(Y117:Y119)</f>
        <v>0</v>
      </c>
      <c r="Z120" s="1270"/>
      <c r="AA120" s="1269">
        <f>SUM(AA117:AA119)</f>
        <v>0</v>
      </c>
      <c r="AB120" s="1270"/>
      <c r="AC120" s="1269">
        <f>SUM(AC117:AC119)</f>
        <v>0</v>
      </c>
      <c r="AD120" s="1270"/>
      <c r="AE120" s="1269">
        <f>SUM(AE117:AE119)</f>
        <v>0</v>
      </c>
      <c r="AF120" s="1266">
        <f>IF(AE$45=0,0,AE120/AE$45)</f>
        <v>0</v>
      </c>
      <c r="AG120" s="1244"/>
    </row>
    <row r="121" spans="1:33" s="113" customFormat="1" ht="8.25" customHeight="1" outlineLevel="1">
      <c r="A121" s="1263"/>
      <c r="B121" s="1263"/>
      <c r="C121" s="1263"/>
      <c r="D121" s="1263"/>
      <c r="E121" s="1263"/>
      <c r="F121" s="1263"/>
      <c r="G121" s="1270"/>
      <c r="H121" s="1270"/>
      <c r="I121" s="1270"/>
      <c r="J121" s="1270"/>
      <c r="K121" s="1270"/>
      <c r="L121" s="1270"/>
      <c r="M121" s="1270"/>
      <c r="N121" s="1270"/>
      <c r="O121" s="1270"/>
      <c r="P121" s="1270"/>
      <c r="Q121" s="1270"/>
      <c r="R121" s="1270"/>
      <c r="S121" s="1270"/>
      <c r="T121" s="1270"/>
      <c r="U121" s="1270"/>
      <c r="V121" s="1270"/>
      <c r="W121" s="1270"/>
      <c r="X121" s="1270"/>
      <c r="Y121" s="1270"/>
      <c r="Z121" s="1270"/>
      <c r="AA121" s="1270"/>
      <c r="AB121" s="1270"/>
      <c r="AC121" s="1270"/>
      <c r="AD121" s="1270"/>
      <c r="AE121" s="1270"/>
      <c r="AF121" s="1264"/>
      <c r="AG121" s="1244"/>
    </row>
    <row r="122" spans="1:33" s="113" customFormat="1" ht="8.25" customHeight="1" outlineLevel="1">
      <c r="A122" s="1263"/>
      <c r="B122" s="1263"/>
      <c r="C122" s="1263"/>
      <c r="D122" s="1263"/>
      <c r="E122" s="1263"/>
      <c r="F122" s="1263"/>
      <c r="G122" s="1270"/>
      <c r="H122" s="1270"/>
      <c r="I122" s="1270"/>
      <c r="J122" s="1270"/>
      <c r="K122" s="1270"/>
      <c r="L122" s="1270"/>
      <c r="M122" s="1270"/>
      <c r="N122" s="1270"/>
      <c r="O122" s="1270"/>
      <c r="P122" s="1270"/>
      <c r="Q122" s="1270"/>
      <c r="R122" s="1270"/>
      <c r="S122" s="1270"/>
      <c r="T122" s="1270"/>
      <c r="U122" s="1270"/>
      <c r="V122" s="1270"/>
      <c r="W122" s="1270"/>
      <c r="X122" s="1270"/>
      <c r="Y122" s="1270"/>
      <c r="Z122" s="1270"/>
      <c r="AA122" s="1270"/>
      <c r="AB122" s="1270"/>
      <c r="AC122" s="1270"/>
      <c r="AD122" s="1270"/>
      <c r="AE122" s="1270"/>
      <c r="AF122" s="1264"/>
      <c r="AG122" s="1244"/>
    </row>
    <row r="123" spans="1:33" outlineLevel="1">
      <c r="A123" s="1260">
        <v>56010</v>
      </c>
      <c r="B123" s="1260" t="s">
        <v>26</v>
      </c>
      <c r="C123" s="1261"/>
      <c r="D123" s="1262"/>
      <c r="E123" s="1263"/>
      <c r="F123" s="1264"/>
      <c r="G123" s="1265">
        <v>6080.03</v>
      </c>
      <c r="H123" s="1264"/>
      <c r="I123" s="1265">
        <v>6265.67</v>
      </c>
      <c r="J123" s="1264"/>
      <c r="K123" s="1265">
        <v>6003.14</v>
      </c>
      <c r="L123" s="1264"/>
      <c r="M123" s="1265">
        <v>6791.11</v>
      </c>
      <c r="N123" s="1264"/>
      <c r="O123" s="1265">
        <v>6528.46</v>
      </c>
      <c r="P123" s="1264"/>
      <c r="Q123" s="1265">
        <v>5477.63</v>
      </c>
      <c r="R123" s="1264"/>
      <c r="S123" s="1265">
        <v>1800.63</v>
      </c>
      <c r="T123" s="1264"/>
      <c r="U123" s="1265">
        <v>750</v>
      </c>
      <c r="V123" s="1264"/>
      <c r="W123" s="1265">
        <v>750</v>
      </c>
      <c r="X123" s="1264"/>
      <c r="Y123" s="1265">
        <v>750</v>
      </c>
      <c r="Z123" s="1264"/>
      <c r="AA123" s="1265">
        <v>750</v>
      </c>
      <c r="AB123" s="1264"/>
      <c r="AC123" s="1265">
        <v>0</v>
      </c>
      <c r="AD123" s="1264"/>
      <c r="AE123" s="1265">
        <f t="shared" ref="AE123:AE128" si="6">AC123+AA123+Y123+W123+U123+S123+Q123+O123+M123+K123+I123+G123</f>
        <v>41946.67</v>
      </c>
      <c r="AF123" s="1266">
        <f t="shared" ref="AF123:AF128" si="7">IF(AE$45=0,0,AE123/AE$45)</f>
        <v>2.9983906334935077E-2</v>
      </c>
      <c r="AG123" s="1267"/>
    </row>
    <row r="124" spans="1:33" outlineLevel="1">
      <c r="A124" s="1260">
        <v>56036</v>
      </c>
      <c r="B124" s="1260" t="s">
        <v>37</v>
      </c>
      <c r="C124" s="1261"/>
      <c r="D124" s="1262"/>
      <c r="E124" s="1263"/>
      <c r="F124" s="1264"/>
      <c r="G124" s="1265">
        <v>0</v>
      </c>
      <c r="H124" s="1264"/>
      <c r="I124" s="1265">
        <v>0</v>
      </c>
      <c r="J124" s="1264"/>
      <c r="K124" s="1265">
        <v>142.97</v>
      </c>
      <c r="L124" s="1264"/>
      <c r="M124" s="1265">
        <v>0</v>
      </c>
      <c r="N124" s="1264"/>
      <c r="O124" s="1265">
        <v>0</v>
      </c>
      <c r="P124" s="1264"/>
      <c r="Q124" s="1265">
        <v>0</v>
      </c>
      <c r="R124" s="1264"/>
      <c r="S124" s="1265">
        <v>0</v>
      </c>
      <c r="T124" s="1264"/>
      <c r="U124" s="1265">
        <v>0</v>
      </c>
      <c r="V124" s="1264"/>
      <c r="W124" s="1265">
        <v>0</v>
      </c>
      <c r="X124" s="1264"/>
      <c r="Y124" s="1265">
        <v>0</v>
      </c>
      <c r="Z124" s="1264"/>
      <c r="AA124" s="1265">
        <v>0</v>
      </c>
      <c r="AB124" s="1264"/>
      <c r="AC124" s="1265">
        <v>0</v>
      </c>
      <c r="AD124" s="1264"/>
      <c r="AE124" s="1265">
        <f t="shared" si="6"/>
        <v>142.97</v>
      </c>
      <c r="AF124" s="1266">
        <f t="shared" si="7"/>
        <v>1.0219641007750241E-4</v>
      </c>
      <c r="AG124" s="1267"/>
    </row>
    <row r="125" spans="1:33" outlineLevel="1">
      <c r="A125" s="1260">
        <v>56050</v>
      </c>
      <c r="B125" s="1260" t="s">
        <v>171</v>
      </c>
      <c r="C125" s="1261"/>
      <c r="D125" s="1262"/>
      <c r="E125" s="1263"/>
      <c r="F125" s="1264"/>
      <c r="G125" s="1265">
        <v>428.31</v>
      </c>
      <c r="H125" s="1264"/>
      <c r="I125" s="1265">
        <v>490.21</v>
      </c>
      <c r="J125" s="1264"/>
      <c r="K125" s="1265">
        <v>456.58</v>
      </c>
      <c r="L125" s="1264"/>
      <c r="M125" s="1265">
        <v>494.08</v>
      </c>
      <c r="N125" s="1264"/>
      <c r="O125" s="1265">
        <v>468.49</v>
      </c>
      <c r="P125" s="1264"/>
      <c r="Q125" s="1265">
        <v>416.86</v>
      </c>
      <c r="R125" s="1264"/>
      <c r="S125" s="1265">
        <v>65.09</v>
      </c>
      <c r="T125" s="1264"/>
      <c r="U125" s="1265">
        <v>0</v>
      </c>
      <c r="V125" s="1264"/>
      <c r="W125" s="1265">
        <v>0</v>
      </c>
      <c r="X125" s="1264"/>
      <c r="Y125" s="1265">
        <v>0</v>
      </c>
      <c r="Z125" s="1264"/>
      <c r="AA125" s="1265">
        <v>0</v>
      </c>
      <c r="AB125" s="1264"/>
      <c r="AC125" s="1265">
        <v>0</v>
      </c>
      <c r="AD125" s="1264"/>
      <c r="AE125" s="1265">
        <f t="shared" si="6"/>
        <v>2819.62</v>
      </c>
      <c r="AF125" s="1266">
        <f t="shared" si="7"/>
        <v>2.0154930529672475E-3</v>
      </c>
      <c r="AG125" s="1267"/>
    </row>
    <row r="126" spans="1:33" outlineLevel="1">
      <c r="A126" s="1260">
        <v>56060</v>
      </c>
      <c r="B126" s="1260" t="s">
        <v>124</v>
      </c>
      <c r="C126" s="1261"/>
      <c r="D126" s="1262"/>
      <c r="E126" s="1263"/>
      <c r="F126" s="1264"/>
      <c r="G126" s="1265">
        <v>747.08</v>
      </c>
      <c r="H126" s="1264"/>
      <c r="I126" s="1265">
        <v>747.08</v>
      </c>
      <c r="J126" s="1264"/>
      <c r="K126" s="1265">
        <v>754.74</v>
      </c>
      <c r="L126" s="1264"/>
      <c r="M126" s="1265">
        <v>632.11</v>
      </c>
      <c r="N126" s="1264"/>
      <c r="O126" s="1265">
        <v>741.82</v>
      </c>
      <c r="P126" s="1264"/>
      <c r="Q126" s="1265">
        <v>755.66</v>
      </c>
      <c r="R126" s="1264"/>
      <c r="S126" s="1265">
        <v>877.83</v>
      </c>
      <c r="T126" s="1264"/>
      <c r="U126" s="1265">
        <v>0</v>
      </c>
      <c r="V126" s="1264"/>
      <c r="W126" s="1265">
        <v>0</v>
      </c>
      <c r="X126" s="1264"/>
      <c r="Y126" s="1265">
        <v>0</v>
      </c>
      <c r="Z126" s="1264"/>
      <c r="AA126" s="1265">
        <v>0</v>
      </c>
      <c r="AB126" s="1264"/>
      <c r="AC126" s="1265">
        <v>0</v>
      </c>
      <c r="AD126" s="1264"/>
      <c r="AE126" s="1265">
        <f t="shared" si="6"/>
        <v>5256.32</v>
      </c>
      <c r="AF126" s="1266">
        <f t="shared" si="7"/>
        <v>3.7572709954436416E-3</v>
      </c>
      <c r="AG126" s="1267"/>
    </row>
    <row r="127" spans="1:33" outlineLevel="1">
      <c r="A127" s="1260">
        <v>56065</v>
      </c>
      <c r="B127" s="1260" t="s">
        <v>31</v>
      </c>
      <c r="C127" s="1261"/>
      <c r="D127" s="1262"/>
      <c r="E127" s="1263"/>
      <c r="F127" s="1264"/>
      <c r="G127" s="1265">
        <v>446.17</v>
      </c>
      <c r="H127" s="1264"/>
      <c r="I127" s="1265">
        <v>207.88</v>
      </c>
      <c r="J127" s="1264"/>
      <c r="K127" s="1265">
        <v>226.53</v>
      </c>
      <c r="L127" s="1264"/>
      <c r="M127" s="1265">
        <v>234.47</v>
      </c>
      <c r="N127" s="1264"/>
      <c r="O127" s="1265">
        <v>306</v>
      </c>
      <c r="P127" s="1264"/>
      <c r="Q127" s="1265">
        <v>180.48</v>
      </c>
      <c r="R127" s="1264"/>
      <c r="S127" s="1265">
        <v>0</v>
      </c>
      <c r="T127" s="1264"/>
      <c r="U127" s="1265">
        <v>0</v>
      </c>
      <c r="V127" s="1264"/>
      <c r="W127" s="1265">
        <v>0</v>
      </c>
      <c r="X127" s="1264"/>
      <c r="Y127" s="1265">
        <v>0</v>
      </c>
      <c r="Z127" s="1264"/>
      <c r="AA127" s="1265">
        <v>0</v>
      </c>
      <c r="AB127" s="1264"/>
      <c r="AC127" s="1265">
        <v>0</v>
      </c>
      <c r="AD127" s="1264"/>
      <c r="AE127" s="1265">
        <f t="shared" si="6"/>
        <v>1601.5300000000002</v>
      </c>
      <c r="AF127" s="1266">
        <f t="shared" si="7"/>
        <v>1.1447899323733823E-3</v>
      </c>
      <c r="AG127" s="1267"/>
    </row>
    <row r="128" spans="1:33" outlineLevel="1">
      <c r="A128" s="1260">
        <v>56115</v>
      </c>
      <c r="B128" s="1260" t="s">
        <v>254</v>
      </c>
      <c r="C128" s="1261"/>
      <c r="D128" s="1262"/>
      <c r="E128" s="1263"/>
      <c r="F128" s="1264"/>
      <c r="G128" s="1265">
        <v>158.56</v>
      </c>
      <c r="H128" s="1264"/>
      <c r="I128" s="1265">
        <v>78.8</v>
      </c>
      <c r="J128" s="1264"/>
      <c r="K128" s="1265">
        <v>157.6</v>
      </c>
      <c r="L128" s="1264"/>
      <c r="M128" s="1265">
        <v>236.4</v>
      </c>
      <c r="N128" s="1264"/>
      <c r="O128" s="1265">
        <v>157.6</v>
      </c>
      <c r="P128" s="1264"/>
      <c r="Q128" s="1265">
        <v>157.6</v>
      </c>
      <c r="R128" s="1264"/>
      <c r="S128" s="1265">
        <v>78.8</v>
      </c>
      <c r="T128" s="1264"/>
      <c r="U128" s="1265">
        <v>0</v>
      </c>
      <c r="V128" s="1264"/>
      <c r="W128" s="1265">
        <v>0</v>
      </c>
      <c r="X128" s="1264"/>
      <c r="Y128" s="1265">
        <v>0</v>
      </c>
      <c r="Z128" s="1264"/>
      <c r="AA128" s="1265">
        <v>0</v>
      </c>
      <c r="AB128" s="1264"/>
      <c r="AC128" s="1265">
        <v>0</v>
      </c>
      <c r="AD128" s="1264"/>
      <c r="AE128" s="1265">
        <f t="shared" si="6"/>
        <v>1025.3599999999999</v>
      </c>
      <c r="AF128" s="1266">
        <f t="shared" si="7"/>
        <v>7.3293775643189381E-4</v>
      </c>
      <c r="AG128" s="1267"/>
    </row>
    <row r="129" spans="1:33" s="113" customFormat="1" ht="5.0999999999999996" customHeight="1" outlineLevel="1">
      <c r="A129" s="1261"/>
      <c r="B129" s="1261"/>
      <c r="C129" s="1261"/>
      <c r="D129" s="1261"/>
      <c r="E129" s="1263"/>
      <c r="F129" s="1263"/>
      <c r="G129" s="1271"/>
      <c r="H129" s="1270"/>
      <c r="I129" s="1271"/>
      <c r="J129" s="1270"/>
      <c r="K129" s="1271"/>
      <c r="L129" s="1270"/>
      <c r="M129" s="1271"/>
      <c r="N129" s="1270"/>
      <c r="O129" s="1271"/>
      <c r="P129" s="1270"/>
      <c r="Q129" s="1271"/>
      <c r="R129" s="1270"/>
      <c r="S129" s="1271"/>
      <c r="T129" s="1270"/>
      <c r="U129" s="1271"/>
      <c r="V129" s="1270"/>
      <c r="W129" s="1271"/>
      <c r="X129" s="1270"/>
      <c r="Y129" s="1271"/>
      <c r="Z129" s="1270"/>
      <c r="AA129" s="1271"/>
      <c r="AB129" s="1270"/>
      <c r="AC129" s="1271"/>
      <c r="AD129" s="1270"/>
      <c r="AE129" s="1271"/>
      <c r="AF129" s="1264"/>
      <c r="AG129" s="1244"/>
    </row>
    <row r="130" spans="1:33" s="113" customFormat="1">
      <c r="A130" s="1263"/>
      <c r="B130" s="1263"/>
      <c r="C130" s="1261" t="s">
        <v>255</v>
      </c>
      <c r="D130" s="1263"/>
      <c r="E130" s="1263"/>
      <c r="F130" s="1263"/>
      <c r="G130" s="1269">
        <f>SUM(G122:G129)</f>
        <v>7860.1500000000005</v>
      </c>
      <c r="H130" s="1270"/>
      <c r="I130" s="1269">
        <f>SUM(I122:I129)</f>
        <v>7789.64</v>
      </c>
      <c r="J130" s="1270"/>
      <c r="K130" s="1269">
        <f>SUM(K122:K129)</f>
        <v>7741.56</v>
      </c>
      <c r="L130" s="1270"/>
      <c r="M130" s="1269">
        <f>SUM(M122:M129)</f>
        <v>8388.17</v>
      </c>
      <c r="N130" s="1270"/>
      <c r="O130" s="1269">
        <f>SUM(O122:O129)</f>
        <v>8202.369999999999</v>
      </c>
      <c r="P130" s="1270"/>
      <c r="Q130" s="1269">
        <f>SUM(Q122:Q129)</f>
        <v>6988.23</v>
      </c>
      <c r="R130" s="1270"/>
      <c r="S130" s="1269">
        <f>SUM(S122:S129)</f>
        <v>2822.3500000000004</v>
      </c>
      <c r="T130" s="1270"/>
      <c r="U130" s="1269">
        <f>SUM(U122:U129)</f>
        <v>750</v>
      </c>
      <c r="V130" s="1270"/>
      <c r="W130" s="1269">
        <f>SUM(W122:W129)</f>
        <v>750</v>
      </c>
      <c r="X130" s="1270"/>
      <c r="Y130" s="1269">
        <f>SUM(Y122:Y129)</f>
        <v>750</v>
      </c>
      <c r="Z130" s="1270"/>
      <c r="AA130" s="1269">
        <f>SUM(AA122:AA129)</f>
        <v>750</v>
      </c>
      <c r="AB130" s="1270"/>
      <c r="AC130" s="1269">
        <f>SUM(AC122:AC129)</f>
        <v>0</v>
      </c>
      <c r="AD130" s="1270"/>
      <c r="AE130" s="1269">
        <f>SUM(AE122:AE129)</f>
        <v>52792.47</v>
      </c>
      <c r="AF130" s="1266">
        <f>IF(AE$45=0,0,AE130/AE$45)</f>
        <v>3.7736594482228748E-2</v>
      </c>
      <c r="AG130" s="1244"/>
    </row>
    <row r="131" spans="1:33" s="113" customFormat="1" ht="10.5" customHeight="1" outlineLevel="1">
      <c r="A131" s="1263"/>
      <c r="B131" s="1263"/>
      <c r="C131" s="1263"/>
      <c r="D131" s="1263"/>
      <c r="E131" s="1263"/>
      <c r="F131" s="1263"/>
      <c r="G131" s="1270"/>
      <c r="H131" s="1270"/>
      <c r="I131" s="1270"/>
      <c r="J131" s="1270"/>
      <c r="K131" s="1270"/>
      <c r="L131" s="1270"/>
      <c r="M131" s="1270"/>
      <c r="N131" s="1270"/>
      <c r="O131" s="1270"/>
      <c r="P131" s="1270"/>
      <c r="Q131" s="1270"/>
      <c r="R131" s="1270"/>
      <c r="S131" s="1270"/>
      <c r="T131" s="1270"/>
      <c r="U131" s="1270"/>
      <c r="V131" s="1270"/>
      <c r="W131" s="1270"/>
      <c r="X131" s="1270"/>
      <c r="Y131" s="1270"/>
      <c r="Z131" s="1270"/>
      <c r="AA131" s="1270"/>
      <c r="AB131" s="1270"/>
      <c r="AC131" s="1270"/>
      <c r="AD131" s="1270"/>
      <c r="AE131" s="1270"/>
      <c r="AF131" s="1264"/>
      <c r="AG131" s="1244"/>
    </row>
    <row r="132" spans="1:33" s="113" customFormat="1" ht="7.5" customHeight="1" outlineLevel="1">
      <c r="A132" s="1263"/>
      <c r="B132" s="1263"/>
      <c r="C132" s="1263"/>
      <c r="D132" s="1263"/>
      <c r="E132" s="1263"/>
      <c r="F132" s="1263"/>
      <c r="G132" s="1270"/>
      <c r="H132" s="1270"/>
      <c r="I132" s="1270"/>
      <c r="J132" s="1270"/>
      <c r="K132" s="1270"/>
      <c r="L132" s="1270"/>
      <c r="M132" s="1270"/>
      <c r="N132" s="1270"/>
      <c r="O132" s="1270"/>
      <c r="P132" s="1270"/>
      <c r="Q132" s="1270"/>
      <c r="R132" s="1270"/>
      <c r="S132" s="1270"/>
      <c r="T132" s="1270"/>
      <c r="U132" s="1270"/>
      <c r="V132" s="1270"/>
      <c r="W132" s="1270"/>
      <c r="X132" s="1270"/>
      <c r="Y132" s="1270"/>
      <c r="Z132" s="1270"/>
      <c r="AA132" s="1270"/>
      <c r="AB132" s="1270"/>
      <c r="AC132" s="1270"/>
      <c r="AD132" s="1270"/>
      <c r="AE132" s="1270"/>
      <c r="AF132" s="1264"/>
      <c r="AG132" s="1244"/>
    </row>
    <row r="133" spans="1:33" ht="15.75" customHeight="1" outlineLevel="1">
      <c r="A133" s="1260">
        <v>57125</v>
      </c>
      <c r="B133" s="1260" t="s">
        <v>40</v>
      </c>
      <c r="C133" s="1261"/>
      <c r="D133" s="1262"/>
      <c r="E133" s="1263"/>
      <c r="F133" s="1264"/>
      <c r="G133" s="1265">
        <v>0</v>
      </c>
      <c r="H133" s="1264"/>
      <c r="I133" s="1265">
        <v>0</v>
      </c>
      <c r="J133" s="1264"/>
      <c r="K133" s="1265">
        <v>0</v>
      </c>
      <c r="L133" s="1264"/>
      <c r="M133" s="1265">
        <v>0</v>
      </c>
      <c r="N133" s="1264"/>
      <c r="O133" s="1265">
        <v>10</v>
      </c>
      <c r="P133" s="1264"/>
      <c r="Q133" s="1265">
        <v>0</v>
      </c>
      <c r="R133" s="1264"/>
      <c r="S133" s="1265">
        <v>0</v>
      </c>
      <c r="T133" s="1264"/>
      <c r="U133" s="1265">
        <v>0</v>
      </c>
      <c r="V133" s="1264"/>
      <c r="W133" s="1265">
        <v>0</v>
      </c>
      <c r="X133" s="1264"/>
      <c r="Y133" s="1265">
        <v>51.85</v>
      </c>
      <c r="Z133" s="1264"/>
      <c r="AA133" s="1265">
        <v>0</v>
      </c>
      <c r="AB133" s="1264"/>
      <c r="AC133" s="1265">
        <v>0</v>
      </c>
      <c r="AD133" s="1264"/>
      <c r="AE133" s="1265">
        <f t="shared" ref="AE133:AE141" si="8">AC133+AA133+Y133+W133+U133+S133+Q133+O133+M133+K133+I133+G133</f>
        <v>61.85</v>
      </c>
      <c r="AF133" s="1266">
        <f t="shared" ref="AF133:AF141" si="9">IF(AE$45=0,0,AE133/AE$45)</f>
        <v>4.4211009045908405E-5</v>
      </c>
      <c r="AG133" s="1267"/>
    </row>
    <row r="134" spans="1:33" ht="15.75" customHeight="1" outlineLevel="1">
      <c r="A134" s="1260">
        <v>57147</v>
      </c>
      <c r="B134" s="1260" t="s">
        <v>257</v>
      </c>
      <c r="C134" s="1261"/>
      <c r="D134" s="1262"/>
      <c r="E134" s="1263"/>
      <c r="F134" s="1264"/>
      <c r="G134" s="1265">
        <v>0</v>
      </c>
      <c r="H134" s="1264"/>
      <c r="I134" s="1265">
        <v>0</v>
      </c>
      <c r="J134" s="1264"/>
      <c r="K134" s="1265">
        <v>0</v>
      </c>
      <c r="L134" s="1264"/>
      <c r="M134" s="1265">
        <v>0</v>
      </c>
      <c r="N134" s="1264"/>
      <c r="O134" s="1265">
        <v>263</v>
      </c>
      <c r="P134" s="1264"/>
      <c r="Q134" s="1265">
        <v>129.25</v>
      </c>
      <c r="R134" s="1264"/>
      <c r="S134" s="1265">
        <v>127.1</v>
      </c>
      <c r="T134" s="1264"/>
      <c r="U134" s="1265">
        <v>129.25</v>
      </c>
      <c r="V134" s="1264"/>
      <c r="W134" s="1265">
        <v>129.25</v>
      </c>
      <c r="X134" s="1264"/>
      <c r="Y134" s="1265">
        <v>0</v>
      </c>
      <c r="Z134" s="1264"/>
      <c r="AA134" s="1265">
        <v>0</v>
      </c>
      <c r="AB134" s="1264"/>
      <c r="AC134" s="1265">
        <v>0</v>
      </c>
      <c r="AD134" s="1264"/>
      <c r="AE134" s="1265">
        <f t="shared" si="8"/>
        <v>777.85</v>
      </c>
      <c r="AF134" s="1266">
        <f t="shared" si="9"/>
        <v>5.5601509112950442E-4</v>
      </c>
      <c r="AG134" s="1267"/>
    </row>
    <row r="135" spans="1:33" ht="15.75" customHeight="1" outlineLevel="1">
      <c r="A135" s="1260">
        <v>57165</v>
      </c>
      <c r="B135" s="1260" t="s">
        <v>50</v>
      </c>
      <c r="C135" s="1261"/>
      <c r="D135" s="1262"/>
      <c r="E135" s="1263"/>
      <c r="F135" s="1264"/>
      <c r="G135" s="1265">
        <v>197.72</v>
      </c>
      <c r="H135" s="1264"/>
      <c r="I135" s="1265">
        <v>197.72</v>
      </c>
      <c r="J135" s="1264"/>
      <c r="K135" s="1265">
        <v>197.55</v>
      </c>
      <c r="L135" s="1264"/>
      <c r="M135" s="1265">
        <v>197.72</v>
      </c>
      <c r="N135" s="1264"/>
      <c r="O135" s="1265">
        <v>197.72</v>
      </c>
      <c r="P135" s="1264"/>
      <c r="Q135" s="1265">
        <v>197.72</v>
      </c>
      <c r="R135" s="1264"/>
      <c r="S135" s="1265">
        <v>197.72</v>
      </c>
      <c r="T135" s="1264"/>
      <c r="U135" s="1265">
        <v>197.72</v>
      </c>
      <c r="V135" s="1264"/>
      <c r="W135" s="1265">
        <v>197.72</v>
      </c>
      <c r="X135" s="1264"/>
      <c r="Y135" s="1265">
        <v>185.47</v>
      </c>
      <c r="Z135" s="1264"/>
      <c r="AA135" s="1265">
        <v>198.23</v>
      </c>
      <c r="AB135" s="1264"/>
      <c r="AC135" s="1265">
        <v>198.23</v>
      </c>
      <c r="AD135" s="1264"/>
      <c r="AE135" s="1265">
        <f t="shared" si="8"/>
        <v>2361.2399999999998</v>
      </c>
      <c r="AF135" s="1266">
        <f t="shared" si="9"/>
        <v>1.6878383670098746E-3</v>
      </c>
      <c r="AG135" s="1267"/>
    </row>
    <row r="136" spans="1:33" ht="15.75" customHeight="1" outlineLevel="1">
      <c r="A136" s="1260">
        <v>57170</v>
      </c>
      <c r="B136" s="1260" t="s">
        <v>258</v>
      </c>
      <c r="C136" s="1261"/>
      <c r="D136" s="1262"/>
      <c r="E136" s="1263"/>
      <c r="F136" s="1264"/>
      <c r="G136" s="1265">
        <v>850</v>
      </c>
      <c r="H136" s="1264"/>
      <c r="I136" s="1265">
        <v>850</v>
      </c>
      <c r="J136" s="1264"/>
      <c r="K136" s="1265">
        <v>850</v>
      </c>
      <c r="L136" s="1264"/>
      <c r="M136" s="1265">
        <v>850</v>
      </c>
      <c r="N136" s="1264"/>
      <c r="O136" s="1265">
        <v>850</v>
      </c>
      <c r="P136" s="1264"/>
      <c r="Q136" s="1265">
        <v>850</v>
      </c>
      <c r="R136" s="1264"/>
      <c r="S136" s="1265">
        <v>850</v>
      </c>
      <c r="T136" s="1264"/>
      <c r="U136" s="1265">
        <v>850</v>
      </c>
      <c r="V136" s="1264"/>
      <c r="W136" s="1265">
        <v>850</v>
      </c>
      <c r="X136" s="1264"/>
      <c r="Y136" s="1265">
        <v>850</v>
      </c>
      <c r="Z136" s="1264"/>
      <c r="AA136" s="1265">
        <v>850</v>
      </c>
      <c r="AB136" s="1264"/>
      <c r="AC136" s="1265">
        <v>950</v>
      </c>
      <c r="AD136" s="1264"/>
      <c r="AE136" s="1265">
        <f t="shared" si="8"/>
        <v>10300</v>
      </c>
      <c r="AF136" s="1266">
        <f t="shared" si="9"/>
        <v>7.3625447562305022E-3</v>
      </c>
      <c r="AG136" s="1267"/>
    </row>
    <row r="137" spans="1:33" ht="15.75" customHeight="1" outlineLevel="1">
      <c r="A137" s="1260">
        <v>57254</v>
      </c>
      <c r="B137" s="1260" t="s">
        <v>259</v>
      </c>
      <c r="C137" s="1261"/>
      <c r="D137" s="1262"/>
      <c r="E137" s="1263"/>
      <c r="F137" s="1264"/>
      <c r="G137" s="1265">
        <v>438.47</v>
      </c>
      <c r="H137" s="1264"/>
      <c r="I137" s="1265">
        <v>438.47</v>
      </c>
      <c r="J137" s="1264"/>
      <c r="K137" s="1265">
        <v>438.47</v>
      </c>
      <c r="L137" s="1264"/>
      <c r="M137" s="1265">
        <v>511.82</v>
      </c>
      <c r="N137" s="1264"/>
      <c r="O137" s="1265">
        <v>511.82</v>
      </c>
      <c r="P137" s="1264"/>
      <c r="Q137" s="1265">
        <v>839.16</v>
      </c>
      <c r="R137" s="1264"/>
      <c r="S137" s="1265">
        <v>642.58000000000004</v>
      </c>
      <c r="T137" s="1264"/>
      <c r="U137" s="1265">
        <v>496.38</v>
      </c>
      <c r="V137" s="1264"/>
      <c r="W137" s="1265">
        <v>394.13</v>
      </c>
      <c r="X137" s="1264"/>
      <c r="Y137" s="1265">
        <v>398.88</v>
      </c>
      <c r="Z137" s="1264"/>
      <c r="AA137" s="1265">
        <v>177.43</v>
      </c>
      <c r="AB137" s="1264"/>
      <c r="AC137" s="1265">
        <v>399.41</v>
      </c>
      <c r="AD137" s="1264"/>
      <c r="AE137" s="1265">
        <f t="shared" si="8"/>
        <v>5687.02</v>
      </c>
      <c r="AF137" s="1266">
        <f t="shared" si="9"/>
        <v>4.0651397358813582E-3</v>
      </c>
      <c r="AG137" s="1267"/>
    </row>
    <row r="138" spans="1:33" ht="15.75" customHeight="1" outlineLevel="1">
      <c r="A138" s="1260">
        <v>57275</v>
      </c>
      <c r="B138" s="1260" t="s">
        <v>260</v>
      </c>
      <c r="C138" s="1261"/>
      <c r="D138" s="1262"/>
      <c r="E138" s="1263"/>
      <c r="F138" s="1264"/>
      <c r="G138" s="1265">
        <v>53.62</v>
      </c>
      <c r="H138" s="1264"/>
      <c r="I138" s="1265">
        <v>0</v>
      </c>
      <c r="J138" s="1264"/>
      <c r="K138" s="1265">
        <v>0</v>
      </c>
      <c r="L138" s="1264"/>
      <c r="M138" s="1265">
        <v>0</v>
      </c>
      <c r="N138" s="1264"/>
      <c r="O138" s="1265">
        <v>0</v>
      </c>
      <c r="P138" s="1264"/>
      <c r="Q138" s="1265">
        <v>0</v>
      </c>
      <c r="R138" s="1264"/>
      <c r="S138" s="1265">
        <v>0</v>
      </c>
      <c r="T138" s="1264"/>
      <c r="U138" s="1265">
        <v>180.64</v>
      </c>
      <c r="V138" s="1264"/>
      <c r="W138" s="1265">
        <v>180.64</v>
      </c>
      <c r="X138" s="1264"/>
      <c r="Y138" s="1265">
        <v>180.64</v>
      </c>
      <c r="Z138" s="1264"/>
      <c r="AA138" s="1265">
        <v>180.63</v>
      </c>
      <c r="AB138" s="1264"/>
      <c r="AC138" s="1265">
        <v>93.03</v>
      </c>
      <c r="AD138" s="1264"/>
      <c r="AE138" s="1265">
        <f t="shared" si="8"/>
        <v>869.19999999999993</v>
      </c>
      <c r="AF138" s="1266">
        <f t="shared" si="9"/>
        <v>6.2131300020539339E-4</v>
      </c>
      <c r="AG138" s="1267"/>
    </row>
    <row r="139" spans="1:33" ht="15.75" customHeight="1" outlineLevel="1">
      <c r="A139" s="1260">
        <v>57280</v>
      </c>
      <c r="B139" s="1260" t="s">
        <v>164</v>
      </c>
      <c r="C139" s="1261"/>
      <c r="D139" s="1262"/>
      <c r="E139" s="1263"/>
      <c r="F139" s="1264"/>
      <c r="G139" s="1265">
        <v>241.5</v>
      </c>
      <c r="H139" s="1264"/>
      <c r="I139" s="1265">
        <v>0</v>
      </c>
      <c r="J139" s="1264"/>
      <c r="K139" s="1265">
        <v>0</v>
      </c>
      <c r="L139" s="1264"/>
      <c r="M139" s="1265">
        <v>0</v>
      </c>
      <c r="N139" s="1264"/>
      <c r="O139" s="1265">
        <v>241.5</v>
      </c>
      <c r="P139" s="1264"/>
      <c r="Q139" s="1265">
        <v>592.5</v>
      </c>
      <c r="R139" s="1264"/>
      <c r="S139" s="1265">
        <v>61.78</v>
      </c>
      <c r="T139" s="1264"/>
      <c r="U139" s="1265">
        <v>1.45</v>
      </c>
      <c r="V139" s="1264"/>
      <c r="W139" s="1265">
        <v>58.79</v>
      </c>
      <c r="X139" s="1264"/>
      <c r="Y139" s="1265">
        <v>0</v>
      </c>
      <c r="Z139" s="1264"/>
      <c r="AA139" s="1265">
        <v>55</v>
      </c>
      <c r="AB139" s="1264"/>
      <c r="AC139" s="1265">
        <v>185.09</v>
      </c>
      <c r="AD139" s="1264"/>
      <c r="AE139" s="1265">
        <f t="shared" si="8"/>
        <v>1437.6100000000001</v>
      </c>
      <c r="AF139" s="1266">
        <f t="shared" si="9"/>
        <v>1.0276182492237411E-3</v>
      </c>
      <c r="AG139" s="1267"/>
    </row>
    <row r="140" spans="1:33" ht="15.75" customHeight="1" outlineLevel="1">
      <c r="A140" s="1260">
        <v>57357</v>
      </c>
      <c r="B140" s="1260" t="s">
        <v>151</v>
      </c>
      <c r="C140" s="1261"/>
      <c r="D140" s="1262"/>
      <c r="E140" s="1263"/>
      <c r="F140" s="1264"/>
      <c r="G140" s="1265">
        <v>20</v>
      </c>
      <c r="H140" s="1264"/>
      <c r="I140" s="1265">
        <v>0</v>
      </c>
      <c r="J140" s="1264"/>
      <c r="K140" s="1265">
        <v>40</v>
      </c>
      <c r="L140" s="1264"/>
      <c r="M140" s="1265">
        <v>100</v>
      </c>
      <c r="N140" s="1264"/>
      <c r="O140" s="1265">
        <v>90</v>
      </c>
      <c r="P140" s="1264"/>
      <c r="Q140" s="1265">
        <v>20</v>
      </c>
      <c r="R140" s="1264"/>
      <c r="S140" s="1265">
        <v>0</v>
      </c>
      <c r="T140" s="1264"/>
      <c r="U140" s="1265">
        <v>200.33</v>
      </c>
      <c r="V140" s="1264"/>
      <c r="W140" s="1265">
        <v>60</v>
      </c>
      <c r="X140" s="1264"/>
      <c r="Y140" s="1265">
        <v>200</v>
      </c>
      <c r="Z140" s="1264"/>
      <c r="AA140" s="1265">
        <v>40</v>
      </c>
      <c r="AB140" s="1264"/>
      <c r="AC140" s="1265">
        <v>325.14</v>
      </c>
      <c r="AD140" s="1264"/>
      <c r="AE140" s="1265">
        <f t="shared" si="8"/>
        <v>1095.47</v>
      </c>
      <c r="AF140" s="1266">
        <f t="shared" si="9"/>
        <v>7.8305309748619688E-4</v>
      </c>
      <c r="AG140" s="1267"/>
    </row>
    <row r="141" spans="1:33" ht="15.75" customHeight="1" outlineLevel="1">
      <c r="A141" s="1260">
        <v>57370</v>
      </c>
      <c r="B141" s="1260" t="s">
        <v>261</v>
      </c>
      <c r="C141" s="1261"/>
      <c r="D141" s="1262"/>
      <c r="E141" s="1263"/>
      <c r="F141" s="1264"/>
      <c r="G141" s="1265">
        <v>4.12</v>
      </c>
      <c r="H141" s="1264"/>
      <c r="I141" s="1265">
        <v>4.12</v>
      </c>
      <c r="J141" s="1264"/>
      <c r="K141" s="1265">
        <v>4.12</v>
      </c>
      <c r="L141" s="1264"/>
      <c r="M141" s="1265">
        <v>94.12</v>
      </c>
      <c r="N141" s="1264"/>
      <c r="O141" s="1265">
        <v>1.77</v>
      </c>
      <c r="P141" s="1264"/>
      <c r="Q141" s="1265">
        <v>3.42</v>
      </c>
      <c r="R141" s="1264"/>
      <c r="S141" s="1265">
        <v>3.42</v>
      </c>
      <c r="T141" s="1264"/>
      <c r="U141" s="1265">
        <v>3.42</v>
      </c>
      <c r="V141" s="1264"/>
      <c r="W141" s="1265">
        <v>3.42</v>
      </c>
      <c r="X141" s="1264"/>
      <c r="Y141" s="1265">
        <v>3.42</v>
      </c>
      <c r="Z141" s="1264"/>
      <c r="AA141" s="1265">
        <v>3.42</v>
      </c>
      <c r="AB141" s="1264"/>
      <c r="AC141" s="1265">
        <v>2.96</v>
      </c>
      <c r="AD141" s="1264"/>
      <c r="AE141" s="1265">
        <f t="shared" si="8"/>
        <v>131.73000000000002</v>
      </c>
      <c r="AF141" s="1266">
        <f t="shared" si="9"/>
        <v>9.4161943760994574E-5</v>
      </c>
      <c r="AG141" s="1267"/>
    </row>
    <row r="142" spans="1:33" s="113" customFormat="1" ht="6.75" customHeight="1" outlineLevel="1">
      <c r="A142" s="1261"/>
      <c r="B142" s="1261"/>
      <c r="C142" s="1261"/>
      <c r="D142" s="1261"/>
      <c r="E142" s="1263"/>
      <c r="F142" s="1263"/>
      <c r="G142" s="1271"/>
      <c r="H142" s="1270"/>
      <c r="I142" s="1271"/>
      <c r="J142" s="1270"/>
      <c r="K142" s="1271"/>
      <c r="L142" s="1270"/>
      <c r="M142" s="1271"/>
      <c r="N142" s="1270"/>
      <c r="O142" s="1271"/>
      <c r="P142" s="1270"/>
      <c r="Q142" s="1271"/>
      <c r="R142" s="1270"/>
      <c r="S142" s="1271"/>
      <c r="T142" s="1270"/>
      <c r="U142" s="1271"/>
      <c r="V142" s="1270"/>
      <c r="W142" s="1271"/>
      <c r="X142" s="1270"/>
      <c r="Y142" s="1271"/>
      <c r="Z142" s="1270"/>
      <c r="AA142" s="1271"/>
      <c r="AB142" s="1270"/>
      <c r="AC142" s="1271"/>
      <c r="AD142" s="1270"/>
      <c r="AE142" s="1271"/>
      <c r="AF142" s="1264"/>
      <c r="AG142" s="1244"/>
    </row>
    <row r="143" spans="1:33" s="113" customFormat="1">
      <c r="A143" s="1263"/>
      <c r="B143" s="1263"/>
      <c r="C143" s="1261" t="s">
        <v>262</v>
      </c>
      <c r="D143" s="1263"/>
      <c r="E143" s="1263"/>
      <c r="F143" s="1263"/>
      <c r="G143" s="1269">
        <f>SUM(G132:G142)</f>
        <v>1805.4299999999998</v>
      </c>
      <c r="H143" s="1270"/>
      <c r="I143" s="1269">
        <f>SUM(I132:I142)</f>
        <v>1490.31</v>
      </c>
      <c r="J143" s="1270"/>
      <c r="K143" s="1269">
        <f>SUM(K132:K142)</f>
        <v>1530.1399999999999</v>
      </c>
      <c r="L143" s="1270"/>
      <c r="M143" s="1269">
        <f>SUM(M132:M142)</f>
        <v>1753.6599999999999</v>
      </c>
      <c r="N143" s="1270"/>
      <c r="O143" s="1269">
        <f>SUM(O132:O142)</f>
        <v>2165.81</v>
      </c>
      <c r="P143" s="1270"/>
      <c r="Q143" s="1269">
        <f>SUM(Q132:Q142)</f>
        <v>2632.05</v>
      </c>
      <c r="R143" s="1270"/>
      <c r="S143" s="1269">
        <f>SUM(S132:S142)</f>
        <v>1882.6000000000001</v>
      </c>
      <c r="T143" s="1270"/>
      <c r="U143" s="1269">
        <f>SUM(U132:U142)</f>
        <v>2059.19</v>
      </c>
      <c r="V143" s="1270"/>
      <c r="W143" s="1269">
        <f>SUM(W132:W142)</f>
        <v>1873.9499999999998</v>
      </c>
      <c r="X143" s="1270"/>
      <c r="Y143" s="1269">
        <f>SUM(Y132:Y142)</f>
        <v>1870.2599999999998</v>
      </c>
      <c r="Z143" s="1270"/>
      <c r="AA143" s="1269">
        <f>SUM(AA132:AA142)</f>
        <v>1504.71</v>
      </c>
      <c r="AB143" s="1270"/>
      <c r="AC143" s="1269">
        <f>SUM(AC132:AC142)</f>
        <v>2153.86</v>
      </c>
      <c r="AD143" s="1270"/>
      <c r="AE143" s="1269">
        <f>SUM(AE132:AE142)</f>
        <v>22721.97</v>
      </c>
      <c r="AF143" s="1266">
        <f>IF(AE$45=0,0,AE143/AE$45)</f>
        <v>1.6241895249973475E-2</v>
      </c>
      <c r="AG143" s="1244"/>
    </row>
    <row r="144" spans="1:33" s="113" customFormat="1" hidden="1" outlineLevel="1">
      <c r="A144" s="1263"/>
      <c r="B144" s="1263"/>
      <c r="C144" s="1263"/>
      <c r="D144" s="1263"/>
      <c r="E144" s="1263"/>
      <c r="F144" s="1263"/>
      <c r="G144" s="1270"/>
      <c r="H144" s="1270"/>
      <c r="I144" s="1270"/>
      <c r="J144" s="1270"/>
      <c r="K144" s="1270"/>
      <c r="L144" s="1270"/>
      <c r="M144" s="1270"/>
      <c r="N144" s="1270"/>
      <c r="O144" s="1270"/>
      <c r="P144" s="1270"/>
      <c r="Q144" s="1270"/>
      <c r="R144" s="1270"/>
      <c r="S144" s="1270"/>
      <c r="T144" s="1270"/>
      <c r="U144" s="1270"/>
      <c r="V144" s="1270"/>
      <c r="W144" s="1270"/>
      <c r="X144" s="1270"/>
      <c r="Y144" s="1270"/>
      <c r="Z144" s="1270"/>
      <c r="AA144" s="1270"/>
      <c r="AB144" s="1270"/>
      <c r="AC144" s="1270"/>
      <c r="AD144" s="1270"/>
      <c r="AE144" s="1270"/>
      <c r="AF144" s="1264"/>
      <c r="AG144" s="1244"/>
    </row>
    <row r="145" spans="1:33" s="113" customFormat="1" ht="15" hidden="1" outlineLevel="1">
      <c r="A145" s="1277"/>
      <c r="B145" s="1277"/>
      <c r="C145" s="1277"/>
      <c r="D145" s="1277"/>
      <c r="E145" s="1277"/>
      <c r="F145" s="1277"/>
      <c r="G145" s="1278"/>
      <c r="H145" s="156"/>
      <c r="I145" s="1278"/>
      <c r="J145" s="156"/>
      <c r="K145" s="1278"/>
      <c r="L145" s="156"/>
      <c r="M145" s="1278"/>
      <c r="N145" s="156"/>
      <c r="O145" s="1278"/>
      <c r="P145" s="156"/>
      <c r="Q145" s="1278"/>
      <c r="R145" s="156"/>
      <c r="S145" s="1278"/>
      <c r="T145" s="156"/>
      <c r="U145" s="1278"/>
      <c r="V145" s="156"/>
      <c r="W145" s="1278"/>
      <c r="X145" s="156"/>
      <c r="Y145" s="1278"/>
      <c r="Z145" s="156"/>
      <c r="AA145" s="1278"/>
      <c r="AB145" s="156"/>
      <c r="AC145" s="1278"/>
      <c r="AD145" s="156"/>
      <c r="AE145" s="1278"/>
      <c r="AF145" s="1277"/>
      <c r="AG145" s="1277"/>
    </row>
    <row r="146" spans="1:33" s="113" customFormat="1" ht="4.5" hidden="1" customHeight="1" outlineLevel="1">
      <c r="A146" s="1272"/>
      <c r="B146" s="1263"/>
      <c r="C146" s="1263"/>
      <c r="D146" s="1263"/>
      <c r="E146" s="1263"/>
      <c r="F146" s="1263"/>
      <c r="G146" s="1271"/>
      <c r="H146" s="1270"/>
      <c r="I146" s="1271"/>
      <c r="J146" s="1270"/>
      <c r="K146" s="1271"/>
      <c r="L146" s="1270"/>
      <c r="M146" s="1271"/>
      <c r="N146" s="1270"/>
      <c r="O146" s="1271"/>
      <c r="P146" s="1270"/>
      <c r="Q146" s="1271"/>
      <c r="R146" s="1270"/>
      <c r="S146" s="1271"/>
      <c r="T146" s="1270"/>
      <c r="U146" s="1271"/>
      <c r="V146" s="1270"/>
      <c r="W146" s="1271"/>
      <c r="X146" s="1270"/>
      <c r="Y146" s="1271"/>
      <c r="Z146" s="1270"/>
      <c r="AA146" s="1271"/>
      <c r="AB146" s="1270"/>
      <c r="AC146" s="1271"/>
      <c r="AD146" s="1270"/>
      <c r="AE146" s="1271"/>
      <c r="AF146" s="1264"/>
      <c r="AG146" s="1244"/>
    </row>
    <row r="147" spans="1:33" s="113" customFormat="1" hidden="1" collapsed="1">
      <c r="A147" s="1263"/>
      <c r="B147" s="1263"/>
      <c r="C147" s="1263" t="s">
        <v>263</v>
      </c>
      <c r="D147" s="1263"/>
      <c r="E147" s="1263"/>
      <c r="F147" s="1263"/>
      <c r="G147" s="1269">
        <f>SUM(G145:G146)</f>
        <v>0</v>
      </c>
      <c r="H147" s="1270"/>
      <c r="I147" s="1269">
        <f>SUM(I145:I146)</f>
        <v>0</v>
      </c>
      <c r="J147" s="1270"/>
      <c r="K147" s="1269">
        <f>SUM(K145:K146)</f>
        <v>0</v>
      </c>
      <c r="L147" s="1270"/>
      <c r="M147" s="1269">
        <f>SUM(M145:M146)</f>
        <v>0</v>
      </c>
      <c r="N147" s="1270"/>
      <c r="O147" s="1269">
        <f>SUM(O145:O146)</f>
        <v>0</v>
      </c>
      <c r="P147" s="1270"/>
      <c r="Q147" s="1269">
        <f>SUM(Q145:Q146)</f>
        <v>0</v>
      </c>
      <c r="R147" s="1270"/>
      <c r="S147" s="1269">
        <f>SUM(S145:S146)</f>
        <v>0</v>
      </c>
      <c r="T147" s="1270"/>
      <c r="U147" s="1269">
        <f>SUM(U145:U146)</f>
        <v>0</v>
      </c>
      <c r="V147" s="1270"/>
      <c r="W147" s="1269">
        <f>SUM(W145:W146)</f>
        <v>0</v>
      </c>
      <c r="X147" s="1270"/>
      <c r="Y147" s="1269">
        <f>SUM(Y145:Y146)</f>
        <v>0</v>
      </c>
      <c r="Z147" s="1270"/>
      <c r="AA147" s="1269">
        <f>SUM(AA145:AA146)</f>
        <v>0</v>
      </c>
      <c r="AB147" s="1270"/>
      <c r="AC147" s="1269">
        <f>SUM(AC145:AC146)</f>
        <v>0</v>
      </c>
      <c r="AD147" s="1270"/>
      <c r="AE147" s="1269">
        <f>SUM(AE145:AE146)</f>
        <v>0</v>
      </c>
      <c r="AF147" s="1266">
        <f>IF(AE$45=0,0,AE147/AE$45)</f>
        <v>0</v>
      </c>
      <c r="AG147" s="1244"/>
    </row>
    <row r="148" spans="1:33" s="113" customFormat="1" hidden="1" outlineLevel="1">
      <c r="A148" s="1263"/>
      <c r="B148" s="1263"/>
      <c r="C148" s="1263"/>
      <c r="D148" s="1263"/>
      <c r="E148" s="1263"/>
      <c r="F148" s="1263"/>
      <c r="G148" s="1270"/>
      <c r="H148" s="1270"/>
      <c r="I148" s="1270"/>
      <c r="J148" s="1270"/>
      <c r="K148" s="1270"/>
      <c r="L148" s="1270"/>
      <c r="M148" s="1270"/>
      <c r="N148" s="1270"/>
      <c r="O148" s="1270"/>
      <c r="P148" s="1270"/>
      <c r="Q148" s="1270"/>
      <c r="R148" s="1270"/>
      <c r="S148" s="1270"/>
      <c r="T148" s="1270"/>
      <c r="U148" s="1270"/>
      <c r="V148" s="1270"/>
      <c r="W148" s="1270"/>
      <c r="X148" s="1270"/>
      <c r="Y148" s="1270"/>
      <c r="Z148" s="1270"/>
      <c r="AA148" s="1270"/>
      <c r="AB148" s="1270"/>
      <c r="AC148" s="1270"/>
      <c r="AD148" s="1270"/>
      <c r="AE148" s="1270"/>
      <c r="AF148" s="1264"/>
      <c r="AG148" s="1244"/>
    </row>
    <row r="149" spans="1:33" s="113" customFormat="1" hidden="1" outlineLevel="1">
      <c r="A149" s="1263"/>
      <c r="B149" s="1263"/>
      <c r="C149" s="1263"/>
      <c r="D149" s="1263"/>
      <c r="E149" s="1263"/>
      <c r="F149" s="1263"/>
      <c r="G149" s="1270"/>
      <c r="H149" s="1270"/>
      <c r="I149" s="1270"/>
      <c r="J149" s="1270"/>
      <c r="K149" s="1270"/>
      <c r="L149" s="1270"/>
      <c r="M149" s="1270"/>
      <c r="N149" s="1270"/>
      <c r="O149" s="1270"/>
      <c r="P149" s="1270"/>
      <c r="Q149" s="1270"/>
      <c r="R149" s="1270"/>
      <c r="S149" s="1270"/>
      <c r="T149" s="1270"/>
      <c r="U149" s="1270"/>
      <c r="V149" s="1270"/>
      <c r="W149" s="1270"/>
      <c r="X149" s="1270"/>
      <c r="Y149" s="1270"/>
      <c r="Z149" s="1270"/>
      <c r="AA149" s="1270"/>
      <c r="AB149" s="1270"/>
      <c r="AC149" s="1270"/>
      <c r="AD149" s="1270"/>
      <c r="AE149" s="1270"/>
      <c r="AF149" s="1264"/>
      <c r="AG149" s="1244"/>
    </row>
    <row r="150" spans="1:33" ht="17.25" customHeight="1" outlineLevel="1">
      <c r="A150" s="1260">
        <v>59340</v>
      </c>
      <c r="B150" s="1260" t="s">
        <v>90</v>
      </c>
      <c r="C150" s="1261"/>
      <c r="D150" s="1262"/>
      <c r="E150" s="1263"/>
      <c r="F150" s="1264"/>
      <c r="G150" s="1265">
        <v>729.12</v>
      </c>
      <c r="H150" s="1264"/>
      <c r="I150" s="1265">
        <v>729.12</v>
      </c>
      <c r="J150" s="1264"/>
      <c r="K150" s="1265">
        <v>729.12</v>
      </c>
      <c r="L150" s="1264"/>
      <c r="M150" s="1265">
        <v>729.12</v>
      </c>
      <c r="N150" s="1264"/>
      <c r="O150" s="1265">
        <v>729.12</v>
      </c>
      <c r="P150" s="1264"/>
      <c r="Q150" s="1265">
        <v>729.12</v>
      </c>
      <c r="R150" s="1264"/>
      <c r="S150" s="1265">
        <v>729.12</v>
      </c>
      <c r="T150" s="1264"/>
      <c r="U150" s="1265">
        <v>729.12</v>
      </c>
      <c r="V150" s="1264"/>
      <c r="W150" s="1265">
        <v>729.12</v>
      </c>
      <c r="X150" s="1264"/>
      <c r="Y150" s="1265">
        <v>729.12</v>
      </c>
      <c r="Z150" s="1264"/>
      <c r="AA150" s="1265">
        <v>729.12</v>
      </c>
      <c r="AB150" s="1264"/>
      <c r="AC150" s="1265">
        <v>703.91</v>
      </c>
      <c r="AD150" s="1264"/>
      <c r="AE150" s="1265">
        <f>AC150+AA150+Y150+W150+U150+S150+Q150+O150+M150+K150+I150+G150</f>
        <v>8724.23</v>
      </c>
      <c r="AF150" s="1266">
        <f>IF(AE$45=0,0,AE150/AE$45)</f>
        <v>6.2361683338494006E-3</v>
      </c>
      <c r="AG150" s="1267"/>
    </row>
    <row r="151" spans="1:33" ht="17.25" customHeight="1" outlineLevel="1">
      <c r="A151" s="1260">
        <v>59343</v>
      </c>
      <c r="B151" s="1260" t="s">
        <v>265</v>
      </c>
      <c r="C151" s="1261"/>
      <c r="D151" s="1262"/>
      <c r="E151" s="1263"/>
      <c r="F151" s="1264"/>
      <c r="G151" s="1265">
        <v>0</v>
      </c>
      <c r="H151" s="1264"/>
      <c r="I151" s="1265">
        <v>0</v>
      </c>
      <c r="J151" s="1264"/>
      <c r="K151" s="1265">
        <v>0</v>
      </c>
      <c r="L151" s="1264"/>
      <c r="M151" s="1265">
        <v>12.25</v>
      </c>
      <c r="N151" s="1264"/>
      <c r="O151" s="1265">
        <v>407.52</v>
      </c>
      <c r="P151" s="1264"/>
      <c r="Q151" s="1265">
        <v>4800</v>
      </c>
      <c r="R151" s="1264"/>
      <c r="S151" s="1265">
        <v>14170</v>
      </c>
      <c r="T151" s="1264"/>
      <c r="U151" s="1265">
        <v>0</v>
      </c>
      <c r="V151" s="1264"/>
      <c r="W151" s="1265">
        <v>4800</v>
      </c>
      <c r="X151" s="1264"/>
      <c r="Y151" s="1265">
        <v>7990</v>
      </c>
      <c r="Z151" s="1264"/>
      <c r="AA151" s="1265">
        <v>0</v>
      </c>
      <c r="AB151" s="1264"/>
      <c r="AC151" s="1265">
        <v>0</v>
      </c>
      <c r="AD151" s="1264"/>
      <c r="AE151" s="1265">
        <f>AC151+AA151+Y151+W151+U151+S151+Q151+O151+M151+K151+I151+G151</f>
        <v>32179.77</v>
      </c>
      <c r="AF151" s="1266">
        <f>IF(AE$45=0,0,AE151/AE$45)</f>
        <v>2.3002426880602292E-2</v>
      </c>
      <c r="AG151" s="1267"/>
    </row>
    <row r="152" spans="1:33" ht="17.25" customHeight="1" outlineLevel="1">
      <c r="A152" s="1260">
        <v>59400</v>
      </c>
      <c r="B152" s="1260" t="s">
        <v>266</v>
      </c>
      <c r="C152" s="1261"/>
      <c r="D152" s="1262"/>
      <c r="E152" s="1263"/>
      <c r="F152" s="1264"/>
      <c r="G152" s="1265">
        <v>0</v>
      </c>
      <c r="H152" s="1264"/>
      <c r="I152" s="1265">
        <v>2403.98</v>
      </c>
      <c r="J152" s="1264"/>
      <c r="K152" s="1265">
        <v>0</v>
      </c>
      <c r="L152" s="1264"/>
      <c r="M152" s="1265">
        <v>0</v>
      </c>
      <c r="N152" s="1264"/>
      <c r="O152" s="1265">
        <v>0</v>
      </c>
      <c r="P152" s="1264"/>
      <c r="Q152" s="1265">
        <v>0</v>
      </c>
      <c r="R152" s="1264"/>
      <c r="S152" s="1265">
        <v>0</v>
      </c>
      <c r="T152" s="1264"/>
      <c r="U152" s="1265">
        <v>0</v>
      </c>
      <c r="V152" s="1264"/>
      <c r="W152" s="1265">
        <v>0</v>
      </c>
      <c r="X152" s="1264"/>
      <c r="Y152" s="1265">
        <v>0</v>
      </c>
      <c r="Z152" s="1264"/>
      <c r="AA152" s="1265">
        <v>0</v>
      </c>
      <c r="AB152" s="1264"/>
      <c r="AC152" s="1265">
        <v>1202.23</v>
      </c>
      <c r="AD152" s="1264"/>
      <c r="AE152" s="1265">
        <f>AC152+AA152+Y152+W152+U152+S152+Q152+O152+M152+K152+I152+G152</f>
        <v>3606.21</v>
      </c>
      <c r="AF152" s="1266">
        <f>IF(AE$45=0,0,AE152/AE$45)</f>
        <v>2.57775558498699E-3</v>
      </c>
      <c r="AG152" s="1267"/>
    </row>
    <row r="153" spans="1:33" ht="17.25" customHeight="1" outlineLevel="1">
      <c r="A153" s="1260">
        <v>59500</v>
      </c>
      <c r="B153" s="1260" t="s">
        <v>267</v>
      </c>
      <c r="C153" s="1261"/>
      <c r="D153" s="1262"/>
      <c r="E153" s="1263"/>
      <c r="F153" s="1264"/>
      <c r="G153" s="1265">
        <v>0</v>
      </c>
      <c r="H153" s="1264"/>
      <c r="I153" s="1265">
        <v>0</v>
      </c>
      <c r="J153" s="1264"/>
      <c r="K153" s="1265">
        <v>0</v>
      </c>
      <c r="L153" s="1264"/>
      <c r="M153" s="1265">
        <v>0</v>
      </c>
      <c r="N153" s="1264"/>
      <c r="O153" s="1265">
        <v>0</v>
      </c>
      <c r="P153" s="1264"/>
      <c r="Q153" s="1265">
        <v>0</v>
      </c>
      <c r="R153" s="1264"/>
      <c r="S153" s="1265">
        <v>0</v>
      </c>
      <c r="T153" s="1264"/>
      <c r="U153" s="1265">
        <v>0</v>
      </c>
      <c r="V153" s="1264"/>
      <c r="W153" s="1265">
        <v>0</v>
      </c>
      <c r="X153" s="1264"/>
      <c r="Y153" s="1265">
        <v>0</v>
      </c>
      <c r="Z153" s="1264"/>
      <c r="AA153" s="1265">
        <v>2133.63</v>
      </c>
      <c r="AB153" s="1264"/>
      <c r="AC153" s="1265">
        <v>0</v>
      </c>
      <c r="AD153" s="1264"/>
      <c r="AE153" s="1265">
        <f>AC153+AA153+Y153+W153+U153+S153+Q153+O153+M153+K153+I153+G153</f>
        <v>2133.63</v>
      </c>
      <c r="AF153" s="1266">
        <f>IF(AE$45=0,0,AE153/AE$45)</f>
        <v>1.5251404241005909E-3</v>
      </c>
      <c r="AG153" s="1267"/>
    </row>
    <row r="154" spans="1:33" s="113" customFormat="1" ht="5.0999999999999996" customHeight="1" outlineLevel="1">
      <c r="A154" s="1261"/>
      <c r="B154" s="1261"/>
      <c r="C154" s="1261"/>
      <c r="D154" s="1261"/>
      <c r="E154" s="1263"/>
      <c r="F154" s="1263"/>
      <c r="G154" s="1271"/>
      <c r="H154" s="1270"/>
      <c r="I154" s="1271"/>
      <c r="J154" s="1270"/>
      <c r="K154" s="1271"/>
      <c r="L154" s="1270"/>
      <c r="M154" s="1271"/>
      <c r="N154" s="1270"/>
      <c r="O154" s="1271"/>
      <c r="P154" s="1270"/>
      <c r="Q154" s="1271"/>
      <c r="R154" s="1270"/>
      <c r="S154" s="1271"/>
      <c r="T154" s="1270"/>
      <c r="U154" s="1271"/>
      <c r="V154" s="1270"/>
      <c r="W154" s="1271"/>
      <c r="X154" s="1270"/>
      <c r="Y154" s="1271"/>
      <c r="Z154" s="1270"/>
      <c r="AA154" s="1271"/>
      <c r="AB154" s="1270"/>
      <c r="AC154" s="1271"/>
      <c r="AD154" s="1270"/>
      <c r="AE154" s="1271"/>
      <c r="AF154" s="1264"/>
      <c r="AG154" s="1244"/>
    </row>
    <row r="155" spans="1:33" s="113" customFormat="1">
      <c r="A155" s="1263"/>
      <c r="B155" s="1263"/>
      <c r="C155" s="1261" t="s">
        <v>268</v>
      </c>
      <c r="D155" s="1263"/>
      <c r="E155" s="1263"/>
      <c r="F155" s="1263"/>
      <c r="G155" s="1269">
        <f>SUM(G149:G154)</f>
        <v>729.12</v>
      </c>
      <c r="H155" s="1270"/>
      <c r="I155" s="1269">
        <f>SUM(I149:I154)</f>
        <v>3133.1</v>
      </c>
      <c r="J155" s="1270"/>
      <c r="K155" s="1269">
        <f>SUM(K149:K154)</f>
        <v>729.12</v>
      </c>
      <c r="L155" s="1270"/>
      <c r="M155" s="1269">
        <f>SUM(M149:M154)</f>
        <v>741.37</v>
      </c>
      <c r="N155" s="1270"/>
      <c r="O155" s="1269">
        <f>SUM(O149:O154)</f>
        <v>1136.6399999999999</v>
      </c>
      <c r="P155" s="1270"/>
      <c r="Q155" s="1269">
        <f>SUM(Q149:Q154)</f>
        <v>5529.12</v>
      </c>
      <c r="R155" s="1270"/>
      <c r="S155" s="1269">
        <f>SUM(S149:S154)</f>
        <v>14899.12</v>
      </c>
      <c r="T155" s="1270"/>
      <c r="U155" s="1269">
        <f>SUM(U149:U154)</f>
        <v>729.12</v>
      </c>
      <c r="V155" s="1270"/>
      <c r="W155" s="1269">
        <f>SUM(W149:W154)</f>
        <v>5529.12</v>
      </c>
      <c r="X155" s="1270"/>
      <c r="Y155" s="1269">
        <f>SUM(Y149:Y154)</f>
        <v>8719.1200000000008</v>
      </c>
      <c r="Z155" s="1270"/>
      <c r="AA155" s="1269">
        <f>SUM(AA149:AA154)</f>
        <v>2862.75</v>
      </c>
      <c r="AB155" s="1270"/>
      <c r="AC155" s="1269">
        <f>SUM(AC149:AC154)</f>
        <v>1906.1399999999999</v>
      </c>
      <c r="AD155" s="1270"/>
      <c r="AE155" s="1269">
        <f>SUM(AE149:AE154)</f>
        <v>46643.839999999997</v>
      </c>
      <c r="AF155" s="1266">
        <f>IF(AE$45=0,0,AE155/AE$45)</f>
        <v>3.3341491223539271E-2</v>
      </c>
      <c r="AG155" s="1244"/>
    </row>
    <row r="156" spans="1:33" s="113" customFormat="1" hidden="1" outlineLevel="1">
      <c r="A156" s="1263"/>
      <c r="B156" s="1263"/>
      <c r="C156" s="1263"/>
      <c r="D156" s="1263"/>
      <c r="E156" s="1263"/>
      <c r="F156" s="1263"/>
      <c r="G156" s="1270"/>
      <c r="H156" s="1270"/>
      <c r="I156" s="1270"/>
      <c r="J156" s="1270"/>
      <c r="K156" s="1270"/>
      <c r="L156" s="1270"/>
      <c r="M156" s="1270"/>
      <c r="N156" s="1270"/>
      <c r="O156" s="1270"/>
      <c r="P156" s="1270"/>
      <c r="Q156" s="1270"/>
      <c r="R156" s="1270"/>
      <c r="S156" s="1270"/>
      <c r="T156" s="1270"/>
      <c r="U156" s="1270"/>
      <c r="V156" s="1270"/>
      <c r="W156" s="1270"/>
      <c r="X156" s="1270"/>
      <c r="Y156" s="1270"/>
      <c r="Z156" s="1270"/>
      <c r="AA156" s="1270"/>
      <c r="AB156" s="1270"/>
      <c r="AC156" s="1270"/>
      <c r="AD156" s="1270"/>
      <c r="AE156" s="1270"/>
      <c r="AF156" s="1264"/>
      <c r="AG156" s="1244"/>
    </row>
    <row r="157" spans="1:33" hidden="1" outlineLevel="1">
      <c r="A157" s="1260"/>
      <c r="B157" s="1260"/>
      <c r="C157" s="1261"/>
      <c r="D157" s="1262"/>
      <c r="E157" s="1263"/>
      <c r="F157" s="1264"/>
      <c r="G157" s="1265"/>
      <c r="H157" s="1264"/>
      <c r="I157" s="1265"/>
      <c r="J157" s="1264"/>
      <c r="K157" s="1265"/>
      <c r="L157" s="1264"/>
      <c r="M157" s="1265"/>
      <c r="N157" s="1264"/>
      <c r="O157" s="1265"/>
      <c r="P157" s="1264"/>
      <c r="Q157" s="1265"/>
      <c r="R157" s="1264"/>
      <c r="S157" s="1265"/>
      <c r="T157" s="1264"/>
      <c r="U157" s="1265"/>
      <c r="V157" s="1264"/>
      <c r="W157" s="1265"/>
      <c r="X157" s="1264"/>
      <c r="Y157" s="1265"/>
      <c r="Z157" s="1264"/>
      <c r="AA157" s="1265"/>
      <c r="AB157" s="1264"/>
      <c r="AC157" s="1265"/>
      <c r="AD157" s="1264"/>
      <c r="AE157" s="1265">
        <f>AC157+AA157+Y157+W157+U157+S157+Q157+O157+M157+K157+I157+G157</f>
        <v>0</v>
      </c>
      <c r="AF157" s="1266">
        <f>IF(AE$45=0,0,AE157/AE$45)</f>
        <v>0</v>
      </c>
      <c r="AG157" s="1267"/>
    </row>
    <row r="158" spans="1:33" s="113" customFormat="1" ht="5.0999999999999996" hidden="1" customHeight="1" outlineLevel="1">
      <c r="A158" s="1261"/>
      <c r="B158" s="1261"/>
      <c r="C158" s="1261"/>
      <c r="D158" s="1261"/>
      <c r="E158" s="1263"/>
      <c r="F158" s="1263"/>
      <c r="G158" s="1271"/>
      <c r="H158" s="1270"/>
      <c r="I158" s="1271"/>
      <c r="J158" s="1270"/>
      <c r="K158" s="1271"/>
      <c r="L158" s="1270"/>
      <c r="M158" s="1271"/>
      <c r="N158" s="1270"/>
      <c r="O158" s="1271"/>
      <c r="P158" s="1270"/>
      <c r="Q158" s="1271"/>
      <c r="R158" s="1270"/>
      <c r="S158" s="1271"/>
      <c r="T158" s="1270"/>
      <c r="U158" s="1271"/>
      <c r="V158" s="1270"/>
      <c r="W158" s="1271"/>
      <c r="X158" s="1270"/>
      <c r="Y158" s="1271"/>
      <c r="Z158" s="1270"/>
      <c r="AA158" s="1271"/>
      <c r="AB158" s="1270"/>
      <c r="AC158" s="1271"/>
      <c r="AD158" s="1270"/>
      <c r="AE158" s="1271"/>
      <c r="AF158" s="1264"/>
      <c r="AG158" s="1244"/>
    </row>
    <row r="159" spans="1:33" s="113" customFormat="1" hidden="1" collapsed="1">
      <c r="A159" s="1263"/>
      <c r="B159" s="1263"/>
      <c r="C159" s="1260" t="s">
        <v>270</v>
      </c>
      <c r="D159" s="1263"/>
      <c r="E159" s="1263"/>
      <c r="F159" s="1263"/>
      <c r="G159" s="1269">
        <f>SUM(G157:G158)</f>
        <v>0</v>
      </c>
      <c r="H159" s="1270"/>
      <c r="I159" s="1269">
        <f>SUM(I157:I158)</f>
        <v>0</v>
      </c>
      <c r="J159" s="1270"/>
      <c r="K159" s="1269">
        <f>SUM(K157:K158)</f>
        <v>0</v>
      </c>
      <c r="L159" s="1270"/>
      <c r="M159" s="1269">
        <f>SUM(M157:M158)</f>
        <v>0</v>
      </c>
      <c r="N159" s="1270"/>
      <c r="O159" s="1269">
        <f>SUM(O157:O158)</f>
        <v>0</v>
      </c>
      <c r="P159" s="1270"/>
      <c r="Q159" s="1269">
        <f>SUM(Q157:Q158)</f>
        <v>0</v>
      </c>
      <c r="R159" s="1270"/>
      <c r="S159" s="1269">
        <f>SUM(S157:S158)</f>
        <v>0</v>
      </c>
      <c r="T159" s="1270"/>
      <c r="U159" s="1269">
        <f>SUM(U157:U158)</f>
        <v>0</v>
      </c>
      <c r="V159" s="1270"/>
      <c r="W159" s="1269">
        <f>SUM(W157:W158)</f>
        <v>0</v>
      </c>
      <c r="X159" s="1270"/>
      <c r="Y159" s="1269">
        <f>SUM(Y157:Y158)</f>
        <v>0</v>
      </c>
      <c r="Z159" s="1270"/>
      <c r="AA159" s="1269">
        <f>SUM(AA157:AA158)</f>
        <v>0</v>
      </c>
      <c r="AB159" s="1270"/>
      <c r="AC159" s="1269">
        <f>SUM(AC157:AC158)</f>
        <v>0</v>
      </c>
      <c r="AD159" s="1270"/>
      <c r="AE159" s="1269">
        <f>SUM(AE157:AE158)</f>
        <v>0</v>
      </c>
      <c r="AF159" s="1266">
        <f>IF(AE$45=0,0,AE159/AE$45)</f>
        <v>0</v>
      </c>
      <c r="AG159" s="1244"/>
    </row>
    <row r="160" spans="1:33" s="113" customFormat="1" ht="7.5" customHeight="1">
      <c r="A160" s="1263"/>
      <c r="B160" s="1263"/>
      <c r="C160" s="1263"/>
      <c r="D160" s="1263"/>
      <c r="E160" s="1263"/>
      <c r="F160" s="1263"/>
      <c r="G160" s="1270"/>
      <c r="H160" s="1270"/>
      <c r="I160" s="1270"/>
      <c r="J160" s="1270"/>
      <c r="K160" s="1270"/>
      <c r="L160" s="1270"/>
      <c r="M160" s="1270"/>
      <c r="N160" s="1270"/>
      <c r="O160" s="1270"/>
      <c r="P160" s="1270"/>
      <c r="Q160" s="1270"/>
      <c r="R160" s="1270"/>
      <c r="S160" s="1270"/>
      <c r="T160" s="1270"/>
      <c r="U160" s="1270"/>
      <c r="V160" s="1270"/>
      <c r="W160" s="1270"/>
      <c r="X160" s="1270"/>
      <c r="Y160" s="1270"/>
      <c r="Z160" s="1270"/>
      <c r="AA160" s="1270"/>
      <c r="AB160" s="1270"/>
      <c r="AC160" s="1270"/>
      <c r="AD160" s="1270"/>
      <c r="AE160" s="1270"/>
      <c r="AF160" s="1264"/>
      <c r="AG160" s="1244"/>
    </row>
    <row r="161" spans="1:33" s="113" customFormat="1" ht="15">
      <c r="A161" s="1263"/>
      <c r="B161" s="1276" t="s">
        <v>271</v>
      </c>
      <c r="C161" s="1263"/>
      <c r="D161" s="1263"/>
      <c r="E161" s="1263"/>
      <c r="F161" s="1263"/>
      <c r="G161" s="1274">
        <f>+G90+G94+G115+G120+G130+G143+G155+G147+G159</f>
        <v>42350.700000000004</v>
      </c>
      <c r="H161" s="1270"/>
      <c r="I161" s="1274">
        <f>+I90+I94+I115+I120+I130+I143+I155+I147+I159</f>
        <v>37069.5</v>
      </c>
      <c r="J161" s="1270"/>
      <c r="K161" s="1274">
        <f>+K90+K94+K115+K120+K130+K143+K155+K147+K159</f>
        <v>34062.12000000001</v>
      </c>
      <c r="L161" s="1270"/>
      <c r="M161" s="1274">
        <f>+M90+M94+M115+M120+M130+M143+M155+M147+M159</f>
        <v>43098.73</v>
      </c>
      <c r="N161" s="1270"/>
      <c r="O161" s="1274">
        <f>+O90+O94+O115+O120+O130+O143+O155+O147+O159</f>
        <v>41582.699999999997</v>
      </c>
      <c r="P161" s="1270"/>
      <c r="Q161" s="1274">
        <f>+Q90+Q94+Q115+Q120+Q130+Q143+Q155+Q147+Q159</f>
        <v>51814.560000000005</v>
      </c>
      <c r="R161" s="1270"/>
      <c r="S161" s="1274">
        <f>+S90+S94+S115+S120+S130+S143+S155+S147+S159</f>
        <v>52487.28</v>
      </c>
      <c r="T161" s="1270"/>
      <c r="U161" s="1274">
        <f>+U90+U94+U115+U120+U130+U143+U155+U147+U159</f>
        <v>35830.660000000003</v>
      </c>
      <c r="V161" s="1270"/>
      <c r="W161" s="1274">
        <f>+W90+W94+W115+W120+W130+W143+W155+W147+W159</f>
        <v>44077.580000000009</v>
      </c>
      <c r="X161" s="1270"/>
      <c r="Y161" s="1274">
        <f>+Y90+Y94+Y115+Y120+Y130+Y143+Y155+Y147+Y159</f>
        <v>41260.909999999996</v>
      </c>
      <c r="Z161" s="1270"/>
      <c r="AA161" s="1274">
        <f>+AA90+AA94+AA115+AA120+AA130+AA143+AA155+AA147+AA159</f>
        <v>37679.03</v>
      </c>
      <c r="AB161" s="1270"/>
      <c r="AC161" s="1274">
        <f>+AC90+AC94+AC115+AC120+AC130+AC143+AC155+AC147+AC159</f>
        <v>34555.850000000006</v>
      </c>
      <c r="AD161" s="1270"/>
      <c r="AE161" s="1274">
        <f>+AE90+AE94+AE115+AE120+AE130+AE143+AE155+AE147+AE159</f>
        <v>495869.61999999988</v>
      </c>
      <c r="AF161" s="1266">
        <f>IF(AE$45=0,0,AE161/AE$45)</f>
        <v>0.3544526476218457</v>
      </c>
      <c r="AG161" s="1244"/>
    </row>
    <row r="162" spans="1:33" s="113" customFormat="1" ht="7.5" customHeight="1">
      <c r="A162" s="1263"/>
      <c r="B162" s="1263"/>
      <c r="C162" s="1263"/>
      <c r="D162" s="1263"/>
      <c r="E162" s="1263"/>
      <c r="F162" s="1263"/>
      <c r="G162" s="1270"/>
      <c r="H162" s="1270"/>
      <c r="I162" s="1270"/>
      <c r="J162" s="1270"/>
      <c r="K162" s="1270"/>
      <c r="L162" s="1270"/>
      <c r="M162" s="1270"/>
      <c r="N162" s="1270"/>
      <c r="O162" s="1270"/>
      <c r="P162" s="1270"/>
      <c r="Q162" s="1270"/>
      <c r="R162" s="1270"/>
      <c r="S162" s="1270"/>
      <c r="T162" s="1270"/>
      <c r="U162" s="1270"/>
      <c r="V162" s="1270"/>
      <c r="W162" s="1270"/>
      <c r="X162" s="1270"/>
      <c r="Y162" s="1270"/>
      <c r="Z162" s="1270"/>
      <c r="AA162" s="1270"/>
      <c r="AB162" s="1270"/>
      <c r="AC162" s="1270"/>
      <c r="AD162" s="1270"/>
      <c r="AE162" s="1270"/>
      <c r="AF162" s="1264"/>
      <c r="AG162" s="1244"/>
    </row>
    <row r="163" spans="1:33" s="113" customFormat="1" ht="15">
      <c r="A163" s="1263"/>
      <c r="B163" s="1276" t="s">
        <v>272</v>
      </c>
      <c r="C163" s="1263"/>
      <c r="D163" s="1263"/>
      <c r="E163" s="1263"/>
      <c r="F163" s="1263"/>
      <c r="G163" s="1274">
        <f>G75-G161</f>
        <v>37102.389999999992</v>
      </c>
      <c r="H163" s="1270"/>
      <c r="I163" s="1274">
        <f>I75-I161</f>
        <v>46363.619999999995</v>
      </c>
      <c r="J163" s="1270"/>
      <c r="K163" s="1274">
        <f>K75-K161</f>
        <v>24777.929999999971</v>
      </c>
      <c r="L163" s="1270"/>
      <c r="M163" s="1274">
        <f>M75-M161</f>
        <v>41456.090000000004</v>
      </c>
      <c r="N163" s="1270"/>
      <c r="O163" s="1274">
        <f>O75-O161</f>
        <v>42893.099999999991</v>
      </c>
      <c r="P163" s="1270"/>
      <c r="Q163" s="1274">
        <f>Q75-Q161</f>
        <v>22449.770000000011</v>
      </c>
      <c r="R163" s="1270"/>
      <c r="S163" s="1274">
        <f>S75-S161</f>
        <v>27036.639999999999</v>
      </c>
      <c r="T163" s="1270"/>
      <c r="U163" s="1274">
        <f>U75-U161</f>
        <v>40204.229999999996</v>
      </c>
      <c r="V163" s="1270"/>
      <c r="W163" s="1274">
        <f>W75-W161</f>
        <v>39302.159999999996</v>
      </c>
      <c r="X163" s="1270"/>
      <c r="Y163" s="1274">
        <f>Y75-Y161</f>
        <v>33653.94000000001</v>
      </c>
      <c r="Z163" s="1270"/>
      <c r="AA163" s="1274">
        <f>AA75-AA161</f>
        <v>44183.05</v>
      </c>
      <c r="AB163" s="1270"/>
      <c r="AC163" s="1274">
        <f>AC75-AC161</f>
        <v>108579.80999999997</v>
      </c>
      <c r="AD163" s="1270"/>
      <c r="AE163" s="1274">
        <f>AE75-AE161</f>
        <v>508002.73000000045</v>
      </c>
      <c r="AF163" s="1266">
        <f>IF(AE$45=0,0,AE163/AE$45)</f>
        <v>0.3631255180497362</v>
      </c>
      <c r="AG163" s="1244"/>
    </row>
    <row r="164" spans="1:33" s="113" customFormat="1" ht="7.5" hidden="1" customHeight="1">
      <c r="A164" s="1263"/>
      <c r="B164" s="1263"/>
      <c r="C164" s="1263"/>
      <c r="D164" s="1263"/>
      <c r="E164" s="1263"/>
      <c r="F164" s="1263"/>
      <c r="G164" s="1270"/>
      <c r="H164" s="1270"/>
      <c r="I164" s="1270"/>
      <c r="J164" s="1270"/>
      <c r="K164" s="1270"/>
      <c r="L164" s="1270"/>
      <c r="M164" s="1270"/>
      <c r="N164" s="1270"/>
      <c r="O164" s="1270"/>
      <c r="P164" s="1270"/>
      <c r="Q164" s="1270"/>
      <c r="R164" s="1270"/>
      <c r="S164" s="1270"/>
      <c r="T164" s="1270"/>
      <c r="U164" s="1270"/>
      <c r="V164" s="1270"/>
      <c r="W164" s="1270"/>
      <c r="X164" s="1270"/>
      <c r="Y164" s="1270"/>
      <c r="Z164" s="1270"/>
      <c r="AA164" s="1270"/>
      <c r="AB164" s="1270"/>
      <c r="AC164" s="1270"/>
      <c r="AD164" s="1270"/>
      <c r="AE164" s="1270"/>
      <c r="AF164" s="1264"/>
      <c r="AG164" s="1244"/>
    </row>
    <row r="165" spans="1:33" s="113" customFormat="1" hidden="1" outlineLevel="1">
      <c r="A165" s="1263"/>
      <c r="B165" s="1263"/>
      <c r="C165" s="1263"/>
      <c r="D165" s="1263"/>
      <c r="E165" s="1263"/>
      <c r="F165" s="1263"/>
      <c r="G165" s="1270"/>
      <c r="H165" s="1270"/>
      <c r="I165" s="1270"/>
      <c r="J165" s="1270"/>
      <c r="K165" s="1270"/>
      <c r="L165" s="1270"/>
      <c r="M165" s="1270"/>
      <c r="N165" s="1270"/>
      <c r="O165" s="1270"/>
      <c r="P165" s="1270"/>
      <c r="Q165" s="1270"/>
      <c r="R165" s="1270"/>
      <c r="S165" s="1270"/>
      <c r="T165" s="1270"/>
      <c r="U165" s="1270"/>
      <c r="V165" s="1270"/>
      <c r="W165" s="1270"/>
      <c r="X165" s="1270"/>
      <c r="Y165" s="1270"/>
      <c r="Z165" s="1270"/>
      <c r="AA165" s="1270"/>
      <c r="AB165" s="1270"/>
      <c r="AC165" s="1270"/>
      <c r="AD165" s="1270"/>
      <c r="AE165" s="1270"/>
      <c r="AF165" s="1264"/>
      <c r="AG165" s="1244"/>
    </row>
    <row r="166" spans="1:33" hidden="1" outlineLevel="1">
      <c r="A166" s="1260"/>
      <c r="B166" s="1260"/>
      <c r="C166" s="1261"/>
      <c r="D166" s="1262"/>
      <c r="E166" s="1263"/>
      <c r="F166" s="1264"/>
      <c r="G166" s="1265"/>
      <c r="H166" s="1264"/>
      <c r="I166" s="1265"/>
      <c r="J166" s="1264"/>
      <c r="K166" s="1265"/>
      <c r="L166" s="1264"/>
      <c r="M166" s="1265"/>
      <c r="N166" s="1264"/>
      <c r="O166" s="1265"/>
      <c r="P166" s="1264"/>
      <c r="Q166" s="1265"/>
      <c r="R166" s="1264"/>
      <c r="S166" s="1265"/>
      <c r="T166" s="1264"/>
      <c r="U166" s="1265"/>
      <c r="V166" s="1264"/>
      <c r="W166" s="1265"/>
      <c r="X166" s="1264"/>
      <c r="Y166" s="1265"/>
      <c r="Z166" s="1264"/>
      <c r="AA166" s="1265"/>
      <c r="AB166" s="1264"/>
      <c r="AC166" s="1265"/>
      <c r="AD166" s="1264"/>
      <c r="AE166" s="1265">
        <f>AC166+AA166+Y166+W166+U166+S166+Q166+O166+M166+K166+I166+G166</f>
        <v>0</v>
      </c>
      <c r="AF166" s="1266">
        <f>IF(AE$45=0,0,AE166/AE$45)</f>
        <v>0</v>
      </c>
      <c r="AG166" s="1267"/>
    </row>
    <row r="167" spans="1:33" s="113" customFormat="1" ht="5.0999999999999996" hidden="1" customHeight="1" outlineLevel="1">
      <c r="A167" s="1261"/>
      <c r="B167" s="1261"/>
      <c r="C167" s="1261"/>
      <c r="D167" s="1261"/>
      <c r="E167" s="1263"/>
      <c r="F167" s="1263"/>
      <c r="G167" s="1271"/>
      <c r="H167" s="1270"/>
      <c r="I167" s="1271"/>
      <c r="J167" s="1270"/>
      <c r="K167" s="1271"/>
      <c r="L167" s="1270"/>
      <c r="M167" s="1271"/>
      <c r="N167" s="1270"/>
      <c r="O167" s="1271"/>
      <c r="P167" s="1270"/>
      <c r="Q167" s="1271"/>
      <c r="R167" s="1270"/>
      <c r="S167" s="1271"/>
      <c r="T167" s="1270"/>
      <c r="U167" s="1271"/>
      <c r="V167" s="1270"/>
      <c r="W167" s="1271"/>
      <c r="X167" s="1270"/>
      <c r="Y167" s="1271"/>
      <c r="Z167" s="1270"/>
      <c r="AA167" s="1271"/>
      <c r="AB167" s="1270"/>
      <c r="AC167" s="1271"/>
      <c r="AD167" s="1270"/>
      <c r="AE167" s="1271"/>
      <c r="AF167" s="1264"/>
      <c r="AG167" s="1244"/>
    </row>
    <row r="168" spans="1:33" s="113" customFormat="1" hidden="1" collapsed="1">
      <c r="A168" s="1263"/>
      <c r="B168" s="1263"/>
      <c r="C168" s="1261" t="s">
        <v>274</v>
      </c>
      <c r="D168" s="1263"/>
      <c r="E168" s="1263"/>
      <c r="F168" s="1263"/>
      <c r="G168" s="1269">
        <f>SUM(G165:G167)</f>
        <v>0</v>
      </c>
      <c r="H168" s="1270"/>
      <c r="I168" s="1269">
        <f>SUM(I165:I167)</f>
        <v>0</v>
      </c>
      <c r="J168" s="1270"/>
      <c r="K168" s="1269">
        <f>SUM(K165:K167)</f>
        <v>0</v>
      </c>
      <c r="L168" s="1270"/>
      <c r="M168" s="1269">
        <f>SUM(M165:M167)</f>
        <v>0</v>
      </c>
      <c r="N168" s="1270"/>
      <c r="O168" s="1269">
        <f>SUM(O165:O167)</f>
        <v>0</v>
      </c>
      <c r="P168" s="1270"/>
      <c r="Q168" s="1269">
        <f>SUM(Q165:Q167)</f>
        <v>0</v>
      </c>
      <c r="R168" s="1270"/>
      <c r="S168" s="1269">
        <f>SUM(S165:S167)</f>
        <v>0</v>
      </c>
      <c r="T168" s="1270"/>
      <c r="U168" s="1269">
        <f>SUM(U165:U167)</f>
        <v>0</v>
      </c>
      <c r="V168" s="1270"/>
      <c r="W168" s="1269">
        <f>SUM(W165:W167)</f>
        <v>0</v>
      </c>
      <c r="X168" s="1270"/>
      <c r="Y168" s="1269">
        <f>SUM(Y165:Y167)</f>
        <v>0</v>
      </c>
      <c r="Z168" s="1270"/>
      <c r="AA168" s="1269">
        <f>SUM(AA165:AA167)</f>
        <v>0</v>
      </c>
      <c r="AB168" s="1270"/>
      <c r="AC168" s="1269">
        <f>SUM(AC165:AC167)</f>
        <v>0</v>
      </c>
      <c r="AD168" s="1270"/>
      <c r="AE168" s="1269">
        <f>SUM(AE165:AE167)</f>
        <v>0</v>
      </c>
      <c r="AF168" s="1266">
        <f>IF(AE$45=0,0,AE168/AE$45)</f>
        <v>0</v>
      </c>
      <c r="AG168" s="1244"/>
    </row>
    <row r="169" spans="1:33" s="113" customFormat="1" hidden="1" outlineLevel="1">
      <c r="A169" s="1263"/>
      <c r="B169" s="1263"/>
      <c r="C169" s="1263"/>
      <c r="D169" s="1263"/>
      <c r="E169" s="1263"/>
      <c r="F169" s="1263"/>
      <c r="G169" s="1270"/>
      <c r="H169" s="1270"/>
      <c r="I169" s="1270"/>
      <c r="J169" s="1270"/>
      <c r="K169" s="1270"/>
      <c r="L169" s="1270"/>
      <c r="M169" s="1270"/>
      <c r="N169" s="1270"/>
      <c r="O169" s="1270"/>
      <c r="P169" s="1270"/>
      <c r="Q169" s="1270"/>
      <c r="R169" s="1270"/>
      <c r="S169" s="1270"/>
      <c r="T169" s="1270"/>
      <c r="U169" s="1270"/>
      <c r="V169" s="1270"/>
      <c r="W169" s="1270"/>
      <c r="X169" s="1270"/>
      <c r="Y169" s="1270"/>
      <c r="Z169" s="1270"/>
      <c r="AA169" s="1270"/>
      <c r="AB169" s="1270"/>
      <c r="AC169" s="1270"/>
      <c r="AD169" s="1270"/>
      <c r="AE169" s="1270"/>
      <c r="AF169" s="1264"/>
      <c r="AG169" s="1244"/>
    </row>
    <row r="170" spans="1:33" s="113" customFormat="1" ht="8.25" customHeight="1" outlineLevel="1">
      <c r="A170" s="1263"/>
      <c r="B170" s="1263"/>
      <c r="C170" s="1263"/>
      <c r="D170" s="1263"/>
      <c r="E170" s="1263"/>
      <c r="F170" s="1263"/>
      <c r="G170" s="1270"/>
      <c r="H170" s="1270"/>
      <c r="I170" s="1270"/>
      <c r="J170" s="1270"/>
      <c r="K170" s="1270"/>
      <c r="L170" s="1270"/>
      <c r="M170" s="1270"/>
      <c r="N170" s="1270"/>
      <c r="O170" s="1270"/>
      <c r="P170" s="1270"/>
      <c r="Q170" s="1270"/>
      <c r="R170" s="1270"/>
      <c r="S170" s="1270"/>
      <c r="T170" s="1270"/>
      <c r="U170" s="1270"/>
      <c r="V170" s="1270"/>
      <c r="W170" s="1270"/>
      <c r="X170" s="1270"/>
      <c r="Y170" s="1270"/>
      <c r="Z170" s="1270"/>
      <c r="AA170" s="1270"/>
      <c r="AB170" s="1270"/>
      <c r="AC170" s="1270"/>
      <c r="AD170" s="1270"/>
      <c r="AE170" s="1270"/>
      <c r="AF170" s="1264"/>
      <c r="AG170" s="1244"/>
    </row>
    <row r="171" spans="1:33" ht="15.75" customHeight="1" outlineLevel="1">
      <c r="A171" s="1260">
        <v>70010</v>
      </c>
      <c r="B171" s="1260" t="s">
        <v>26</v>
      </c>
      <c r="C171" s="1261"/>
      <c r="D171" s="1262"/>
      <c r="E171" s="1263"/>
      <c r="F171" s="1264"/>
      <c r="G171" s="1265">
        <v>2037.68</v>
      </c>
      <c r="H171" s="1264"/>
      <c r="I171" s="1265">
        <v>2099.71</v>
      </c>
      <c r="J171" s="1264"/>
      <c r="K171" s="1265">
        <v>613.02</v>
      </c>
      <c r="L171" s="1264"/>
      <c r="M171" s="1265">
        <v>688.8</v>
      </c>
      <c r="N171" s="1264"/>
      <c r="O171" s="1265">
        <v>687.25</v>
      </c>
      <c r="P171" s="1264"/>
      <c r="Q171" s="1265">
        <v>617.64</v>
      </c>
      <c r="R171" s="1264"/>
      <c r="S171" s="1265">
        <v>6947.79</v>
      </c>
      <c r="T171" s="1264"/>
      <c r="U171" s="1265">
        <v>7481.04</v>
      </c>
      <c r="V171" s="1264"/>
      <c r="W171" s="1265">
        <v>7110.62</v>
      </c>
      <c r="X171" s="1264"/>
      <c r="Y171" s="1265">
        <v>7422.65</v>
      </c>
      <c r="Z171" s="1264"/>
      <c r="AA171" s="1265">
        <v>6378.56</v>
      </c>
      <c r="AB171" s="1264"/>
      <c r="AC171" s="1265">
        <v>14041.1</v>
      </c>
      <c r="AD171" s="1264"/>
      <c r="AE171" s="1265">
        <f t="shared" ref="AE171:AE202" si="10">AC171+AA171+Y171+W171+U171+S171+Q171+O171+M171+K171+I171+G171</f>
        <v>56125.86</v>
      </c>
      <c r="AF171" s="1266">
        <f t="shared" ref="AF171:AF202" si="11">IF(AE$45=0,0,AE171/AE$45)</f>
        <v>4.0119335556497791E-2</v>
      </c>
      <c r="AG171" s="1267"/>
    </row>
    <row r="172" spans="1:33" ht="15.75" customHeight="1" outlineLevel="1">
      <c r="A172" s="1260">
        <v>70020</v>
      </c>
      <c r="B172" s="1260" t="s">
        <v>34</v>
      </c>
      <c r="C172" s="1261"/>
      <c r="D172" s="1262"/>
      <c r="E172" s="1263"/>
      <c r="F172" s="1264"/>
      <c r="G172" s="1265">
        <v>2741.38</v>
      </c>
      <c r="H172" s="1264"/>
      <c r="I172" s="1265">
        <v>2871.79</v>
      </c>
      <c r="J172" s="1264"/>
      <c r="K172" s="1265">
        <v>2480.67</v>
      </c>
      <c r="L172" s="1264"/>
      <c r="M172" s="1265">
        <v>2865.6</v>
      </c>
      <c r="N172" s="1264"/>
      <c r="O172" s="1265">
        <v>2202.6</v>
      </c>
      <c r="P172" s="1264"/>
      <c r="Q172" s="1265">
        <v>2660.7</v>
      </c>
      <c r="R172" s="1264"/>
      <c r="S172" s="1265">
        <v>1232.03</v>
      </c>
      <c r="T172" s="1264"/>
      <c r="U172" s="1265">
        <v>2448.41</v>
      </c>
      <c r="V172" s="1264"/>
      <c r="W172" s="1265">
        <v>2390.92</v>
      </c>
      <c r="X172" s="1264"/>
      <c r="Y172" s="1265">
        <v>3341.34</v>
      </c>
      <c r="Z172" s="1264"/>
      <c r="AA172" s="1265">
        <v>-651.69000000000005</v>
      </c>
      <c r="AB172" s="1264"/>
      <c r="AC172" s="1265">
        <v>6.85</v>
      </c>
      <c r="AD172" s="1264"/>
      <c r="AE172" s="1265">
        <f t="shared" si="10"/>
        <v>24590.600000000002</v>
      </c>
      <c r="AF172" s="1266">
        <f t="shared" si="11"/>
        <v>1.7577610978889494E-2</v>
      </c>
      <c r="AG172" s="1267"/>
    </row>
    <row r="173" spans="1:33" ht="15.75" customHeight="1" outlineLevel="1">
      <c r="A173" s="1260">
        <v>70025</v>
      </c>
      <c r="B173" s="1260" t="s">
        <v>35</v>
      </c>
      <c r="C173" s="1261"/>
      <c r="D173" s="1262"/>
      <c r="E173" s="1263"/>
      <c r="F173" s="1264"/>
      <c r="G173" s="1265">
        <v>322.3</v>
      </c>
      <c r="H173" s="1264"/>
      <c r="I173" s="1265">
        <v>304.74</v>
      </c>
      <c r="J173" s="1264"/>
      <c r="K173" s="1265">
        <v>359.6</v>
      </c>
      <c r="L173" s="1264"/>
      <c r="M173" s="1265">
        <v>697.31</v>
      </c>
      <c r="N173" s="1264"/>
      <c r="O173" s="1265">
        <v>258.87</v>
      </c>
      <c r="P173" s="1264"/>
      <c r="Q173" s="1265">
        <v>222.31</v>
      </c>
      <c r="R173" s="1264"/>
      <c r="S173" s="1265">
        <v>235.6</v>
      </c>
      <c r="T173" s="1264"/>
      <c r="U173" s="1265">
        <v>92.06</v>
      </c>
      <c r="V173" s="1264"/>
      <c r="W173" s="1265">
        <v>196.69</v>
      </c>
      <c r="X173" s="1264"/>
      <c r="Y173" s="1265">
        <v>296.48</v>
      </c>
      <c r="Z173" s="1264"/>
      <c r="AA173" s="1265">
        <v>-53.2</v>
      </c>
      <c r="AB173" s="1264"/>
      <c r="AC173" s="1265">
        <v>0.15</v>
      </c>
      <c r="AD173" s="1264"/>
      <c r="AE173" s="1265">
        <f t="shared" si="10"/>
        <v>2932.91</v>
      </c>
      <c r="AF173" s="1266">
        <f t="shared" si="11"/>
        <v>2.0964738971840776E-3</v>
      </c>
      <c r="AG173" s="1267"/>
    </row>
    <row r="174" spans="1:33" ht="15.75" customHeight="1" outlineLevel="1">
      <c r="A174" s="1260">
        <v>70036</v>
      </c>
      <c r="B174" s="1260" t="s">
        <v>37</v>
      </c>
      <c r="C174" s="1261"/>
      <c r="D174" s="1262"/>
      <c r="E174" s="1263"/>
      <c r="F174" s="1264"/>
      <c r="G174" s="1265">
        <v>540</v>
      </c>
      <c r="H174" s="1264"/>
      <c r="I174" s="1265">
        <v>325</v>
      </c>
      <c r="J174" s="1264"/>
      <c r="K174" s="1265">
        <v>24.24</v>
      </c>
      <c r="L174" s="1264"/>
      <c r="M174" s="1265">
        <v>1065</v>
      </c>
      <c r="N174" s="1264"/>
      <c r="O174" s="1265">
        <v>338.48</v>
      </c>
      <c r="P174" s="1264"/>
      <c r="Q174" s="1265">
        <v>0</v>
      </c>
      <c r="R174" s="1264"/>
      <c r="S174" s="1265">
        <v>0</v>
      </c>
      <c r="T174" s="1264"/>
      <c r="U174" s="1265">
        <v>0</v>
      </c>
      <c r="V174" s="1264"/>
      <c r="W174" s="1265">
        <v>145</v>
      </c>
      <c r="X174" s="1264"/>
      <c r="Y174" s="1265">
        <v>0</v>
      </c>
      <c r="Z174" s="1264"/>
      <c r="AA174" s="1265">
        <v>196.55</v>
      </c>
      <c r="AB174" s="1264"/>
      <c r="AC174" s="1265">
        <v>568.59</v>
      </c>
      <c r="AD174" s="1264"/>
      <c r="AE174" s="1265">
        <f t="shared" si="10"/>
        <v>3202.8599999999997</v>
      </c>
      <c r="AF174" s="1266">
        <f t="shared" si="11"/>
        <v>2.2894369027126626E-3</v>
      </c>
      <c r="AG174" s="1267"/>
    </row>
    <row r="175" spans="1:33" ht="15.75" customHeight="1" outlineLevel="1">
      <c r="A175" s="1260">
        <v>70050</v>
      </c>
      <c r="B175" s="1260" t="s">
        <v>171</v>
      </c>
      <c r="C175" s="1261"/>
      <c r="D175" s="1262"/>
      <c r="E175" s="1263"/>
      <c r="F175" s="1264"/>
      <c r="G175" s="1265">
        <v>464.9</v>
      </c>
      <c r="H175" s="1264"/>
      <c r="I175" s="1265">
        <v>491.62</v>
      </c>
      <c r="J175" s="1264"/>
      <c r="K175" s="1265">
        <v>300.62</v>
      </c>
      <c r="L175" s="1264"/>
      <c r="M175" s="1265">
        <v>408.44</v>
      </c>
      <c r="N175" s="1264"/>
      <c r="O175" s="1265">
        <v>328.22</v>
      </c>
      <c r="P175" s="1264"/>
      <c r="Q175" s="1265">
        <v>301.27999999999997</v>
      </c>
      <c r="R175" s="1264"/>
      <c r="S175" s="1265">
        <v>708.48</v>
      </c>
      <c r="T175" s="1264"/>
      <c r="U175" s="1265">
        <v>584.35</v>
      </c>
      <c r="V175" s="1264"/>
      <c r="W175" s="1265">
        <v>654.54</v>
      </c>
      <c r="X175" s="1264"/>
      <c r="Y175" s="1265">
        <v>752.5</v>
      </c>
      <c r="Z175" s="1264"/>
      <c r="AA175" s="1265">
        <v>279.86</v>
      </c>
      <c r="AB175" s="1264"/>
      <c r="AC175" s="1265">
        <v>1233.8399999999999</v>
      </c>
      <c r="AD175" s="1264"/>
      <c r="AE175" s="1265">
        <f t="shared" si="10"/>
        <v>6508.6499999999987</v>
      </c>
      <c r="AF175" s="1266">
        <f t="shared" si="11"/>
        <v>4.6524492162756939E-3</v>
      </c>
      <c r="AG175" s="1267"/>
    </row>
    <row r="176" spans="1:33" ht="15.75" customHeight="1" outlineLevel="1">
      <c r="A176" s="1260">
        <v>70060</v>
      </c>
      <c r="B176" s="1260" t="s">
        <v>124</v>
      </c>
      <c r="C176" s="1261"/>
      <c r="D176" s="1262"/>
      <c r="E176" s="1263"/>
      <c r="F176" s="1264"/>
      <c r="G176" s="1265">
        <v>1276.52</v>
      </c>
      <c r="H176" s="1264"/>
      <c r="I176" s="1265">
        <v>1275.28</v>
      </c>
      <c r="J176" s="1264"/>
      <c r="K176" s="1265">
        <v>1073.26</v>
      </c>
      <c r="L176" s="1264"/>
      <c r="M176" s="1265">
        <v>1075.8599999999999</v>
      </c>
      <c r="N176" s="1264"/>
      <c r="O176" s="1265">
        <v>1078.04</v>
      </c>
      <c r="P176" s="1264"/>
      <c r="Q176" s="1265">
        <v>1081.53</v>
      </c>
      <c r="R176" s="1264"/>
      <c r="S176" s="1265">
        <v>1222.99</v>
      </c>
      <c r="T176" s="1264"/>
      <c r="U176" s="1265">
        <v>2032.28</v>
      </c>
      <c r="V176" s="1264"/>
      <c r="W176" s="1265">
        <v>1840.32</v>
      </c>
      <c r="X176" s="1264"/>
      <c r="Y176" s="1265">
        <v>2031.04</v>
      </c>
      <c r="Z176" s="1264"/>
      <c r="AA176" s="1265">
        <v>1031.24</v>
      </c>
      <c r="AB176" s="1264"/>
      <c r="AC176" s="1265">
        <v>794.75</v>
      </c>
      <c r="AD176" s="1264"/>
      <c r="AE176" s="1265">
        <f t="shared" si="10"/>
        <v>15813.11</v>
      </c>
      <c r="AF176" s="1266">
        <f t="shared" si="11"/>
        <v>1.1303371855358846E-2</v>
      </c>
      <c r="AG176" s="1267"/>
    </row>
    <row r="177" spans="1:33" ht="15.75" customHeight="1" outlineLevel="1">
      <c r="A177" s="1260">
        <v>70065</v>
      </c>
      <c r="B177" s="1260" t="s">
        <v>31</v>
      </c>
      <c r="C177" s="1261"/>
      <c r="D177" s="1262"/>
      <c r="E177" s="1263"/>
      <c r="F177" s="1264"/>
      <c r="G177" s="1265">
        <v>-50.48</v>
      </c>
      <c r="H177" s="1264"/>
      <c r="I177" s="1265">
        <v>85.93</v>
      </c>
      <c r="J177" s="1264"/>
      <c r="K177" s="1265">
        <v>201.64</v>
      </c>
      <c r="L177" s="1264"/>
      <c r="M177" s="1265">
        <v>155.81</v>
      </c>
      <c r="N177" s="1264"/>
      <c r="O177" s="1265">
        <v>78.55</v>
      </c>
      <c r="P177" s="1264"/>
      <c r="Q177" s="1265">
        <v>329.85</v>
      </c>
      <c r="R177" s="1264"/>
      <c r="S177" s="1265">
        <v>918.66</v>
      </c>
      <c r="T177" s="1264"/>
      <c r="U177" s="1265">
        <v>0.97</v>
      </c>
      <c r="V177" s="1264"/>
      <c r="W177" s="1265">
        <v>515.49</v>
      </c>
      <c r="X177" s="1264"/>
      <c r="Y177" s="1265">
        <v>-497.24</v>
      </c>
      <c r="Z177" s="1264"/>
      <c r="AA177" s="1265">
        <v>-672.17</v>
      </c>
      <c r="AB177" s="1264"/>
      <c r="AC177" s="1265">
        <v>451.38</v>
      </c>
      <c r="AD177" s="1264"/>
      <c r="AE177" s="1265">
        <f t="shared" si="10"/>
        <v>1518.39</v>
      </c>
      <c r="AF177" s="1266">
        <f t="shared" si="11"/>
        <v>1.0853606147973624E-3</v>
      </c>
      <c r="AG177" s="1267"/>
    </row>
    <row r="178" spans="1:33" ht="15.75" customHeight="1" outlineLevel="1">
      <c r="A178" s="1260">
        <v>70070</v>
      </c>
      <c r="B178" s="1260" t="s">
        <v>32</v>
      </c>
      <c r="C178" s="1261"/>
      <c r="D178" s="1262"/>
      <c r="E178" s="1263"/>
      <c r="F178" s="1264"/>
      <c r="G178" s="1265">
        <v>-275.3</v>
      </c>
      <c r="H178" s="1264"/>
      <c r="I178" s="1265">
        <v>-6.38</v>
      </c>
      <c r="J178" s="1264"/>
      <c r="K178" s="1265">
        <v>0.39</v>
      </c>
      <c r="L178" s="1264"/>
      <c r="M178" s="1265">
        <v>3.69</v>
      </c>
      <c r="N178" s="1264"/>
      <c r="O178" s="1265">
        <v>4.1399999999999997</v>
      </c>
      <c r="P178" s="1264"/>
      <c r="Q178" s="1265">
        <v>1.07</v>
      </c>
      <c r="R178" s="1264"/>
      <c r="S178" s="1265">
        <v>2.78</v>
      </c>
      <c r="T178" s="1264"/>
      <c r="U178" s="1265">
        <v>-0.25</v>
      </c>
      <c r="V178" s="1264"/>
      <c r="W178" s="1265">
        <v>381.55</v>
      </c>
      <c r="X178" s="1264"/>
      <c r="Y178" s="1265">
        <v>0</v>
      </c>
      <c r="Z178" s="1264"/>
      <c r="AA178" s="1265">
        <v>0.09</v>
      </c>
      <c r="AB178" s="1264"/>
      <c r="AC178" s="1265">
        <v>0.37</v>
      </c>
      <c r="AD178" s="1264"/>
      <c r="AE178" s="1265">
        <f t="shared" si="10"/>
        <v>112.14999999999992</v>
      </c>
      <c r="AF178" s="1266">
        <f t="shared" si="11"/>
        <v>8.0165960622451474E-5</v>
      </c>
      <c r="AG178" s="1267"/>
    </row>
    <row r="179" spans="1:33" ht="15.75" customHeight="1" outlineLevel="1">
      <c r="A179" s="1260">
        <v>70086</v>
      </c>
      <c r="B179" s="1260" t="s">
        <v>242</v>
      </c>
      <c r="C179" s="1261"/>
      <c r="D179" s="1262"/>
      <c r="E179" s="1263"/>
      <c r="F179" s="1264"/>
      <c r="G179" s="1265">
        <v>0</v>
      </c>
      <c r="H179" s="1264"/>
      <c r="I179" s="1265">
        <v>0</v>
      </c>
      <c r="J179" s="1264"/>
      <c r="K179" s="1265">
        <v>0</v>
      </c>
      <c r="L179" s="1264"/>
      <c r="M179" s="1265">
        <v>0</v>
      </c>
      <c r="N179" s="1264"/>
      <c r="O179" s="1265">
        <v>0</v>
      </c>
      <c r="P179" s="1264"/>
      <c r="Q179" s="1265">
        <v>0</v>
      </c>
      <c r="R179" s="1264"/>
      <c r="S179" s="1265">
        <v>0</v>
      </c>
      <c r="T179" s="1264"/>
      <c r="U179" s="1265">
        <v>0</v>
      </c>
      <c r="V179" s="1264"/>
      <c r="W179" s="1265">
        <v>0</v>
      </c>
      <c r="X179" s="1264"/>
      <c r="Y179" s="1265">
        <v>50</v>
      </c>
      <c r="Z179" s="1264"/>
      <c r="AA179" s="1265">
        <v>0</v>
      </c>
      <c r="AB179" s="1264"/>
      <c r="AC179" s="1265">
        <v>0</v>
      </c>
      <c r="AD179" s="1264"/>
      <c r="AE179" s="1265">
        <f t="shared" si="10"/>
        <v>50</v>
      </c>
      <c r="AF179" s="1266">
        <f t="shared" si="11"/>
        <v>3.5740508525390783E-5</v>
      </c>
      <c r="AG179" s="1267"/>
    </row>
    <row r="180" spans="1:33" ht="15.75" customHeight="1" outlineLevel="1">
      <c r="A180" s="1260">
        <v>70095</v>
      </c>
      <c r="B180" s="1260" t="s">
        <v>131</v>
      </c>
      <c r="C180" s="1261"/>
      <c r="D180" s="1262"/>
      <c r="E180" s="1263"/>
      <c r="F180" s="1264"/>
      <c r="G180" s="1265">
        <v>-7.87</v>
      </c>
      <c r="H180" s="1264"/>
      <c r="I180" s="1265">
        <v>647.99</v>
      </c>
      <c r="J180" s="1264"/>
      <c r="K180" s="1265">
        <v>168</v>
      </c>
      <c r="L180" s="1264"/>
      <c r="M180" s="1265">
        <v>0</v>
      </c>
      <c r="N180" s="1264"/>
      <c r="O180" s="1265">
        <v>0</v>
      </c>
      <c r="P180" s="1264"/>
      <c r="Q180" s="1265">
        <v>0</v>
      </c>
      <c r="R180" s="1264"/>
      <c r="S180" s="1265">
        <v>0</v>
      </c>
      <c r="T180" s="1264"/>
      <c r="U180" s="1265">
        <v>0</v>
      </c>
      <c r="V180" s="1264"/>
      <c r="W180" s="1265">
        <v>0</v>
      </c>
      <c r="X180" s="1264"/>
      <c r="Y180" s="1265">
        <v>251.6</v>
      </c>
      <c r="Z180" s="1264"/>
      <c r="AA180" s="1265">
        <v>201.6</v>
      </c>
      <c r="AB180" s="1264"/>
      <c r="AC180" s="1265">
        <v>0</v>
      </c>
      <c r="AD180" s="1264"/>
      <c r="AE180" s="1265">
        <f t="shared" si="10"/>
        <v>1261.3200000000002</v>
      </c>
      <c r="AF180" s="1266">
        <f t="shared" si="11"/>
        <v>9.0160436426491822E-4</v>
      </c>
      <c r="AG180" s="1267"/>
    </row>
    <row r="181" spans="1:33" ht="15.75" customHeight="1" outlineLevel="1">
      <c r="A181" s="1260">
        <v>70110</v>
      </c>
      <c r="B181" s="1260" t="s">
        <v>135</v>
      </c>
      <c r="C181" s="1261"/>
      <c r="D181" s="1262"/>
      <c r="E181" s="1263"/>
      <c r="F181" s="1264"/>
      <c r="G181" s="1265">
        <v>200</v>
      </c>
      <c r="H181" s="1264"/>
      <c r="I181" s="1265">
        <v>470</v>
      </c>
      <c r="J181" s="1264"/>
      <c r="K181" s="1265">
        <v>0</v>
      </c>
      <c r="L181" s="1264"/>
      <c r="M181" s="1265">
        <v>0</v>
      </c>
      <c r="N181" s="1264"/>
      <c r="O181" s="1265">
        <v>0</v>
      </c>
      <c r="P181" s="1264"/>
      <c r="Q181" s="1265">
        <v>0</v>
      </c>
      <c r="R181" s="1264"/>
      <c r="S181" s="1265">
        <v>0</v>
      </c>
      <c r="T181" s="1264"/>
      <c r="U181" s="1265">
        <v>0</v>
      </c>
      <c r="V181" s="1264"/>
      <c r="W181" s="1265">
        <v>0</v>
      </c>
      <c r="X181" s="1264"/>
      <c r="Y181" s="1265">
        <v>0</v>
      </c>
      <c r="Z181" s="1264"/>
      <c r="AA181" s="1265">
        <v>0</v>
      </c>
      <c r="AB181" s="1264"/>
      <c r="AC181" s="1265">
        <v>250</v>
      </c>
      <c r="AD181" s="1264"/>
      <c r="AE181" s="1265">
        <f t="shared" si="10"/>
        <v>920</v>
      </c>
      <c r="AF181" s="1266">
        <f t="shared" si="11"/>
        <v>6.5762535686719043E-4</v>
      </c>
      <c r="AG181" s="1267"/>
    </row>
    <row r="182" spans="1:33" ht="15.75" customHeight="1" outlineLevel="1">
      <c r="A182" s="1260">
        <v>70116</v>
      </c>
      <c r="B182" s="1260" t="s">
        <v>254</v>
      </c>
      <c r="C182" s="1261"/>
      <c r="D182" s="1262"/>
      <c r="E182" s="1263"/>
      <c r="F182" s="1264"/>
      <c r="G182" s="1265">
        <v>13.57</v>
      </c>
      <c r="H182" s="1264"/>
      <c r="I182" s="1265">
        <v>60.74</v>
      </c>
      <c r="J182" s="1264"/>
      <c r="K182" s="1265">
        <v>96.89</v>
      </c>
      <c r="L182" s="1264"/>
      <c r="M182" s="1265">
        <v>175.83</v>
      </c>
      <c r="N182" s="1264"/>
      <c r="O182" s="1265">
        <v>104.22</v>
      </c>
      <c r="P182" s="1264"/>
      <c r="Q182" s="1265">
        <v>99.14</v>
      </c>
      <c r="R182" s="1264"/>
      <c r="S182" s="1265">
        <v>256.67</v>
      </c>
      <c r="T182" s="1264"/>
      <c r="U182" s="1265">
        <v>170.04</v>
      </c>
      <c r="V182" s="1264"/>
      <c r="W182" s="1265">
        <v>261.82</v>
      </c>
      <c r="X182" s="1264"/>
      <c r="Y182" s="1265">
        <v>173.64</v>
      </c>
      <c r="Z182" s="1264"/>
      <c r="AA182" s="1265">
        <v>90.8</v>
      </c>
      <c r="AB182" s="1264"/>
      <c r="AC182" s="1265">
        <v>175.26</v>
      </c>
      <c r="AD182" s="1264"/>
      <c r="AE182" s="1265">
        <f t="shared" si="10"/>
        <v>1678.6200000000001</v>
      </c>
      <c r="AF182" s="1266">
        <f t="shared" si="11"/>
        <v>1.1998946484178298E-3</v>
      </c>
      <c r="AG182" s="1267"/>
    </row>
    <row r="183" spans="1:33" ht="15.75" customHeight="1" outlineLevel="1">
      <c r="A183" s="1260">
        <v>70147</v>
      </c>
      <c r="B183" s="1260" t="s">
        <v>108</v>
      </c>
      <c r="C183" s="1261"/>
      <c r="D183" s="1262"/>
      <c r="E183" s="1263"/>
      <c r="F183" s="1264"/>
      <c r="G183" s="1265">
        <v>350.62</v>
      </c>
      <c r="H183" s="1264"/>
      <c r="I183" s="1265">
        <v>430.8</v>
      </c>
      <c r="J183" s="1264"/>
      <c r="K183" s="1265">
        <v>370</v>
      </c>
      <c r="L183" s="1264"/>
      <c r="M183" s="1265">
        <v>370</v>
      </c>
      <c r="N183" s="1264"/>
      <c r="O183" s="1265">
        <v>370</v>
      </c>
      <c r="P183" s="1264"/>
      <c r="Q183" s="1265">
        <v>370</v>
      </c>
      <c r="R183" s="1264"/>
      <c r="S183" s="1265">
        <v>370</v>
      </c>
      <c r="T183" s="1264"/>
      <c r="U183" s="1265">
        <v>370</v>
      </c>
      <c r="V183" s="1264"/>
      <c r="W183" s="1265">
        <v>370</v>
      </c>
      <c r="X183" s="1264"/>
      <c r="Y183" s="1265">
        <v>370</v>
      </c>
      <c r="Z183" s="1264"/>
      <c r="AA183" s="1265">
        <v>370</v>
      </c>
      <c r="AB183" s="1264"/>
      <c r="AC183" s="1265">
        <v>0</v>
      </c>
      <c r="AD183" s="1264"/>
      <c r="AE183" s="1265">
        <f t="shared" si="10"/>
        <v>4111.42</v>
      </c>
      <c r="AF183" s="1266">
        <f t="shared" si="11"/>
        <v>2.9388848312292435E-3</v>
      </c>
      <c r="AG183" s="1267"/>
    </row>
    <row r="184" spans="1:33" ht="15.75" customHeight="1" outlineLevel="1">
      <c r="A184" s="1260">
        <v>70148</v>
      </c>
      <c r="B184" s="1260" t="s">
        <v>58</v>
      </c>
      <c r="C184" s="1261"/>
      <c r="D184" s="1262"/>
      <c r="E184" s="1263"/>
      <c r="F184" s="1264"/>
      <c r="G184" s="1265">
        <v>644.14</v>
      </c>
      <c r="H184" s="1264"/>
      <c r="I184" s="1265">
        <v>462.79</v>
      </c>
      <c r="J184" s="1264"/>
      <c r="K184" s="1265">
        <v>303.69</v>
      </c>
      <c r="L184" s="1264"/>
      <c r="M184" s="1265">
        <v>484.59</v>
      </c>
      <c r="N184" s="1264"/>
      <c r="O184" s="1265">
        <v>386.6</v>
      </c>
      <c r="P184" s="1264"/>
      <c r="Q184" s="1265">
        <v>255.39</v>
      </c>
      <c r="R184" s="1264"/>
      <c r="S184" s="1265">
        <v>222.92</v>
      </c>
      <c r="T184" s="1264"/>
      <c r="U184" s="1265">
        <v>482.02</v>
      </c>
      <c r="V184" s="1264"/>
      <c r="W184" s="1265">
        <v>247.85</v>
      </c>
      <c r="X184" s="1264"/>
      <c r="Y184" s="1265">
        <v>219.35</v>
      </c>
      <c r="Z184" s="1264"/>
      <c r="AA184" s="1265">
        <v>297.82</v>
      </c>
      <c r="AB184" s="1264"/>
      <c r="AC184" s="1265">
        <v>283.11</v>
      </c>
      <c r="AD184" s="1264"/>
      <c r="AE184" s="1265">
        <f t="shared" si="10"/>
        <v>4290.2700000000004</v>
      </c>
      <c r="AF184" s="1266">
        <f t="shared" si="11"/>
        <v>3.0667286302245669E-3</v>
      </c>
      <c r="AG184" s="1267"/>
    </row>
    <row r="185" spans="1:33" ht="15.75" customHeight="1" outlineLevel="1">
      <c r="A185" s="1260">
        <v>70150</v>
      </c>
      <c r="B185" s="1260" t="s">
        <v>121</v>
      </c>
      <c r="C185" s="1261"/>
      <c r="D185" s="1262"/>
      <c r="E185" s="1263"/>
      <c r="F185" s="1264"/>
      <c r="G185" s="1265">
        <v>601.46</v>
      </c>
      <c r="H185" s="1264"/>
      <c r="I185" s="1265">
        <v>0</v>
      </c>
      <c r="J185" s="1264"/>
      <c r="K185" s="1265">
        <v>384.78</v>
      </c>
      <c r="L185" s="1264"/>
      <c r="M185" s="1265">
        <v>0</v>
      </c>
      <c r="N185" s="1264"/>
      <c r="O185" s="1265">
        <v>202.47</v>
      </c>
      <c r="P185" s="1264"/>
      <c r="Q185" s="1265">
        <v>0</v>
      </c>
      <c r="R185" s="1264"/>
      <c r="S185" s="1265">
        <v>191.09</v>
      </c>
      <c r="T185" s="1264"/>
      <c r="U185" s="1265">
        <v>0</v>
      </c>
      <c r="V185" s="1264"/>
      <c r="W185" s="1265">
        <v>199.66</v>
      </c>
      <c r="X185" s="1264"/>
      <c r="Y185" s="1265">
        <v>0</v>
      </c>
      <c r="Z185" s="1264"/>
      <c r="AA185" s="1265">
        <v>363.28</v>
      </c>
      <c r="AB185" s="1264"/>
      <c r="AC185" s="1265">
        <v>0</v>
      </c>
      <c r="AD185" s="1264"/>
      <c r="AE185" s="1265">
        <f t="shared" si="10"/>
        <v>1942.74</v>
      </c>
      <c r="AF185" s="1266">
        <f t="shared" si="11"/>
        <v>1.3886903106523538E-3</v>
      </c>
      <c r="AG185" s="1267"/>
    </row>
    <row r="186" spans="1:33" ht="15.75" customHeight="1" outlineLevel="1">
      <c r="A186" s="1260">
        <v>70165</v>
      </c>
      <c r="B186" s="1260" t="s">
        <v>50</v>
      </c>
      <c r="C186" s="1261"/>
      <c r="D186" s="1262"/>
      <c r="E186" s="1263"/>
      <c r="F186" s="1264"/>
      <c r="G186" s="1265">
        <v>617</v>
      </c>
      <c r="H186" s="1264"/>
      <c r="I186" s="1265">
        <v>454.19</v>
      </c>
      <c r="J186" s="1264"/>
      <c r="K186" s="1265">
        <v>0</v>
      </c>
      <c r="L186" s="1264"/>
      <c r="M186" s="1265">
        <v>978.16</v>
      </c>
      <c r="N186" s="1264"/>
      <c r="O186" s="1265">
        <v>459.83</v>
      </c>
      <c r="P186" s="1264"/>
      <c r="Q186" s="1265">
        <v>524.49</v>
      </c>
      <c r="R186" s="1264"/>
      <c r="S186" s="1265">
        <v>525</v>
      </c>
      <c r="T186" s="1264"/>
      <c r="U186" s="1265">
        <v>440.01</v>
      </c>
      <c r="V186" s="1264"/>
      <c r="W186" s="1265">
        <v>493.53</v>
      </c>
      <c r="X186" s="1264"/>
      <c r="Y186" s="1265">
        <v>486.26</v>
      </c>
      <c r="Z186" s="1264"/>
      <c r="AA186" s="1265">
        <v>425.41</v>
      </c>
      <c r="AB186" s="1264"/>
      <c r="AC186" s="1265">
        <v>475.28</v>
      </c>
      <c r="AD186" s="1264"/>
      <c r="AE186" s="1265">
        <f t="shared" si="10"/>
        <v>5879.1599999999989</v>
      </c>
      <c r="AF186" s="1266">
        <f t="shared" si="11"/>
        <v>4.202483362042729E-3</v>
      </c>
      <c r="AG186" s="1267"/>
    </row>
    <row r="187" spans="1:33" ht="15.75" customHeight="1" outlineLevel="1">
      <c r="A187" s="1260">
        <v>70167</v>
      </c>
      <c r="B187" s="1260" t="s">
        <v>276</v>
      </c>
      <c r="C187" s="1261"/>
      <c r="D187" s="1262"/>
      <c r="E187" s="1263"/>
      <c r="F187" s="1264"/>
      <c r="G187" s="1265">
        <v>110.67</v>
      </c>
      <c r="H187" s="1264"/>
      <c r="I187" s="1265">
        <v>80.760000000000005</v>
      </c>
      <c r="J187" s="1264"/>
      <c r="K187" s="1265">
        <v>95.4</v>
      </c>
      <c r="L187" s="1264"/>
      <c r="M187" s="1265">
        <v>95.43</v>
      </c>
      <c r="N187" s="1264"/>
      <c r="O187" s="1265">
        <v>95.43</v>
      </c>
      <c r="P187" s="1264"/>
      <c r="Q187" s="1265">
        <v>95.43</v>
      </c>
      <c r="R187" s="1264"/>
      <c r="S187" s="1265">
        <v>155.46</v>
      </c>
      <c r="T187" s="1264"/>
      <c r="U187" s="1265">
        <v>155.46</v>
      </c>
      <c r="V187" s="1264"/>
      <c r="W187" s="1265">
        <v>263.60000000000002</v>
      </c>
      <c r="X187" s="1264"/>
      <c r="Y187" s="1265">
        <v>405.5</v>
      </c>
      <c r="Z187" s="1264"/>
      <c r="AA187" s="1265">
        <v>206.42</v>
      </c>
      <c r="AB187" s="1264"/>
      <c r="AC187" s="1265">
        <v>206.42</v>
      </c>
      <c r="AD187" s="1264"/>
      <c r="AE187" s="1265">
        <f t="shared" si="10"/>
        <v>1965.9800000000005</v>
      </c>
      <c r="AF187" s="1266">
        <f t="shared" si="11"/>
        <v>1.4053024990149559E-3</v>
      </c>
      <c r="AG187" s="1267"/>
    </row>
    <row r="188" spans="1:33" ht="15.75" customHeight="1" outlineLevel="1">
      <c r="A188" s="1260">
        <v>70175</v>
      </c>
      <c r="B188" s="1260" t="s">
        <v>51</v>
      </c>
      <c r="C188" s="1261"/>
      <c r="D188" s="1262"/>
      <c r="E188" s="1263"/>
      <c r="F188" s="1264"/>
      <c r="G188" s="1265">
        <v>189.51</v>
      </c>
      <c r="H188" s="1264"/>
      <c r="I188" s="1265">
        <v>189.51</v>
      </c>
      <c r="J188" s="1264"/>
      <c r="K188" s="1265">
        <v>189.51</v>
      </c>
      <c r="L188" s="1264"/>
      <c r="M188" s="1265">
        <v>189.51</v>
      </c>
      <c r="N188" s="1264"/>
      <c r="O188" s="1265">
        <v>189.51</v>
      </c>
      <c r="P188" s="1264"/>
      <c r="Q188" s="1265">
        <v>189.51</v>
      </c>
      <c r="R188" s="1264"/>
      <c r="S188" s="1265">
        <v>200.88</v>
      </c>
      <c r="T188" s="1264"/>
      <c r="U188" s="1265">
        <v>200.88</v>
      </c>
      <c r="V188" s="1264"/>
      <c r="W188" s="1265">
        <v>200.88</v>
      </c>
      <c r="X188" s="1264"/>
      <c r="Y188" s="1265">
        <v>210.88</v>
      </c>
      <c r="Z188" s="1264"/>
      <c r="AA188" s="1265">
        <v>200.88</v>
      </c>
      <c r="AB188" s="1264"/>
      <c r="AC188" s="1265">
        <v>200.88</v>
      </c>
      <c r="AD188" s="1264"/>
      <c r="AE188" s="1265">
        <f t="shared" si="10"/>
        <v>2352.34</v>
      </c>
      <c r="AF188" s="1266">
        <f t="shared" si="11"/>
        <v>1.6814765564923553E-3</v>
      </c>
      <c r="AG188" s="1267"/>
    </row>
    <row r="189" spans="1:33" ht="15.75" customHeight="1" outlineLevel="1">
      <c r="A189" s="1260">
        <v>70201</v>
      </c>
      <c r="B189" s="1260" t="s">
        <v>139</v>
      </c>
      <c r="C189" s="1261"/>
      <c r="D189" s="1262"/>
      <c r="E189" s="1263"/>
      <c r="F189" s="1264"/>
      <c r="G189" s="1265">
        <v>0</v>
      </c>
      <c r="H189" s="1264"/>
      <c r="I189" s="1265">
        <v>0</v>
      </c>
      <c r="J189" s="1264"/>
      <c r="K189" s="1265">
        <v>0</v>
      </c>
      <c r="L189" s="1264"/>
      <c r="M189" s="1265">
        <v>0</v>
      </c>
      <c r="N189" s="1264"/>
      <c r="O189" s="1265">
        <v>0</v>
      </c>
      <c r="P189" s="1264"/>
      <c r="Q189" s="1265">
        <v>0</v>
      </c>
      <c r="R189" s="1264"/>
      <c r="S189" s="1265">
        <v>21.99</v>
      </c>
      <c r="T189" s="1264"/>
      <c r="U189" s="1265">
        <v>0</v>
      </c>
      <c r="V189" s="1264"/>
      <c r="W189" s="1265">
        <v>0</v>
      </c>
      <c r="X189" s="1264"/>
      <c r="Y189" s="1265">
        <v>256.27999999999997</v>
      </c>
      <c r="Z189" s="1264"/>
      <c r="AA189" s="1265">
        <v>0</v>
      </c>
      <c r="AB189" s="1264"/>
      <c r="AC189" s="1265">
        <v>0</v>
      </c>
      <c r="AD189" s="1264"/>
      <c r="AE189" s="1265">
        <f t="shared" si="10"/>
        <v>278.27</v>
      </c>
      <c r="AF189" s="1266">
        <f t="shared" si="11"/>
        <v>1.9891022614720988E-4</v>
      </c>
      <c r="AG189" s="1267"/>
    </row>
    <row r="190" spans="1:33" ht="15.75" customHeight="1" outlineLevel="1">
      <c r="A190" s="1260">
        <v>70202</v>
      </c>
      <c r="B190" s="1260" t="s">
        <v>610</v>
      </c>
      <c r="C190" s="1261"/>
      <c r="D190" s="1262"/>
      <c r="E190" s="1263"/>
      <c r="F190" s="1264"/>
      <c r="G190" s="1265">
        <v>0</v>
      </c>
      <c r="H190" s="1264"/>
      <c r="I190" s="1265">
        <v>0</v>
      </c>
      <c r="J190" s="1264"/>
      <c r="K190" s="1265">
        <v>0</v>
      </c>
      <c r="L190" s="1264"/>
      <c r="M190" s="1265">
        <v>0</v>
      </c>
      <c r="N190" s="1264"/>
      <c r="O190" s="1265">
        <v>0</v>
      </c>
      <c r="P190" s="1264"/>
      <c r="Q190" s="1265">
        <v>0</v>
      </c>
      <c r="R190" s="1264"/>
      <c r="S190" s="1265">
        <v>0</v>
      </c>
      <c r="T190" s="1264"/>
      <c r="U190" s="1265">
        <v>0</v>
      </c>
      <c r="V190" s="1264"/>
      <c r="W190" s="1265">
        <v>0</v>
      </c>
      <c r="X190" s="1264"/>
      <c r="Y190" s="1265">
        <v>0</v>
      </c>
      <c r="Z190" s="1264"/>
      <c r="AA190" s="1265">
        <v>0</v>
      </c>
      <c r="AB190" s="1264"/>
      <c r="AC190" s="1265">
        <v>200.6</v>
      </c>
      <c r="AD190" s="1264"/>
      <c r="AE190" s="1265">
        <f t="shared" si="10"/>
        <v>200.6</v>
      </c>
      <c r="AF190" s="1266">
        <f t="shared" si="11"/>
        <v>1.4339092020386782E-4</v>
      </c>
      <c r="AG190" s="1267"/>
    </row>
    <row r="191" spans="1:33" ht="15.75" customHeight="1" outlineLevel="1">
      <c r="A191" s="1260">
        <v>70205</v>
      </c>
      <c r="B191" s="1260" t="s">
        <v>277</v>
      </c>
      <c r="C191" s="1261"/>
      <c r="D191" s="1262"/>
      <c r="E191" s="1263"/>
      <c r="F191" s="1264"/>
      <c r="G191" s="1265">
        <v>512.53</v>
      </c>
      <c r="H191" s="1264"/>
      <c r="I191" s="1265">
        <v>0</v>
      </c>
      <c r="J191" s="1264"/>
      <c r="K191" s="1265">
        <v>0</v>
      </c>
      <c r="L191" s="1264"/>
      <c r="M191" s="1265">
        <v>0</v>
      </c>
      <c r="N191" s="1264"/>
      <c r="O191" s="1265">
        <v>0</v>
      </c>
      <c r="P191" s="1264"/>
      <c r="Q191" s="1265">
        <v>0</v>
      </c>
      <c r="R191" s="1264"/>
      <c r="S191" s="1265">
        <v>194.74</v>
      </c>
      <c r="T191" s="1264"/>
      <c r="U191" s="1265">
        <v>93.63</v>
      </c>
      <c r="V191" s="1264"/>
      <c r="W191" s="1265">
        <v>132.68</v>
      </c>
      <c r="X191" s="1264"/>
      <c r="Y191" s="1265">
        <v>148.68</v>
      </c>
      <c r="Z191" s="1264"/>
      <c r="AA191" s="1265">
        <v>92.02</v>
      </c>
      <c r="AB191" s="1264"/>
      <c r="AC191" s="1265">
        <v>135.05000000000001</v>
      </c>
      <c r="AD191" s="1264"/>
      <c r="AE191" s="1265">
        <f t="shared" si="10"/>
        <v>1309.33</v>
      </c>
      <c r="AF191" s="1266">
        <f t="shared" si="11"/>
        <v>9.3592240055099835E-4</v>
      </c>
      <c r="AG191" s="1267"/>
    </row>
    <row r="192" spans="1:33" ht="15.75" customHeight="1" outlineLevel="1">
      <c r="A192" s="1260">
        <v>70206</v>
      </c>
      <c r="B192" s="1260" t="s">
        <v>142</v>
      </c>
      <c r="C192" s="1261"/>
      <c r="D192" s="1262"/>
      <c r="E192" s="1263"/>
      <c r="F192" s="1264"/>
      <c r="G192" s="1265">
        <v>0</v>
      </c>
      <c r="H192" s="1264"/>
      <c r="I192" s="1265">
        <v>0</v>
      </c>
      <c r="J192" s="1264"/>
      <c r="K192" s="1265">
        <v>0</v>
      </c>
      <c r="L192" s="1264"/>
      <c r="M192" s="1265">
        <v>0</v>
      </c>
      <c r="N192" s="1264"/>
      <c r="O192" s="1265">
        <v>0</v>
      </c>
      <c r="P192" s="1264"/>
      <c r="Q192" s="1265">
        <v>0</v>
      </c>
      <c r="R192" s="1264"/>
      <c r="S192" s="1265">
        <v>0</v>
      </c>
      <c r="T192" s="1264"/>
      <c r="U192" s="1265">
        <v>0</v>
      </c>
      <c r="V192" s="1264"/>
      <c r="W192" s="1265">
        <v>0</v>
      </c>
      <c r="X192" s="1264"/>
      <c r="Y192" s="1265">
        <v>0</v>
      </c>
      <c r="Z192" s="1264"/>
      <c r="AA192" s="1265">
        <v>100</v>
      </c>
      <c r="AB192" s="1264"/>
      <c r="AC192" s="1265">
        <v>16.05</v>
      </c>
      <c r="AD192" s="1264"/>
      <c r="AE192" s="1265">
        <f t="shared" si="10"/>
        <v>116.05</v>
      </c>
      <c r="AF192" s="1266">
        <f t="shared" si="11"/>
        <v>8.2953720287432011E-5</v>
      </c>
      <c r="AG192" s="1267"/>
    </row>
    <row r="193" spans="1:33" ht="15.75" customHeight="1" outlineLevel="1">
      <c r="A193" s="1260">
        <v>70210</v>
      </c>
      <c r="B193" s="1260" t="s">
        <v>105</v>
      </c>
      <c r="C193" s="1261"/>
      <c r="D193" s="1262"/>
      <c r="E193" s="1263"/>
      <c r="F193" s="1264"/>
      <c r="G193" s="1265">
        <v>0</v>
      </c>
      <c r="H193" s="1264"/>
      <c r="I193" s="1265">
        <v>0</v>
      </c>
      <c r="J193" s="1264"/>
      <c r="K193" s="1265">
        <v>0</v>
      </c>
      <c r="L193" s="1264"/>
      <c r="M193" s="1265">
        <v>0</v>
      </c>
      <c r="N193" s="1264"/>
      <c r="O193" s="1265">
        <v>0</v>
      </c>
      <c r="P193" s="1264"/>
      <c r="Q193" s="1265">
        <v>0</v>
      </c>
      <c r="R193" s="1264"/>
      <c r="S193" s="1265">
        <v>0</v>
      </c>
      <c r="T193" s="1264"/>
      <c r="U193" s="1265">
        <v>0</v>
      </c>
      <c r="V193" s="1264"/>
      <c r="W193" s="1265">
        <v>19.5</v>
      </c>
      <c r="X193" s="1264"/>
      <c r="Y193" s="1265">
        <v>48.91</v>
      </c>
      <c r="Z193" s="1264"/>
      <c r="AA193" s="1265">
        <v>0</v>
      </c>
      <c r="AB193" s="1264"/>
      <c r="AC193" s="1265">
        <v>0</v>
      </c>
      <c r="AD193" s="1264"/>
      <c r="AE193" s="1265">
        <f t="shared" si="10"/>
        <v>68.41</v>
      </c>
      <c r="AF193" s="1266">
        <f t="shared" si="11"/>
        <v>4.8900163764439668E-5</v>
      </c>
      <c r="AG193" s="1267"/>
    </row>
    <row r="194" spans="1:33" ht="15.75" customHeight="1" outlineLevel="1">
      <c r="A194" s="1260">
        <v>70214</v>
      </c>
      <c r="B194" s="1260" t="s">
        <v>144</v>
      </c>
      <c r="C194" s="1261"/>
      <c r="D194" s="1262"/>
      <c r="E194" s="1263"/>
      <c r="F194" s="1264"/>
      <c r="G194" s="1265">
        <v>999.37</v>
      </c>
      <c r="H194" s="1264"/>
      <c r="I194" s="1265">
        <v>1172.83</v>
      </c>
      <c r="J194" s="1264"/>
      <c r="K194" s="1265">
        <v>1188.04</v>
      </c>
      <c r="L194" s="1264"/>
      <c r="M194" s="1265">
        <v>1423.85</v>
      </c>
      <c r="N194" s="1264"/>
      <c r="O194" s="1265">
        <v>1883.56</v>
      </c>
      <c r="P194" s="1264"/>
      <c r="Q194" s="1265">
        <v>2452.2199999999998</v>
      </c>
      <c r="R194" s="1264"/>
      <c r="S194" s="1265">
        <v>1849.62</v>
      </c>
      <c r="T194" s="1264"/>
      <c r="U194" s="1265">
        <v>1585.86</v>
      </c>
      <c r="V194" s="1264"/>
      <c r="W194" s="1265">
        <v>1860.78</v>
      </c>
      <c r="X194" s="1264"/>
      <c r="Y194" s="1265">
        <v>1506.36</v>
      </c>
      <c r="Z194" s="1264"/>
      <c r="AA194" s="1265">
        <v>1389.01</v>
      </c>
      <c r="AB194" s="1264"/>
      <c r="AC194" s="1265">
        <v>1181.8599999999999</v>
      </c>
      <c r="AD194" s="1264"/>
      <c r="AE194" s="1265">
        <f t="shared" si="10"/>
        <v>18493.359999999997</v>
      </c>
      <c r="AF194" s="1266">
        <f t="shared" si="11"/>
        <v>1.3219241814862417E-2</v>
      </c>
      <c r="AG194" s="1267"/>
    </row>
    <row r="195" spans="1:33" ht="15.75" customHeight="1" outlineLevel="1">
      <c r="A195" s="1260">
        <v>70231</v>
      </c>
      <c r="B195" s="1260" t="s">
        <v>146</v>
      </c>
      <c r="C195" s="1261"/>
      <c r="D195" s="1262"/>
      <c r="E195" s="1263"/>
      <c r="F195" s="1264"/>
      <c r="G195" s="1265">
        <v>0</v>
      </c>
      <c r="H195" s="1264"/>
      <c r="I195" s="1265">
        <v>0</v>
      </c>
      <c r="J195" s="1264"/>
      <c r="K195" s="1265">
        <v>0</v>
      </c>
      <c r="L195" s="1264"/>
      <c r="M195" s="1265">
        <v>0</v>
      </c>
      <c r="N195" s="1264"/>
      <c r="O195" s="1265">
        <v>0</v>
      </c>
      <c r="P195" s="1264"/>
      <c r="Q195" s="1265">
        <v>0</v>
      </c>
      <c r="R195" s="1264"/>
      <c r="S195" s="1265">
        <v>0</v>
      </c>
      <c r="T195" s="1264"/>
      <c r="U195" s="1265">
        <v>0</v>
      </c>
      <c r="V195" s="1264"/>
      <c r="W195" s="1265">
        <v>0</v>
      </c>
      <c r="X195" s="1264"/>
      <c r="Y195" s="1265">
        <v>35</v>
      </c>
      <c r="Z195" s="1264"/>
      <c r="AA195" s="1265">
        <v>0</v>
      </c>
      <c r="AB195" s="1264"/>
      <c r="AC195" s="1265">
        <v>392.99</v>
      </c>
      <c r="AD195" s="1264"/>
      <c r="AE195" s="1265">
        <f t="shared" si="10"/>
        <v>427.99</v>
      </c>
      <c r="AF195" s="1266">
        <f t="shared" si="11"/>
        <v>3.0593160487564004E-4</v>
      </c>
      <c r="AG195" s="1267"/>
    </row>
    <row r="196" spans="1:33" ht="15.75" customHeight="1" outlineLevel="1">
      <c r="A196" s="1260">
        <v>70245</v>
      </c>
      <c r="B196" s="1260" t="s">
        <v>278</v>
      </c>
      <c r="C196" s="1261"/>
      <c r="D196" s="1262"/>
      <c r="E196" s="1263"/>
      <c r="F196" s="1264"/>
      <c r="G196" s="1265">
        <v>17.75</v>
      </c>
      <c r="H196" s="1264"/>
      <c r="I196" s="1265">
        <v>17.75</v>
      </c>
      <c r="J196" s="1264"/>
      <c r="K196" s="1265">
        <v>0</v>
      </c>
      <c r="L196" s="1264"/>
      <c r="M196" s="1265">
        <v>0</v>
      </c>
      <c r="N196" s="1264"/>
      <c r="O196" s="1265">
        <v>0</v>
      </c>
      <c r="P196" s="1264"/>
      <c r="Q196" s="1265">
        <v>0</v>
      </c>
      <c r="R196" s="1264"/>
      <c r="S196" s="1265">
        <v>0</v>
      </c>
      <c r="T196" s="1264"/>
      <c r="U196" s="1265">
        <v>0</v>
      </c>
      <c r="V196" s="1264"/>
      <c r="W196" s="1265">
        <v>0</v>
      </c>
      <c r="X196" s="1264"/>
      <c r="Y196" s="1265">
        <v>0</v>
      </c>
      <c r="Z196" s="1264"/>
      <c r="AA196" s="1265">
        <v>0</v>
      </c>
      <c r="AB196" s="1264"/>
      <c r="AC196" s="1265">
        <v>0</v>
      </c>
      <c r="AD196" s="1264"/>
      <c r="AE196" s="1265">
        <f t="shared" si="10"/>
        <v>35.5</v>
      </c>
      <c r="AF196" s="1266">
        <f t="shared" si="11"/>
        <v>2.5375761053027459E-5</v>
      </c>
      <c r="AG196" s="1267"/>
    </row>
    <row r="197" spans="1:33" ht="15.75" customHeight="1" outlineLevel="1">
      <c r="A197" s="1260">
        <v>70255</v>
      </c>
      <c r="B197" s="1260" t="s">
        <v>73</v>
      </c>
      <c r="C197" s="1261"/>
      <c r="D197" s="1262"/>
      <c r="E197" s="1263"/>
      <c r="F197" s="1264"/>
      <c r="G197" s="1265">
        <v>317.64999999999998</v>
      </c>
      <c r="H197" s="1264"/>
      <c r="I197" s="1265">
        <v>21.95</v>
      </c>
      <c r="J197" s="1264"/>
      <c r="K197" s="1265">
        <v>26.79</v>
      </c>
      <c r="L197" s="1264"/>
      <c r="M197" s="1265">
        <v>24.69</v>
      </c>
      <c r="N197" s="1264"/>
      <c r="O197" s="1265">
        <v>5.55</v>
      </c>
      <c r="P197" s="1264"/>
      <c r="Q197" s="1265">
        <v>4.3899999999999997</v>
      </c>
      <c r="R197" s="1264"/>
      <c r="S197" s="1265">
        <v>9.25</v>
      </c>
      <c r="T197" s="1264"/>
      <c r="U197" s="1265">
        <v>0</v>
      </c>
      <c r="V197" s="1264"/>
      <c r="W197" s="1265">
        <v>1.05</v>
      </c>
      <c r="X197" s="1264"/>
      <c r="Y197" s="1265">
        <v>9.4700000000000006</v>
      </c>
      <c r="Z197" s="1264"/>
      <c r="AA197" s="1265">
        <v>0</v>
      </c>
      <c r="AB197" s="1264"/>
      <c r="AC197" s="1265">
        <v>5.35</v>
      </c>
      <c r="AD197" s="1264"/>
      <c r="AE197" s="1265">
        <f t="shared" si="10"/>
        <v>426.14</v>
      </c>
      <c r="AF197" s="1266">
        <f t="shared" si="11"/>
        <v>3.046092060602006E-4</v>
      </c>
      <c r="AG197" s="1267"/>
    </row>
    <row r="198" spans="1:33" ht="15.75" customHeight="1" outlineLevel="1">
      <c r="A198" s="1260">
        <v>70300</v>
      </c>
      <c r="B198" s="1260" t="s">
        <v>112</v>
      </c>
      <c r="C198" s="1261"/>
      <c r="D198" s="1262"/>
      <c r="E198" s="1263"/>
      <c r="F198" s="1264"/>
      <c r="G198" s="1265">
        <v>886.21</v>
      </c>
      <c r="H198" s="1264"/>
      <c r="I198" s="1265">
        <v>886.21</v>
      </c>
      <c r="J198" s="1264"/>
      <c r="K198" s="1265">
        <v>886.21</v>
      </c>
      <c r="L198" s="1264"/>
      <c r="M198" s="1265">
        <v>886.21</v>
      </c>
      <c r="N198" s="1264"/>
      <c r="O198" s="1265">
        <v>886.21</v>
      </c>
      <c r="P198" s="1264"/>
      <c r="Q198" s="1265">
        <v>886.21</v>
      </c>
      <c r="R198" s="1264"/>
      <c r="S198" s="1265">
        <v>886.21</v>
      </c>
      <c r="T198" s="1264"/>
      <c r="U198" s="1265">
        <v>886.21</v>
      </c>
      <c r="V198" s="1264"/>
      <c r="W198" s="1265">
        <v>886.21</v>
      </c>
      <c r="X198" s="1264"/>
      <c r="Y198" s="1265">
        <v>886.21</v>
      </c>
      <c r="Z198" s="1264"/>
      <c r="AA198" s="1265">
        <v>886.21</v>
      </c>
      <c r="AB198" s="1264"/>
      <c r="AC198" s="1265">
        <v>924.57</v>
      </c>
      <c r="AD198" s="1264"/>
      <c r="AE198" s="1265">
        <f t="shared" si="10"/>
        <v>10672.879999999997</v>
      </c>
      <c r="AF198" s="1266">
        <f t="shared" si="11"/>
        <v>7.6290831726094546E-3</v>
      </c>
      <c r="AG198" s="1267"/>
    </row>
    <row r="199" spans="1:33" ht="15.75" customHeight="1" outlineLevel="1">
      <c r="A199" s="1260">
        <v>70310</v>
      </c>
      <c r="B199" s="1260" t="s">
        <v>127</v>
      </c>
      <c r="C199" s="1261"/>
      <c r="D199" s="1262"/>
      <c r="E199" s="1263"/>
      <c r="F199" s="1264"/>
      <c r="G199" s="1265">
        <v>1555.61</v>
      </c>
      <c r="H199" s="1264"/>
      <c r="I199" s="1265">
        <v>-236.23</v>
      </c>
      <c r="J199" s="1264"/>
      <c r="K199" s="1265">
        <v>-8.5399999999999991</v>
      </c>
      <c r="L199" s="1264"/>
      <c r="M199" s="1265">
        <v>476.41</v>
      </c>
      <c r="N199" s="1264"/>
      <c r="O199" s="1265">
        <v>1659.77</v>
      </c>
      <c r="P199" s="1264"/>
      <c r="Q199" s="1265">
        <v>-740.66</v>
      </c>
      <c r="R199" s="1264"/>
      <c r="S199" s="1265">
        <v>645.48</v>
      </c>
      <c r="T199" s="1264"/>
      <c r="U199" s="1265">
        <v>372.26</v>
      </c>
      <c r="V199" s="1264"/>
      <c r="W199" s="1265">
        <v>486.83</v>
      </c>
      <c r="X199" s="1264"/>
      <c r="Y199" s="1265">
        <v>830.92</v>
      </c>
      <c r="Z199" s="1264"/>
      <c r="AA199" s="1265">
        <v>1325.7</v>
      </c>
      <c r="AB199" s="1264"/>
      <c r="AC199" s="1265">
        <v>1945.07</v>
      </c>
      <c r="AD199" s="1264"/>
      <c r="AE199" s="1265">
        <f t="shared" si="10"/>
        <v>8312.6200000000008</v>
      </c>
      <c r="AF199" s="1266">
        <f t="shared" si="11"/>
        <v>5.9419453195666792E-3</v>
      </c>
      <c r="AG199" s="1267"/>
    </row>
    <row r="200" spans="1:33" ht="15.75" customHeight="1" outlineLevel="1">
      <c r="A200" s="1260">
        <v>70320</v>
      </c>
      <c r="B200" s="1260" t="s">
        <v>115</v>
      </c>
      <c r="C200" s="1261"/>
      <c r="D200" s="1262"/>
      <c r="E200" s="1263"/>
      <c r="F200" s="1264"/>
      <c r="G200" s="1265">
        <v>123.16</v>
      </c>
      <c r="H200" s="1264"/>
      <c r="I200" s="1265">
        <v>210.86</v>
      </c>
      <c r="J200" s="1264"/>
      <c r="K200" s="1265">
        <v>67.459999999999994</v>
      </c>
      <c r="L200" s="1264"/>
      <c r="M200" s="1265">
        <v>154.30000000000001</v>
      </c>
      <c r="N200" s="1264"/>
      <c r="O200" s="1265">
        <v>89.18</v>
      </c>
      <c r="P200" s="1264"/>
      <c r="Q200" s="1265">
        <v>139.66999999999999</v>
      </c>
      <c r="R200" s="1264"/>
      <c r="S200" s="1265">
        <v>41.53</v>
      </c>
      <c r="T200" s="1264"/>
      <c r="U200" s="1265">
        <v>125.56</v>
      </c>
      <c r="V200" s="1264"/>
      <c r="W200" s="1265">
        <v>173.39</v>
      </c>
      <c r="X200" s="1264"/>
      <c r="Y200" s="1265">
        <v>93.83</v>
      </c>
      <c r="Z200" s="1264"/>
      <c r="AA200" s="1265">
        <v>90</v>
      </c>
      <c r="AB200" s="1264"/>
      <c r="AC200" s="1265">
        <v>128.83000000000001</v>
      </c>
      <c r="AD200" s="1264"/>
      <c r="AE200" s="1265">
        <f t="shared" si="10"/>
        <v>1437.7700000000002</v>
      </c>
      <c r="AF200" s="1266">
        <f t="shared" si="11"/>
        <v>1.0277326188510225E-3</v>
      </c>
      <c r="AG200" s="1267"/>
    </row>
    <row r="201" spans="1:33" ht="15.75" customHeight="1" outlineLevel="1">
      <c r="A201" s="1260">
        <v>70335</v>
      </c>
      <c r="B201" s="1260" t="s">
        <v>72</v>
      </c>
      <c r="C201" s="1261"/>
      <c r="D201" s="1262"/>
      <c r="E201" s="1263"/>
      <c r="F201" s="1264"/>
      <c r="G201" s="1265">
        <v>0</v>
      </c>
      <c r="H201" s="1264"/>
      <c r="I201" s="1265">
        <v>0</v>
      </c>
      <c r="J201" s="1264"/>
      <c r="K201" s="1265">
        <v>1526.64</v>
      </c>
      <c r="L201" s="1264"/>
      <c r="M201" s="1265">
        <v>0</v>
      </c>
      <c r="N201" s="1264"/>
      <c r="O201" s="1265">
        <v>0</v>
      </c>
      <c r="P201" s="1264"/>
      <c r="Q201" s="1265">
        <v>-396.11</v>
      </c>
      <c r="R201" s="1264"/>
      <c r="S201" s="1265">
        <v>-211.46</v>
      </c>
      <c r="T201" s="1264"/>
      <c r="U201" s="1265">
        <v>84.85</v>
      </c>
      <c r="V201" s="1264"/>
      <c r="W201" s="1265">
        <v>0</v>
      </c>
      <c r="X201" s="1264"/>
      <c r="Y201" s="1265">
        <v>0</v>
      </c>
      <c r="Z201" s="1264"/>
      <c r="AA201" s="1265">
        <v>-9.9499999999999993</v>
      </c>
      <c r="AB201" s="1264"/>
      <c r="AC201" s="1265">
        <v>-13.05</v>
      </c>
      <c r="AD201" s="1264"/>
      <c r="AE201" s="1265">
        <f t="shared" si="10"/>
        <v>980.92000000000007</v>
      </c>
      <c r="AF201" s="1266">
        <f t="shared" si="11"/>
        <v>7.0117159245452663E-4</v>
      </c>
      <c r="AG201" s="1267"/>
    </row>
    <row r="202" spans="1:33" ht="15.75" customHeight="1" outlineLevel="1">
      <c r="A202" s="1260">
        <v>70336</v>
      </c>
      <c r="B202" s="1260" t="s">
        <v>150</v>
      </c>
      <c r="C202" s="1261"/>
      <c r="D202" s="1262"/>
      <c r="E202" s="1263"/>
      <c r="F202" s="1264"/>
      <c r="G202" s="1265">
        <v>0</v>
      </c>
      <c r="H202" s="1264"/>
      <c r="I202" s="1265">
        <v>0</v>
      </c>
      <c r="J202" s="1264"/>
      <c r="K202" s="1265">
        <v>0</v>
      </c>
      <c r="L202" s="1264"/>
      <c r="M202" s="1265">
        <v>76</v>
      </c>
      <c r="N202" s="1264"/>
      <c r="O202" s="1265">
        <v>0</v>
      </c>
      <c r="P202" s="1264"/>
      <c r="Q202" s="1265">
        <v>0</v>
      </c>
      <c r="R202" s="1264"/>
      <c r="S202" s="1265">
        <v>0</v>
      </c>
      <c r="T202" s="1264"/>
      <c r="U202" s="1265">
        <v>0</v>
      </c>
      <c r="V202" s="1264"/>
      <c r="W202" s="1265">
        <v>0</v>
      </c>
      <c r="X202" s="1264"/>
      <c r="Y202" s="1265">
        <v>0</v>
      </c>
      <c r="Z202" s="1264"/>
      <c r="AA202" s="1265">
        <v>0</v>
      </c>
      <c r="AB202" s="1264"/>
      <c r="AC202" s="1265">
        <v>0</v>
      </c>
      <c r="AD202" s="1264"/>
      <c r="AE202" s="1265">
        <f t="shared" si="10"/>
        <v>76</v>
      </c>
      <c r="AF202" s="1266">
        <f t="shared" si="11"/>
        <v>5.4325572958593994E-5</v>
      </c>
      <c r="AG202" s="1267"/>
    </row>
    <row r="203" spans="1:33" s="113" customFormat="1" ht="6.75" customHeight="1" outlineLevel="1">
      <c r="A203" s="1261"/>
      <c r="B203" s="1261"/>
      <c r="C203" s="1261"/>
      <c r="D203" s="1261"/>
      <c r="E203" s="1263"/>
      <c r="F203" s="1263"/>
      <c r="G203" s="1271"/>
      <c r="H203" s="1270"/>
      <c r="I203" s="1271"/>
      <c r="J203" s="1270"/>
      <c r="K203" s="1271"/>
      <c r="L203" s="1270"/>
      <c r="M203" s="1271"/>
      <c r="N203" s="1270"/>
      <c r="O203" s="1271"/>
      <c r="P203" s="1270"/>
      <c r="Q203" s="1271"/>
      <c r="R203" s="1270"/>
      <c r="S203" s="1271"/>
      <c r="T203" s="1270"/>
      <c r="U203" s="1271"/>
      <c r="V203" s="1270"/>
      <c r="W203" s="1271"/>
      <c r="X203" s="1270"/>
      <c r="Y203" s="1271"/>
      <c r="Z203" s="1270"/>
      <c r="AA203" s="1271"/>
      <c r="AB203" s="1270"/>
      <c r="AC203" s="1271"/>
      <c r="AD203" s="1270"/>
      <c r="AE203" s="1271"/>
      <c r="AF203" s="1264"/>
      <c r="AG203" s="1244"/>
    </row>
    <row r="204" spans="1:33" s="113" customFormat="1">
      <c r="A204" s="1263"/>
      <c r="B204" s="1263"/>
      <c r="C204" s="1261" t="s">
        <v>279</v>
      </c>
      <c r="D204" s="1263"/>
      <c r="E204" s="1263"/>
      <c r="F204" s="1263"/>
      <c r="G204" s="1269">
        <f>SUM(G170:G203)</f>
        <v>14188.380000000005</v>
      </c>
      <c r="H204" s="1270"/>
      <c r="I204" s="1269">
        <f>SUM(I170:I203)</f>
        <v>12317.840000000004</v>
      </c>
      <c r="J204" s="1270"/>
      <c r="K204" s="1269">
        <f>SUM(K170:K203)</f>
        <v>10348.309999999998</v>
      </c>
      <c r="L204" s="1270"/>
      <c r="M204" s="1269">
        <f>SUM(M170:M203)</f>
        <v>12295.489999999998</v>
      </c>
      <c r="N204" s="1270"/>
      <c r="O204" s="1269">
        <f>SUM(O170:O203)</f>
        <v>11308.480000000003</v>
      </c>
      <c r="P204" s="1270"/>
      <c r="Q204" s="1269">
        <f>SUM(Q170:Q203)</f>
        <v>9094.06</v>
      </c>
      <c r="R204" s="1270"/>
      <c r="S204" s="1269">
        <f>SUM(S170:S203)</f>
        <v>16627.709999999995</v>
      </c>
      <c r="T204" s="1270"/>
      <c r="U204" s="1269">
        <f>SUM(U170:U203)</f>
        <v>17605.64</v>
      </c>
      <c r="V204" s="1270"/>
      <c r="W204" s="1269">
        <f>SUM(W170:W203)</f>
        <v>18832.91</v>
      </c>
      <c r="X204" s="1270"/>
      <c r="Y204" s="1269">
        <f>SUM(Y170:Y203)</f>
        <v>19329.66</v>
      </c>
      <c r="Z204" s="1270"/>
      <c r="AA204" s="1269">
        <f>SUM(AA170:AA203)</f>
        <v>12538.440000000002</v>
      </c>
      <c r="AB204" s="1270"/>
      <c r="AC204" s="1269">
        <f>SUM(AC170:AC203)</f>
        <v>23605.299999999996</v>
      </c>
      <c r="AD204" s="1270"/>
      <c r="AE204" s="1269">
        <f>SUM(AE170:AE203)</f>
        <v>178092.21999999997</v>
      </c>
      <c r="AF204" s="1266">
        <f>IF(AE$45=0,0,AE204/AE$45)</f>
        <v>0.12730213014431541</v>
      </c>
      <c r="AG204" s="1244"/>
    </row>
    <row r="205" spans="1:33" s="113" customFormat="1" ht="8.25" customHeight="1" outlineLevel="1">
      <c r="A205" s="1263"/>
      <c r="B205" s="1263"/>
      <c r="C205" s="1263"/>
      <c r="D205" s="1263"/>
      <c r="E205" s="1263"/>
      <c r="F205" s="1263"/>
      <c r="G205" s="1270"/>
      <c r="H205" s="1270"/>
      <c r="I205" s="1270"/>
      <c r="J205" s="1270"/>
      <c r="K205" s="1270"/>
      <c r="L205" s="1270"/>
      <c r="M205" s="1270"/>
      <c r="N205" s="1270"/>
      <c r="O205" s="1270"/>
      <c r="P205" s="1270"/>
      <c r="Q205" s="1270"/>
      <c r="R205" s="1270"/>
      <c r="S205" s="1270"/>
      <c r="T205" s="1270"/>
      <c r="U205" s="1270"/>
      <c r="V205" s="1270"/>
      <c r="W205" s="1270"/>
      <c r="X205" s="1270"/>
      <c r="Y205" s="1270"/>
      <c r="Z205" s="1270"/>
      <c r="AA205" s="1270"/>
      <c r="AB205" s="1270"/>
      <c r="AC205" s="1270"/>
      <c r="AD205" s="1270"/>
      <c r="AE205" s="1270"/>
      <c r="AF205" s="1264"/>
      <c r="AG205" s="1244"/>
    </row>
    <row r="206" spans="1:33" ht="15" customHeight="1" outlineLevel="1">
      <c r="A206" s="1260">
        <v>70149</v>
      </c>
      <c r="B206" s="1260" t="s">
        <v>281</v>
      </c>
      <c r="C206" s="1261"/>
      <c r="D206" s="1262"/>
      <c r="E206" s="1263"/>
      <c r="F206" s="1264"/>
      <c r="G206" s="1265">
        <v>1968.66</v>
      </c>
      <c r="H206" s="1264"/>
      <c r="I206" s="1265">
        <v>1940.04</v>
      </c>
      <c r="J206" s="1264"/>
      <c r="K206" s="1265">
        <v>2013.98</v>
      </c>
      <c r="L206" s="1264"/>
      <c r="M206" s="1265">
        <v>2068.54</v>
      </c>
      <c r="N206" s="1264"/>
      <c r="O206" s="1265">
        <v>2104.54</v>
      </c>
      <c r="P206" s="1264"/>
      <c r="Q206" s="1265">
        <v>2408.9499999999998</v>
      </c>
      <c r="R206" s="1264"/>
      <c r="S206" s="1265">
        <v>2440.12</v>
      </c>
      <c r="T206" s="1264"/>
      <c r="U206" s="1265">
        <v>2391.31</v>
      </c>
      <c r="V206" s="1264"/>
      <c r="W206" s="1265">
        <v>2408.3200000000002</v>
      </c>
      <c r="X206" s="1264"/>
      <c r="Y206" s="1265">
        <v>2405.0500000000002</v>
      </c>
      <c r="Z206" s="1264"/>
      <c r="AA206" s="1265">
        <v>2406.67</v>
      </c>
      <c r="AB206" s="1264"/>
      <c r="AC206" s="1265">
        <v>2907.9</v>
      </c>
      <c r="AD206" s="1264"/>
      <c r="AE206" s="1265">
        <f>AC206+AA206+Y206+W206+U206+S206+Q206+O206+M206+K206+I206+G206</f>
        <v>27464.080000000002</v>
      </c>
      <c r="AF206" s="1266">
        <f>IF(AE$45=0,0,AE206/AE$45)</f>
        <v>1.9631603707640291E-2</v>
      </c>
      <c r="AG206" s="1267"/>
    </row>
    <row r="207" spans="1:33" s="113" customFormat="1" ht="5.0999999999999996" customHeight="1" outlineLevel="1">
      <c r="A207" s="1261"/>
      <c r="B207" s="1261"/>
      <c r="C207" s="1261"/>
      <c r="D207" s="1261"/>
      <c r="E207" s="1263"/>
      <c r="F207" s="1263"/>
      <c r="G207" s="1271"/>
      <c r="H207" s="1270"/>
      <c r="I207" s="1271"/>
      <c r="J207" s="1270"/>
      <c r="K207" s="1271"/>
      <c r="L207" s="1270"/>
      <c r="M207" s="1271"/>
      <c r="N207" s="1270"/>
      <c r="O207" s="1271"/>
      <c r="P207" s="1270"/>
      <c r="Q207" s="1271"/>
      <c r="R207" s="1270"/>
      <c r="S207" s="1271"/>
      <c r="T207" s="1270"/>
      <c r="U207" s="1271"/>
      <c r="V207" s="1270"/>
      <c r="W207" s="1271"/>
      <c r="X207" s="1270"/>
      <c r="Y207" s="1271"/>
      <c r="Z207" s="1270"/>
      <c r="AA207" s="1271"/>
      <c r="AB207" s="1270"/>
      <c r="AC207" s="1271"/>
      <c r="AD207" s="1270"/>
      <c r="AE207" s="1271"/>
      <c r="AF207" s="1264"/>
      <c r="AG207" s="1244"/>
    </row>
    <row r="208" spans="1:33" s="113" customFormat="1">
      <c r="A208" s="1263"/>
      <c r="B208" s="1263"/>
      <c r="C208" s="1260" t="s">
        <v>282</v>
      </c>
      <c r="D208" s="1263"/>
      <c r="E208" s="1263"/>
      <c r="F208" s="1263"/>
      <c r="G208" s="1269">
        <f>SUM(G205:G207)</f>
        <v>1968.66</v>
      </c>
      <c r="H208" s="1270"/>
      <c r="I208" s="1269">
        <f>SUM(I205:I207)</f>
        <v>1940.04</v>
      </c>
      <c r="J208" s="1270"/>
      <c r="K208" s="1269">
        <f>SUM(K205:K207)</f>
        <v>2013.98</v>
      </c>
      <c r="L208" s="1270"/>
      <c r="M208" s="1269">
        <f>SUM(M205:M207)</f>
        <v>2068.54</v>
      </c>
      <c r="N208" s="1270"/>
      <c r="O208" s="1269">
        <f>SUM(O205:O207)</f>
        <v>2104.54</v>
      </c>
      <c r="P208" s="1270"/>
      <c r="Q208" s="1269">
        <f>SUM(Q205:Q207)</f>
        <v>2408.9499999999998</v>
      </c>
      <c r="R208" s="1270"/>
      <c r="S208" s="1269">
        <f>SUM(S205:S207)</f>
        <v>2440.12</v>
      </c>
      <c r="T208" s="1270"/>
      <c r="U208" s="1269">
        <f>SUM(U205:U207)</f>
        <v>2391.31</v>
      </c>
      <c r="V208" s="1270"/>
      <c r="W208" s="1269">
        <f>SUM(W205:W207)</f>
        <v>2408.3200000000002</v>
      </c>
      <c r="X208" s="1270"/>
      <c r="Y208" s="1269">
        <f>SUM(Y205:Y207)</f>
        <v>2405.0500000000002</v>
      </c>
      <c r="Z208" s="1270"/>
      <c r="AA208" s="1269">
        <f>SUM(AA205:AA207)</f>
        <v>2406.67</v>
      </c>
      <c r="AB208" s="1270"/>
      <c r="AC208" s="1269">
        <f>SUM(AC205:AC207)</f>
        <v>2907.9</v>
      </c>
      <c r="AD208" s="1270"/>
      <c r="AE208" s="1269">
        <f>SUM(AE205:AE207)</f>
        <v>27464.080000000002</v>
      </c>
      <c r="AF208" s="1266">
        <f>IF(AE$45=0,0,AE208/AE$45)</f>
        <v>1.9631603707640291E-2</v>
      </c>
      <c r="AG208" s="1244"/>
    </row>
    <row r="209" spans="1:33" s="113" customFormat="1" ht="7.5" customHeight="1">
      <c r="A209" s="1263"/>
      <c r="B209" s="1263"/>
      <c r="C209" s="1263"/>
      <c r="D209" s="1263"/>
      <c r="E209" s="1263"/>
      <c r="F209" s="1263"/>
      <c r="G209" s="1270"/>
      <c r="H209" s="1270"/>
      <c r="I209" s="1270"/>
      <c r="J209" s="1270"/>
      <c r="K209" s="1270"/>
      <c r="L209" s="1270"/>
      <c r="M209" s="1270"/>
      <c r="N209" s="1270"/>
      <c r="O209" s="1270"/>
      <c r="P209" s="1270"/>
      <c r="Q209" s="1270"/>
      <c r="R209" s="1270"/>
      <c r="S209" s="1270"/>
      <c r="T209" s="1270"/>
      <c r="U209" s="1270"/>
      <c r="V209" s="1270"/>
      <c r="W209" s="1270"/>
      <c r="X209" s="1270"/>
      <c r="Y209" s="1270"/>
      <c r="Z209" s="1270"/>
      <c r="AA209" s="1270"/>
      <c r="AB209" s="1270"/>
      <c r="AC209" s="1270"/>
      <c r="AD209" s="1270"/>
      <c r="AE209" s="1270"/>
      <c r="AF209" s="1264"/>
      <c r="AG209" s="1244"/>
    </row>
    <row r="210" spans="1:33" s="113" customFormat="1" ht="15">
      <c r="A210" s="1263"/>
      <c r="B210" s="1273" t="s">
        <v>283</v>
      </c>
      <c r="C210" s="1263"/>
      <c r="D210" s="1263"/>
      <c r="E210" s="1263"/>
      <c r="F210" s="1263"/>
      <c r="G210" s="1274">
        <f>+G168+G204+G208</f>
        <v>16157.040000000005</v>
      </c>
      <c r="H210" s="1270"/>
      <c r="I210" s="1274">
        <f>+I168+I204+I208</f>
        <v>14257.880000000005</v>
      </c>
      <c r="J210" s="1270"/>
      <c r="K210" s="1274">
        <f>+K168+K204+K208</f>
        <v>12362.289999999997</v>
      </c>
      <c r="L210" s="1270"/>
      <c r="M210" s="1274">
        <f>+M168+M204+M208</f>
        <v>14364.029999999999</v>
      </c>
      <c r="N210" s="1270"/>
      <c r="O210" s="1274">
        <f>+O168+O204+O208</f>
        <v>13413.020000000004</v>
      </c>
      <c r="P210" s="1270"/>
      <c r="Q210" s="1274">
        <f>+Q168+Q204+Q208</f>
        <v>11503.009999999998</v>
      </c>
      <c r="R210" s="1270"/>
      <c r="S210" s="1274">
        <f>+S168+S204+S208</f>
        <v>19067.829999999994</v>
      </c>
      <c r="T210" s="1270"/>
      <c r="U210" s="1274">
        <f>+U168+U204+U208</f>
        <v>19996.95</v>
      </c>
      <c r="V210" s="1270"/>
      <c r="W210" s="1274">
        <f>+W168+W204+W208</f>
        <v>21241.23</v>
      </c>
      <c r="X210" s="1270"/>
      <c r="Y210" s="1274">
        <f>+Y168+Y204+Y208</f>
        <v>21734.71</v>
      </c>
      <c r="Z210" s="1270"/>
      <c r="AA210" s="1274">
        <f>+AA168+AA204+AA208</f>
        <v>14945.110000000002</v>
      </c>
      <c r="AB210" s="1270"/>
      <c r="AC210" s="1274">
        <f>+AC168+AC204+AC208</f>
        <v>26513.199999999997</v>
      </c>
      <c r="AD210" s="1270"/>
      <c r="AE210" s="1274">
        <f>+AE168+AE204+AE208</f>
        <v>205556.3</v>
      </c>
      <c r="AF210" s="1266">
        <f>IF(AE$45=0,0,AE210/AE$45)</f>
        <v>0.14693373385195571</v>
      </c>
      <c r="AG210" s="1244"/>
    </row>
    <row r="211" spans="1:33" s="113" customFormat="1" ht="7.5" customHeight="1">
      <c r="A211" s="1263"/>
      <c r="B211" s="1263"/>
      <c r="C211" s="1263"/>
      <c r="D211" s="1263"/>
      <c r="E211" s="1263"/>
      <c r="F211" s="1263"/>
      <c r="G211" s="1270"/>
      <c r="H211" s="1270"/>
      <c r="I211" s="1270"/>
      <c r="J211" s="1270"/>
      <c r="K211" s="1270"/>
      <c r="L211" s="1270"/>
      <c r="M211" s="1270"/>
      <c r="N211" s="1270"/>
      <c r="O211" s="1270"/>
      <c r="P211" s="1270"/>
      <c r="Q211" s="1270"/>
      <c r="R211" s="1270"/>
      <c r="S211" s="1270"/>
      <c r="T211" s="1270"/>
      <c r="U211" s="1270"/>
      <c r="V211" s="1270"/>
      <c r="W211" s="1270"/>
      <c r="X211" s="1270"/>
      <c r="Y211" s="1270"/>
      <c r="Z211" s="1270"/>
      <c r="AA211" s="1270"/>
      <c r="AB211" s="1270"/>
      <c r="AC211" s="1270"/>
      <c r="AD211" s="1270"/>
      <c r="AE211" s="1270"/>
      <c r="AF211" s="1264"/>
      <c r="AG211" s="1244"/>
    </row>
    <row r="212" spans="1:33" s="113" customFormat="1" ht="7.5" customHeight="1">
      <c r="A212" s="1277"/>
      <c r="B212" s="1277"/>
      <c r="C212" s="1277"/>
      <c r="D212" s="1277"/>
      <c r="E212" s="1277"/>
      <c r="F212" s="1277"/>
      <c r="G212" s="1278"/>
      <c r="H212" s="1270"/>
      <c r="I212" s="1278"/>
      <c r="J212" s="1270"/>
      <c r="K212" s="1278"/>
      <c r="L212" s="1270"/>
      <c r="M212" s="1278"/>
      <c r="N212" s="1270"/>
      <c r="O212" s="1278"/>
      <c r="P212" s="1270"/>
      <c r="Q212" s="1278"/>
      <c r="R212" s="1270"/>
      <c r="S212" s="1278"/>
      <c r="T212" s="1270"/>
      <c r="U212" s="1278"/>
      <c r="V212" s="1270"/>
      <c r="W212" s="1278"/>
      <c r="X212" s="1270"/>
      <c r="Y212" s="1278"/>
      <c r="Z212" s="1270"/>
      <c r="AA212" s="1278"/>
      <c r="AB212" s="1270"/>
      <c r="AC212" s="1278"/>
      <c r="AD212" s="1270"/>
      <c r="AE212" s="1278"/>
      <c r="AF212" s="1264"/>
      <c r="AG212" s="1244"/>
    </row>
    <row r="213" spans="1:33" s="113" customFormat="1" ht="18" customHeight="1">
      <c r="A213" s="1263"/>
      <c r="B213" s="1279" t="s">
        <v>284</v>
      </c>
      <c r="C213" s="1280"/>
      <c r="D213" s="1280"/>
      <c r="E213" s="1280"/>
      <c r="F213" s="1280"/>
      <c r="G213" s="1281">
        <f>+G163-G210</f>
        <v>20945.349999999988</v>
      </c>
      <c r="H213" s="1282"/>
      <c r="I213" s="1281">
        <f>+I163-I210</f>
        <v>32105.739999999991</v>
      </c>
      <c r="J213" s="1283"/>
      <c r="K213" s="1281">
        <f>+K163-K210</f>
        <v>12415.639999999974</v>
      </c>
      <c r="L213" s="1283"/>
      <c r="M213" s="1281">
        <f>+M163-M210</f>
        <v>27092.060000000005</v>
      </c>
      <c r="N213" s="1282"/>
      <c r="O213" s="1281">
        <f>+O163-O210</f>
        <v>29480.079999999987</v>
      </c>
      <c r="P213" s="1283"/>
      <c r="Q213" s="1281">
        <f>+Q163-Q210</f>
        <v>10946.760000000013</v>
      </c>
      <c r="R213" s="1283"/>
      <c r="S213" s="1281">
        <f>+S163-S210</f>
        <v>7968.8100000000049</v>
      </c>
      <c r="T213" s="1282"/>
      <c r="U213" s="1281">
        <f>+U163-U210</f>
        <v>20207.279999999995</v>
      </c>
      <c r="V213" s="1283"/>
      <c r="W213" s="1281">
        <f>+W163-W210</f>
        <v>18060.929999999997</v>
      </c>
      <c r="X213" s="1283"/>
      <c r="Y213" s="1281">
        <f>+Y163-Y210</f>
        <v>11919.23000000001</v>
      </c>
      <c r="Z213" s="1282"/>
      <c r="AA213" s="1281">
        <f>+AA163-AA210</f>
        <v>29237.940000000002</v>
      </c>
      <c r="AB213" s="1283"/>
      <c r="AC213" s="1281">
        <f>+AC163-AC210</f>
        <v>82066.609999999971</v>
      </c>
      <c r="AD213" s="1283"/>
      <c r="AE213" s="1281">
        <f>+AE163-AE210</f>
        <v>302446.43000000046</v>
      </c>
      <c r="AF213" s="1266">
        <f>IF(AE$45=0,0,AE213/AE$45)</f>
        <v>0.21619178419778048</v>
      </c>
      <c r="AG213" s="1284"/>
    </row>
    <row r="214" spans="1:33" s="113" customFormat="1" ht="6.75" customHeight="1">
      <c r="A214" s="1285"/>
      <c r="B214" s="1285"/>
      <c r="C214" s="1285"/>
      <c r="D214" s="1285"/>
      <c r="E214" s="1285"/>
      <c r="F214" s="1285"/>
      <c r="G214" s="1286"/>
      <c r="H214" s="1285"/>
      <c r="I214" s="1286"/>
      <c r="J214" s="1285"/>
      <c r="K214" s="1286"/>
      <c r="L214" s="1285"/>
      <c r="M214" s="1286"/>
      <c r="N214" s="1285"/>
      <c r="O214" s="1286"/>
      <c r="P214" s="1285"/>
      <c r="Q214" s="1286"/>
      <c r="R214" s="1285"/>
      <c r="S214" s="1286"/>
      <c r="T214" s="1285"/>
      <c r="U214" s="1286"/>
      <c r="V214" s="1285"/>
      <c r="W214" s="1286"/>
      <c r="X214" s="1285"/>
      <c r="Y214" s="1286"/>
      <c r="Z214" s="1285"/>
      <c r="AA214" s="1286"/>
      <c r="AB214" s="1285"/>
      <c r="AC214" s="1286"/>
      <c r="AD214" s="1285"/>
      <c r="AE214" s="1286"/>
      <c r="AF214" s="1270"/>
      <c r="AG214" s="1244"/>
    </row>
    <row r="215" spans="1:33" s="113" customFormat="1" ht="15">
      <c r="A215" s="1263"/>
      <c r="B215" s="1287" t="s">
        <v>285</v>
      </c>
      <c r="C215" s="1288"/>
      <c r="D215" s="1288"/>
      <c r="E215" s="1288"/>
      <c r="F215" s="1288"/>
      <c r="G215" s="1289">
        <f>G213 +G155+SUMIF($A$1:$A$65531,52141,G$1:G$65531)+SUMIF($A$1:$A$65531,52142,G$1:G$65531)+SUMIF($A$1:$A$65531,52143,G$1:G$65531)+SUMIF($A$1:$A$65531,55142,G$1:G$65531)+SUMIF($A$1:$A$65531,56142,G$1:G$65531)+SUMIF($A$1:$A$65531,70142,G$1:G$65531)</f>
        <v>26144.099999999988</v>
      </c>
      <c r="H215" s="1288"/>
      <c r="I215" s="1289">
        <f>I213 +I155+SUMIF($A$1:$A$65531,52141,I$1:I$65531)+SUMIF($A$1:$A$65531,52142,I$1:I$65531)+SUMIF($A$1:$A$65531,52143,I$1:I$65531)+SUMIF($A$1:$A$65531,55142,I$1:I$65531)+SUMIF($A$1:$A$65531,56142,I$1:I$65531)+SUMIF($A$1:$A$65531,70142,I$1:I$65531)</f>
        <v>40838.839999999989</v>
      </c>
      <c r="J215" s="1288"/>
      <c r="K215" s="1289">
        <f>K213 +K155+SUMIF($A$1:$A$65531,52141,K$1:K$65531)+SUMIF($A$1:$A$65531,52142,K$1:K$65531)+SUMIF($A$1:$A$65531,52143,K$1:K$65531)+SUMIF($A$1:$A$65531,55142,K$1:K$65531)+SUMIF($A$1:$A$65531,56142,K$1:K$65531)+SUMIF($A$1:$A$65531,70142,K$1:K$65531)</f>
        <v>14164.049999999974</v>
      </c>
      <c r="L215" s="1288"/>
      <c r="M215" s="1289">
        <f>M213 +M155+SUMIF($A$1:$A$65531,52141,M$1:M$65531)+SUMIF($A$1:$A$65531,52142,M$1:M$65531)+SUMIF($A$1:$A$65531,52143,M$1:M$65531)+SUMIF($A$1:$A$65531,55142,M$1:M$65531)+SUMIF($A$1:$A$65531,56142,M$1:M$65531)+SUMIF($A$1:$A$65531,70142,M$1:M$65531)</f>
        <v>36401.83</v>
      </c>
      <c r="N215" s="1288"/>
      <c r="O215" s="1289">
        <f>O213 +O155+SUMIF($A$1:$A$65531,52141,O$1:O$65531)+SUMIF($A$1:$A$65531,52142,O$1:O$65531)+SUMIF($A$1:$A$65531,52143,O$1:O$65531)+SUMIF($A$1:$A$65531,55142,O$1:O$65531)+SUMIF($A$1:$A$65531,56142,O$1:O$65531)+SUMIF($A$1:$A$65531,70142,O$1:O$65531)</f>
        <v>35422.399999999987</v>
      </c>
      <c r="P215" s="1288"/>
      <c r="Q215" s="1289">
        <f>Q213 +Q155+SUMIF($A$1:$A$65531,52141,Q$1:Q$65531)+SUMIF($A$1:$A$65531,52142,Q$1:Q$65531)+SUMIF($A$1:$A$65531,52143,Q$1:Q$65531)+SUMIF($A$1:$A$65531,55142,Q$1:Q$65531)+SUMIF($A$1:$A$65531,56142,Q$1:Q$65531)+SUMIF($A$1:$A$65531,70142,Q$1:Q$65531)</f>
        <v>16940.430000000011</v>
      </c>
      <c r="R215" s="1288"/>
      <c r="S215" s="1289">
        <f>S213 +S155+SUMIF($A$1:$A$65531,52141,S$1:S$65531)+SUMIF($A$1:$A$65531,52142,S$1:S$65531)+SUMIF($A$1:$A$65531,52143,S$1:S$65531)+SUMIF($A$1:$A$65531,55142,S$1:S$65531)+SUMIF($A$1:$A$65531,56142,S$1:S$65531)+SUMIF($A$1:$A$65531,70142,S$1:S$65531)</f>
        <v>26911.820000000007</v>
      </c>
      <c r="T215" s="1288"/>
      <c r="U215" s="1289">
        <f>U213 +U155+SUMIF($A$1:$A$65531,52141,U$1:U$65531)+SUMIF($A$1:$A$65531,52142,U$1:U$65531)+SUMIF($A$1:$A$65531,52143,U$1:U$65531)+SUMIF($A$1:$A$65531,55142,U$1:U$65531)+SUMIF($A$1:$A$65531,56142,U$1:U$65531)+SUMIF($A$1:$A$65531,70142,U$1:U$65531)</f>
        <v>25197.399999999994</v>
      </c>
      <c r="V215" s="1288"/>
      <c r="W215" s="1289">
        <f>W213 +W155+SUMIF($A$1:$A$65531,52141,W$1:W$65531)+SUMIF($A$1:$A$65531,52142,W$1:W$65531)+SUMIF($A$1:$A$65531,52143,W$1:W$65531)+SUMIF($A$1:$A$65531,55142,W$1:W$65531)+SUMIF($A$1:$A$65531,56142,W$1:W$65531)+SUMIF($A$1:$A$65531,70142,W$1:W$65531)</f>
        <v>28417.109999999997</v>
      </c>
      <c r="X215" s="1288"/>
      <c r="Y215" s="1289">
        <f>Y213 +Y155+SUMIF($A$1:$A$65531,52141,Y$1:Y$65531)+SUMIF($A$1:$A$65531,52142,Y$1:Y$65531)+SUMIF($A$1:$A$65531,52143,Y$1:Y$65531)+SUMIF($A$1:$A$65531,55142,Y$1:Y$65531)+SUMIF($A$1:$A$65531,56142,Y$1:Y$65531)+SUMIF($A$1:$A$65531,70142,Y$1:Y$65531)</f>
        <v>25374.140000000014</v>
      </c>
      <c r="Z215" s="1288"/>
      <c r="AA215" s="1289">
        <f>AA213 +AA155+SUMIF($A$1:$A$65531,52141,AA$1:AA$65531)+SUMIF($A$1:$A$65531,52142,AA$1:AA$65531)+SUMIF($A$1:$A$65531,52143,AA$1:AA$65531)+SUMIF($A$1:$A$65531,55142,AA$1:AA$65531)+SUMIF($A$1:$A$65531,56142,AA$1:AA$65531)+SUMIF($A$1:$A$65531,70142,AA$1:AA$65531)</f>
        <v>36183.71</v>
      </c>
      <c r="AB215" s="1288"/>
      <c r="AC215" s="1289">
        <f>AC213 +AC155+SUMIF($A$1:$A$65531,52141,AC$1:AC$65531)+SUMIF($A$1:$A$65531,52142,AC$1:AC$65531)+SUMIF($A$1:$A$65531,52143,AC$1:AC$65531)+SUMIF($A$1:$A$65531,55142,AC$1:AC$65531)+SUMIF($A$1:$A$65531,56142,AC$1:AC$65531)+SUMIF($A$1:$A$65531,70142,AC$1:AC$65531)</f>
        <v>90250.699999999968</v>
      </c>
      <c r="AD215" s="1288"/>
      <c r="AE215" s="1289">
        <f>AE213 +AE155+SUMIF($A$1:$A$65531,52141,AE$1:AE$65531)+SUMIF($A$1:$A$65531,52142,AE$1:AE$65531)+SUMIF($A$1:$A$65531,52143,AE$1:AE$65531)+SUMIF($A$1:$A$65531,55142,AE$1:AE$65531)+SUMIF($A$1:$A$65531,56142,AE$1:AE$65531)+SUMIF($A$1:$A$65531,70142,AE$1:AE$65531)</f>
        <v>402246.53000000049</v>
      </c>
      <c r="AF215" s="1266">
        <f>IF(AE$45=0,0,AE215/AE$45)</f>
        <v>0.28752991069547756</v>
      </c>
      <c r="AG215" s="1284"/>
    </row>
    <row r="216" spans="1:33" s="113" customFormat="1" ht="6.75" customHeight="1">
      <c r="A216" s="1263"/>
      <c r="B216" s="1263"/>
      <c r="C216" s="1263"/>
      <c r="D216" s="1263"/>
      <c r="E216" s="1263"/>
      <c r="F216" s="1263"/>
      <c r="G216" s="1270"/>
      <c r="H216" s="1270"/>
      <c r="I216" s="1270"/>
      <c r="J216" s="1270"/>
      <c r="K216" s="1270"/>
      <c r="L216" s="1270"/>
      <c r="M216" s="1270"/>
      <c r="N216" s="1270"/>
      <c r="O216" s="1270"/>
      <c r="P216" s="1270"/>
      <c r="Q216" s="1270"/>
      <c r="R216" s="1270"/>
      <c r="S216" s="1270"/>
      <c r="T216" s="1270"/>
      <c r="U216" s="1270"/>
      <c r="V216" s="1270"/>
      <c r="W216" s="1270"/>
      <c r="X216" s="1270"/>
      <c r="Y216" s="1270"/>
      <c r="Z216" s="1270"/>
      <c r="AA216" s="1270"/>
      <c r="AB216" s="1270"/>
      <c r="AC216" s="1270"/>
      <c r="AD216" s="1270"/>
      <c r="AE216" s="1270"/>
      <c r="AF216" s="1270"/>
      <c r="AG216" s="1244"/>
    </row>
    <row r="217" spans="1:33" outlineLevel="1">
      <c r="A217" s="1260">
        <v>51260</v>
      </c>
      <c r="B217" s="1260" t="s">
        <v>287</v>
      </c>
      <c r="C217" s="1261"/>
      <c r="D217" s="1262"/>
      <c r="E217" s="1263"/>
      <c r="F217" s="1264"/>
      <c r="G217" s="1265">
        <v>10652.58</v>
      </c>
      <c r="H217" s="1264"/>
      <c r="I217" s="1265">
        <v>10652.58</v>
      </c>
      <c r="J217" s="1264"/>
      <c r="K217" s="1265">
        <v>10652.57</v>
      </c>
      <c r="L217" s="1264"/>
      <c r="M217" s="1265">
        <v>10652.55</v>
      </c>
      <c r="N217" s="1264"/>
      <c r="O217" s="1265">
        <v>10703.24</v>
      </c>
      <c r="P217" s="1264"/>
      <c r="Q217" s="1265">
        <v>10703.11</v>
      </c>
      <c r="R217" s="1264"/>
      <c r="S217" s="1265">
        <v>10703.12</v>
      </c>
      <c r="T217" s="1264"/>
      <c r="U217" s="1265">
        <v>10703.22</v>
      </c>
      <c r="V217" s="1264"/>
      <c r="W217" s="1265">
        <v>10984.59</v>
      </c>
      <c r="X217" s="1264"/>
      <c r="Y217" s="1265">
        <v>12423.86</v>
      </c>
      <c r="Z217" s="1264"/>
      <c r="AA217" s="1265">
        <v>12423.89</v>
      </c>
      <c r="AB217" s="1264"/>
      <c r="AC217" s="1265">
        <v>10993.37</v>
      </c>
      <c r="AD217" s="1264"/>
      <c r="AE217" s="1265">
        <f>AC217+AA217+Y217+W217+U217+S217+Q217+O217+M217+K217+I217+G217</f>
        <v>132248.68000000002</v>
      </c>
      <c r="AF217" s="1266">
        <f>IF(AE$45=0,0,AE217/AE$45)</f>
        <v>9.4532701500233574E-2</v>
      </c>
      <c r="AG217" s="1267"/>
    </row>
    <row r="218" spans="1:33" outlineLevel="1">
      <c r="A218" s="1260">
        <v>54260</v>
      </c>
      <c r="B218" s="1260" t="s">
        <v>287</v>
      </c>
      <c r="C218" s="1261"/>
      <c r="D218" s="1262"/>
      <c r="E218" s="1263"/>
      <c r="F218" s="1264"/>
      <c r="G218" s="1265">
        <v>1846.85</v>
      </c>
      <c r="H218" s="1264"/>
      <c r="I218" s="1265">
        <v>1846.9</v>
      </c>
      <c r="J218" s="1264"/>
      <c r="K218" s="1265">
        <v>1846.84</v>
      </c>
      <c r="L218" s="1264"/>
      <c r="M218" s="1265">
        <v>1846.89</v>
      </c>
      <c r="N218" s="1264"/>
      <c r="O218" s="1265">
        <v>1846.89</v>
      </c>
      <c r="P218" s="1264"/>
      <c r="Q218" s="1265">
        <v>1846.82</v>
      </c>
      <c r="R218" s="1264"/>
      <c r="S218" s="1265">
        <v>1846.87</v>
      </c>
      <c r="T218" s="1264"/>
      <c r="U218" s="1265">
        <v>1846.9</v>
      </c>
      <c r="V218" s="1264"/>
      <c r="W218" s="1265">
        <v>2370.9299999999998</v>
      </c>
      <c r="X218" s="1264"/>
      <c r="Y218" s="1265">
        <v>2370.9</v>
      </c>
      <c r="Z218" s="1264"/>
      <c r="AA218" s="1265">
        <v>2370.9299999999998</v>
      </c>
      <c r="AB218" s="1264"/>
      <c r="AC218" s="1265">
        <v>2370.9499999999998</v>
      </c>
      <c r="AD218" s="1264"/>
      <c r="AE218" s="1265">
        <f>AC218+AA218+Y218+W218+U218+S218+Q218+O218+M218+K218+I218+G218</f>
        <v>24258.67</v>
      </c>
      <c r="AF218" s="1266">
        <f>IF(AE$45=0,0,AE218/AE$45)</f>
        <v>1.7340344038992834E-2</v>
      </c>
      <c r="AG218" s="1267"/>
    </row>
    <row r="219" spans="1:33" outlineLevel="1">
      <c r="A219" s="1260">
        <v>70260</v>
      </c>
      <c r="B219" s="1260" t="s">
        <v>287</v>
      </c>
      <c r="C219" s="1261"/>
      <c r="D219" s="1262"/>
      <c r="E219" s="1263"/>
      <c r="F219" s="1264"/>
      <c r="G219" s="1265">
        <v>384.25</v>
      </c>
      <c r="H219" s="1264"/>
      <c r="I219" s="1265">
        <v>384.27</v>
      </c>
      <c r="J219" s="1264"/>
      <c r="K219" s="1265">
        <v>384.27</v>
      </c>
      <c r="L219" s="1264"/>
      <c r="M219" s="1265">
        <v>384.26</v>
      </c>
      <c r="N219" s="1264"/>
      <c r="O219" s="1265">
        <v>384.25</v>
      </c>
      <c r="P219" s="1264"/>
      <c r="Q219" s="1265">
        <v>270.61</v>
      </c>
      <c r="R219" s="1264"/>
      <c r="S219" s="1265">
        <v>142.41999999999999</v>
      </c>
      <c r="T219" s="1264"/>
      <c r="U219" s="1265">
        <v>142.41999999999999</v>
      </c>
      <c r="V219" s="1264"/>
      <c r="W219" s="1265">
        <v>142.41999999999999</v>
      </c>
      <c r="X219" s="1264"/>
      <c r="Y219" s="1265">
        <v>142.41999999999999</v>
      </c>
      <c r="Z219" s="1264"/>
      <c r="AA219" s="1265">
        <v>142.41999999999999</v>
      </c>
      <c r="AB219" s="1264"/>
      <c r="AC219" s="1265">
        <v>142.43</v>
      </c>
      <c r="AD219" s="1264"/>
      <c r="AE219" s="1265">
        <f>AC219+AA219+Y219+W219+U219+S219+Q219+O219+M219+K219+I219+G219</f>
        <v>3046.44</v>
      </c>
      <c r="AF219" s="1266">
        <f>IF(AE$45=0,0,AE219/AE$45)</f>
        <v>2.17762629584183E-3</v>
      </c>
      <c r="AG219" s="1267"/>
    </row>
    <row r="220" spans="1:33" s="113" customFormat="1" ht="5.0999999999999996" customHeight="1" outlineLevel="1">
      <c r="A220" s="1261"/>
      <c r="B220" s="1261"/>
      <c r="C220" s="1261"/>
      <c r="D220" s="1261"/>
      <c r="E220" s="1263"/>
      <c r="F220" s="1263"/>
      <c r="G220" s="1271"/>
      <c r="H220" s="1270"/>
      <c r="I220" s="1271"/>
      <c r="J220" s="1270"/>
      <c r="K220" s="1271"/>
      <c r="L220" s="1270"/>
      <c r="M220" s="1271"/>
      <c r="N220" s="1270"/>
      <c r="O220" s="1271"/>
      <c r="P220" s="1270"/>
      <c r="Q220" s="1271"/>
      <c r="R220" s="1270"/>
      <c r="S220" s="1271"/>
      <c r="T220" s="1270"/>
      <c r="U220" s="1271"/>
      <c r="V220" s="1270"/>
      <c r="W220" s="1271"/>
      <c r="X220" s="1270"/>
      <c r="Y220" s="1271"/>
      <c r="Z220" s="1270"/>
      <c r="AA220" s="1271"/>
      <c r="AB220" s="1270"/>
      <c r="AC220" s="1271"/>
      <c r="AD220" s="1270"/>
      <c r="AE220" s="1271"/>
      <c r="AF220" s="1270"/>
      <c r="AG220" s="1244"/>
    </row>
    <row r="221" spans="1:33" s="113" customFormat="1">
      <c r="A221" s="1263"/>
      <c r="B221" s="1263"/>
      <c r="C221" s="1261" t="s">
        <v>287</v>
      </c>
      <c r="D221" s="1263"/>
      <c r="E221" s="1263"/>
      <c r="F221" s="1263"/>
      <c r="G221" s="1269">
        <f>SUM(G217:G220)</f>
        <v>12883.68</v>
      </c>
      <c r="H221" s="1270"/>
      <c r="I221" s="1269">
        <f>SUM(I217:I220)</f>
        <v>12883.75</v>
      </c>
      <c r="J221" s="1270"/>
      <c r="K221" s="1269">
        <f>SUM(K217:K220)</f>
        <v>12883.68</v>
      </c>
      <c r="L221" s="1290">
        <f>IF(K$39=0,0,K221/K$39)</f>
        <v>0</v>
      </c>
      <c r="M221" s="1269">
        <f>SUM(M217:M220)</f>
        <v>12883.699999999999</v>
      </c>
      <c r="N221" s="1270"/>
      <c r="O221" s="1269">
        <f>SUM(O217:O220)</f>
        <v>12934.38</v>
      </c>
      <c r="P221" s="1270"/>
      <c r="Q221" s="1269">
        <f>SUM(Q217:Q220)</f>
        <v>12820.54</v>
      </c>
      <c r="R221" s="1290">
        <f>IF(Q$39=0,0,Q221/Q$39)</f>
        <v>0</v>
      </c>
      <c r="S221" s="1269">
        <f>SUM(S217:S220)</f>
        <v>12692.410000000002</v>
      </c>
      <c r="T221" s="1270"/>
      <c r="U221" s="1269">
        <f>SUM(U217:U220)</f>
        <v>12692.539999999999</v>
      </c>
      <c r="V221" s="1270"/>
      <c r="W221" s="1269">
        <f>SUM(W217:W220)</f>
        <v>13497.94</v>
      </c>
      <c r="X221" s="1290">
        <f>IF(W$39=0,0,W221/W$39)</f>
        <v>0</v>
      </c>
      <c r="Y221" s="1269">
        <f>SUM(Y217:Y220)</f>
        <v>14937.18</v>
      </c>
      <c r="Z221" s="1270"/>
      <c r="AA221" s="1269">
        <f>SUM(AA217:AA220)</f>
        <v>14937.24</v>
      </c>
      <c r="AB221" s="1270"/>
      <c r="AC221" s="1269">
        <f>SUM(AC217:AC220)</f>
        <v>13506.75</v>
      </c>
      <c r="AD221" s="1290">
        <f>IF(AC$39=0,0,AC221/AC$39)</f>
        <v>0</v>
      </c>
      <c r="AE221" s="1269">
        <f>SUM(G221,I221,K221,M221,O221,Q221,S221,U221,W221,Y221,AA221,AC221)</f>
        <v>159553.78999999998</v>
      </c>
      <c r="AF221" s="1266">
        <f>IF(AE$45=0,0,AE221/AE$45)</f>
        <v>0.1140506718350682</v>
      </c>
      <c r="AG221" s="1244"/>
    </row>
    <row r="222" spans="1:33" s="113" customFormat="1" hidden="1" outlineLevel="1">
      <c r="A222" s="1263"/>
      <c r="B222" s="1263"/>
      <c r="C222" s="1261"/>
      <c r="D222" s="1263"/>
      <c r="E222" s="1263"/>
      <c r="F222" s="1263"/>
      <c r="G222" s="1270"/>
      <c r="H222" s="1270"/>
      <c r="I222" s="1270"/>
      <c r="J222" s="1270"/>
      <c r="K222" s="1270"/>
      <c r="L222" s="1270"/>
      <c r="M222" s="1270"/>
      <c r="N222" s="1270"/>
      <c r="O222" s="1270"/>
      <c r="P222" s="1270"/>
      <c r="Q222" s="1270"/>
      <c r="R222" s="1270"/>
      <c r="S222" s="1270"/>
      <c r="T222" s="1270"/>
      <c r="U222" s="1270"/>
      <c r="V222" s="1270"/>
      <c r="W222" s="1270"/>
      <c r="X222" s="1270"/>
      <c r="Y222" s="1270"/>
      <c r="Z222" s="1270"/>
      <c r="AA222" s="1270"/>
      <c r="AB222" s="1270"/>
      <c r="AC222" s="1270"/>
      <c r="AD222" s="1270"/>
      <c r="AE222" s="1270"/>
      <c r="AF222" s="1270"/>
      <c r="AG222" s="1244"/>
    </row>
    <row r="223" spans="1:33" hidden="1" outlineLevel="1">
      <c r="A223" s="1260"/>
      <c r="B223" s="1260"/>
      <c r="C223" s="1261"/>
      <c r="D223" s="1262"/>
      <c r="E223" s="1263"/>
      <c r="F223" s="1264"/>
      <c r="G223" s="1265"/>
      <c r="H223" s="1264"/>
      <c r="I223" s="1265"/>
      <c r="J223" s="1264"/>
      <c r="K223" s="1265"/>
      <c r="L223" s="1264"/>
      <c r="M223" s="1265"/>
      <c r="N223" s="1264"/>
      <c r="O223" s="1265"/>
      <c r="P223" s="1264"/>
      <c r="Q223" s="1265"/>
      <c r="R223" s="1264"/>
      <c r="S223" s="1265"/>
      <c r="T223" s="1264"/>
      <c r="U223" s="1265"/>
      <c r="V223" s="1264"/>
      <c r="W223" s="1265"/>
      <c r="X223" s="1264"/>
      <c r="Y223" s="1265"/>
      <c r="Z223" s="1264"/>
      <c r="AA223" s="1265"/>
      <c r="AB223" s="1264"/>
      <c r="AC223" s="1265"/>
      <c r="AD223" s="1264"/>
      <c r="AE223" s="1265">
        <f>AC223+AA223+Y223+W223+U223+S223+Q223+O223+M223+K223+I223+G223</f>
        <v>0</v>
      </c>
      <c r="AF223" s="1266">
        <f>IF(AE$45=0,0,AE223/AE$45)</f>
        <v>0</v>
      </c>
      <c r="AG223" s="1267"/>
    </row>
    <row r="224" spans="1:33" s="113" customFormat="1" ht="5.0999999999999996" hidden="1" customHeight="1" outlineLevel="1">
      <c r="A224" s="1261"/>
      <c r="B224" s="1261"/>
      <c r="C224" s="1261"/>
      <c r="D224" s="1261"/>
      <c r="E224" s="1263"/>
      <c r="F224" s="1263"/>
      <c r="G224" s="1271"/>
      <c r="H224" s="1270"/>
      <c r="I224" s="1271"/>
      <c r="J224" s="1270"/>
      <c r="K224" s="1271"/>
      <c r="L224" s="1270"/>
      <c r="M224" s="1271"/>
      <c r="N224" s="1270"/>
      <c r="O224" s="1271"/>
      <c r="P224" s="1270"/>
      <c r="Q224" s="1271"/>
      <c r="R224" s="1270"/>
      <c r="S224" s="1271"/>
      <c r="T224" s="1270"/>
      <c r="U224" s="1271"/>
      <c r="V224" s="1270"/>
      <c r="W224" s="1271"/>
      <c r="X224" s="1270"/>
      <c r="Y224" s="1271"/>
      <c r="Z224" s="1270"/>
      <c r="AA224" s="1271"/>
      <c r="AB224" s="1270"/>
      <c r="AC224" s="1271"/>
      <c r="AD224" s="1270"/>
      <c r="AE224" s="1271"/>
      <c r="AF224" s="1270"/>
      <c r="AG224" s="1244"/>
    </row>
    <row r="225" spans="1:33" s="113" customFormat="1" hidden="1" collapsed="1">
      <c r="A225" s="1263"/>
      <c r="B225" s="1263"/>
      <c r="C225" s="1260" t="s">
        <v>289</v>
      </c>
      <c r="D225" s="1263"/>
      <c r="E225" s="1263"/>
      <c r="F225" s="1263"/>
      <c r="G225" s="1269">
        <f>SUM(G223:G224)</f>
        <v>0</v>
      </c>
      <c r="H225" s="1270"/>
      <c r="I225" s="1269">
        <f>SUM(I223:I224)</f>
        <v>0</v>
      </c>
      <c r="J225" s="1270"/>
      <c r="K225" s="1269">
        <f>SUM(K223:K224)</f>
        <v>0</v>
      </c>
      <c r="L225" s="1290">
        <f>IF(K$39=0,0,K225/K$39)</f>
        <v>0</v>
      </c>
      <c r="M225" s="1269">
        <f>SUM(M223:M224)</f>
        <v>0</v>
      </c>
      <c r="N225" s="1270"/>
      <c r="O225" s="1269">
        <f>SUM(O223:O224)</f>
        <v>0</v>
      </c>
      <c r="P225" s="1270"/>
      <c r="Q225" s="1269">
        <f>SUM(Q223:Q224)</f>
        <v>0</v>
      </c>
      <c r="R225" s="1290">
        <f>IF(Q$39=0,0,Q225/Q$39)</f>
        <v>0</v>
      </c>
      <c r="S225" s="1269">
        <f>SUM(S223:S224)</f>
        <v>0</v>
      </c>
      <c r="T225" s="1270"/>
      <c r="U225" s="1269">
        <f>SUM(U223:U224)</f>
        <v>0</v>
      </c>
      <c r="V225" s="1270"/>
      <c r="W225" s="1269">
        <f>SUM(W223:W224)</f>
        <v>0</v>
      </c>
      <c r="X225" s="1290">
        <f>IF(W$39=0,0,W225/W$39)</f>
        <v>0</v>
      </c>
      <c r="Y225" s="1269">
        <f>SUM(Y223:Y224)</f>
        <v>0</v>
      </c>
      <c r="Z225" s="1270"/>
      <c r="AA225" s="1269">
        <f>SUM(AA223:AA224)</f>
        <v>0</v>
      </c>
      <c r="AB225" s="1270"/>
      <c r="AC225" s="1269">
        <f>SUM(AC223:AC224)</f>
        <v>0</v>
      </c>
      <c r="AD225" s="1290">
        <f>IF(AC$39=0,0,AC225/AC$39)</f>
        <v>0</v>
      </c>
      <c r="AE225" s="1269">
        <f>SUM(G225,I225,K225)</f>
        <v>0</v>
      </c>
      <c r="AF225" s="1266">
        <f>IF(AE$45=0,0,AE225/AE$45)</f>
        <v>0</v>
      </c>
      <c r="AG225" s="1244"/>
    </row>
    <row r="226" spans="1:33" s="113" customFormat="1" hidden="1" outlineLevel="1">
      <c r="A226" s="1263"/>
      <c r="B226" s="1263"/>
      <c r="C226" s="1263"/>
      <c r="D226" s="1263"/>
      <c r="E226" s="1263"/>
      <c r="F226" s="1263"/>
      <c r="G226" s="1270"/>
      <c r="H226" s="1270"/>
      <c r="I226" s="1270"/>
      <c r="J226" s="1270"/>
      <c r="K226" s="1270"/>
      <c r="L226" s="1270"/>
      <c r="M226" s="1270"/>
      <c r="N226" s="1270"/>
      <c r="O226" s="1270"/>
      <c r="P226" s="1270"/>
      <c r="Q226" s="1270"/>
      <c r="R226" s="1270"/>
      <c r="S226" s="1270"/>
      <c r="T226" s="1270"/>
      <c r="U226" s="1270"/>
      <c r="V226" s="1270"/>
      <c r="W226" s="1270"/>
      <c r="X226" s="1270"/>
      <c r="Y226" s="1270"/>
      <c r="Z226" s="1270"/>
      <c r="AA226" s="1270"/>
      <c r="AB226" s="1270"/>
      <c r="AC226" s="1270"/>
      <c r="AD226" s="1270"/>
      <c r="AE226" s="1270"/>
      <c r="AF226" s="1270"/>
      <c r="AG226" s="1244"/>
    </row>
    <row r="227" spans="1:33" hidden="1" outlineLevel="1">
      <c r="A227" s="1260"/>
      <c r="B227" s="1260"/>
      <c r="C227" s="1261"/>
      <c r="D227" s="1262"/>
      <c r="E227" s="1263"/>
      <c r="F227" s="1264"/>
      <c r="G227" s="1265"/>
      <c r="H227" s="1264"/>
      <c r="I227" s="1265"/>
      <c r="J227" s="1264"/>
      <c r="K227" s="1265"/>
      <c r="L227" s="1264"/>
      <c r="M227" s="1265"/>
      <c r="N227" s="1264"/>
      <c r="O227" s="1265"/>
      <c r="P227" s="1264"/>
      <c r="Q227" s="1265"/>
      <c r="R227" s="1264"/>
      <c r="S227" s="1265"/>
      <c r="T227" s="1264"/>
      <c r="U227" s="1265"/>
      <c r="V227" s="1264"/>
      <c r="W227" s="1265"/>
      <c r="X227" s="1264"/>
      <c r="Y227" s="1265"/>
      <c r="Z227" s="1264"/>
      <c r="AA227" s="1265"/>
      <c r="AB227" s="1264"/>
      <c r="AC227" s="1265"/>
      <c r="AD227" s="1264"/>
      <c r="AE227" s="1265">
        <f>AC227+AA227+Y227+W227+U227+S227+Q227+O227+M227+K227+I227+G227</f>
        <v>0</v>
      </c>
      <c r="AF227" s="1266">
        <f>IF(AE$45=0,0,AE227/AE$45)</f>
        <v>0</v>
      </c>
      <c r="AG227" s="1267"/>
    </row>
    <row r="228" spans="1:33" s="113" customFormat="1" ht="5.0999999999999996" hidden="1" customHeight="1" outlineLevel="1">
      <c r="A228" s="1261"/>
      <c r="B228" s="1261"/>
      <c r="C228" s="1261"/>
      <c r="D228" s="1261"/>
      <c r="E228" s="1263"/>
      <c r="F228" s="1263"/>
      <c r="G228" s="1271"/>
      <c r="H228" s="1270"/>
      <c r="I228" s="1271"/>
      <c r="J228" s="1270"/>
      <c r="K228" s="1271"/>
      <c r="L228" s="1270"/>
      <c r="M228" s="1271"/>
      <c r="N228" s="1270"/>
      <c r="O228" s="1271"/>
      <c r="P228" s="1270"/>
      <c r="Q228" s="1271"/>
      <c r="R228" s="1270"/>
      <c r="S228" s="1271"/>
      <c r="T228" s="1270"/>
      <c r="U228" s="1271"/>
      <c r="V228" s="1270"/>
      <c r="W228" s="1271"/>
      <c r="X228" s="1270"/>
      <c r="Y228" s="1271"/>
      <c r="Z228" s="1270"/>
      <c r="AA228" s="1271"/>
      <c r="AB228" s="1270"/>
      <c r="AC228" s="1271"/>
      <c r="AD228" s="1270"/>
      <c r="AE228" s="1271"/>
      <c r="AF228" s="1270"/>
      <c r="AG228" s="1244"/>
    </row>
    <row r="229" spans="1:33" s="113" customFormat="1" hidden="1" collapsed="1">
      <c r="A229" s="1263"/>
      <c r="B229" s="1263"/>
      <c r="C229" s="1261" t="s">
        <v>291</v>
      </c>
      <c r="D229" s="1263"/>
      <c r="E229" s="1263"/>
      <c r="F229" s="1263"/>
      <c r="G229" s="1269">
        <f>SUM(G227:G228)</f>
        <v>0</v>
      </c>
      <c r="H229" s="1270"/>
      <c r="I229" s="1269">
        <f>SUM(I227:I228)</f>
        <v>0</v>
      </c>
      <c r="J229" s="1270"/>
      <c r="K229" s="1269">
        <f>SUM(K227:K228)</f>
        <v>0</v>
      </c>
      <c r="L229" s="1290">
        <f>IF(K$39=0,0,K229/K$39)</f>
        <v>0</v>
      </c>
      <c r="M229" s="1269">
        <f>SUM(M227:M228)</f>
        <v>0</v>
      </c>
      <c r="N229" s="1270"/>
      <c r="O229" s="1269">
        <f>SUM(O227:O228)</f>
        <v>0</v>
      </c>
      <c r="P229" s="1270"/>
      <c r="Q229" s="1269">
        <f>SUM(Q227:Q228)</f>
        <v>0</v>
      </c>
      <c r="R229" s="1290">
        <f>IF(Q$39=0,0,Q229/Q$39)</f>
        <v>0</v>
      </c>
      <c r="S229" s="1269">
        <f>SUM(S227:S228)</f>
        <v>0</v>
      </c>
      <c r="T229" s="1270"/>
      <c r="U229" s="1269">
        <f>SUM(U227:U228)</f>
        <v>0</v>
      </c>
      <c r="V229" s="1270"/>
      <c r="W229" s="1269">
        <f>SUM(W227:W228)</f>
        <v>0</v>
      </c>
      <c r="X229" s="1290">
        <f>IF(W$39=0,0,W229/W$39)</f>
        <v>0</v>
      </c>
      <c r="Y229" s="1269">
        <f>SUM(Y227:Y228)</f>
        <v>0</v>
      </c>
      <c r="Z229" s="1270"/>
      <c r="AA229" s="1269">
        <f>SUM(AA227:AA228)</f>
        <v>0</v>
      </c>
      <c r="AB229" s="1270"/>
      <c r="AC229" s="1269">
        <f>SUM(AC227:AC228)</f>
        <v>0</v>
      </c>
      <c r="AD229" s="1290">
        <f>IF(AC$39=0,0,AC229/AC$39)</f>
        <v>0</v>
      </c>
      <c r="AE229" s="1269">
        <f>SUM(G229,I229,K229,M229,O229,Q229,S229,U229,W229,Y229,AA229,AC229)</f>
        <v>0</v>
      </c>
      <c r="AF229" s="1266">
        <f>IF(AE$45=0,0,AE229/AE$45)</f>
        <v>0</v>
      </c>
      <c r="AG229" s="1244"/>
    </row>
    <row r="230" spans="1:33" s="113" customFormat="1" ht="6.75" customHeight="1">
      <c r="A230" s="1263"/>
      <c r="B230" s="1263"/>
      <c r="C230" s="1263"/>
      <c r="D230" s="1263"/>
      <c r="E230" s="1263"/>
      <c r="F230" s="1263"/>
      <c r="G230" s="1270"/>
      <c r="H230" s="1270"/>
      <c r="I230" s="1270"/>
      <c r="J230" s="1270"/>
      <c r="K230" s="1270"/>
      <c r="L230" s="1270"/>
      <c r="M230" s="1270"/>
      <c r="N230" s="1270"/>
      <c r="O230" s="1270"/>
      <c r="P230" s="1270"/>
      <c r="Q230" s="1270"/>
      <c r="R230" s="1270"/>
      <c r="S230" s="1270"/>
      <c r="T230" s="1270"/>
      <c r="U230" s="1270"/>
      <c r="V230" s="1270"/>
      <c r="W230" s="1270"/>
      <c r="X230" s="1270"/>
      <c r="Y230" s="1270"/>
      <c r="Z230" s="1270"/>
      <c r="AA230" s="1270"/>
      <c r="AB230" s="1270"/>
      <c r="AC230" s="1270"/>
      <c r="AD230" s="1270"/>
      <c r="AE230" s="1270"/>
      <c r="AF230" s="1270"/>
      <c r="AG230" s="1244"/>
    </row>
    <row r="231" spans="1:33" s="113" customFormat="1" ht="15">
      <c r="A231" s="1263"/>
      <c r="B231" s="1273" t="s">
        <v>292</v>
      </c>
      <c r="C231" s="1263"/>
      <c r="D231" s="1263"/>
      <c r="E231" s="1263"/>
      <c r="F231" s="1263"/>
      <c r="G231" s="1274">
        <f>+G221+G225+G229</f>
        <v>12883.68</v>
      </c>
      <c r="H231" s="1270"/>
      <c r="I231" s="1274">
        <f>+I221+I225+I229</f>
        <v>12883.75</v>
      </c>
      <c r="J231" s="1270"/>
      <c r="K231" s="1274">
        <f>+K221+K225+K229</f>
        <v>12883.68</v>
      </c>
      <c r="L231" s="1290">
        <f>IF(K$39=0,0,K231/K$39)</f>
        <v>0</v>
      </c>
      <c r="M231" s="1274">
        <f>+M221+M225+M229</f>
        <v>12883.699999999999</v>
      </c>
      <c r="N231" s="1270"/>
      <c r="O231" s="1274">
        <f>+O221+O225+O229</f>
        <v>12934.38</v>
      </c>
      <c r="P231" s="1270"/>
      <c r="Q231" s="1274">
        <f>+Q221+Q225+Q229</f>
        <v>12820.54</v>
      </c>
      <c r="R231" s="1290">
        <f>IF(Q$39=0,0,Q231/Q$39)</f>
        <v>0</v>
      </c>
      <c r="S231" s="1274">
        <f>+S221+S225+S229</f>
        <v>12692.410000000002</v>
      </c>
      <c r="T231" s="1270"/>
      <c r="U231" s="1274">
        <f>+U221+U225+U229</f>
        <v>12692.539999999999</v>
      </c>
      <c r="V231" s="1270"/>
      <c r="W231" s="1274">
        <f>+W221+W225+W229</f>
        <v>13497.94</v>
      </c>
      <c r="X231" s="1290">
        <f>IF(W$39=0,0,W231/W$39)</f>
        <v>0</v>
      </c>
      <c r="Y231" s="1274">
        <f>+Y221+Y225+Y229</f>
        <v>14937.18</v>
      </c>
      <c r="Z231" s="1270"/>
      <c r="AA231" s="1274">
        <f>+AA221+AA225+AA229</f>
        <v>14937.24</v>
      </c>
      <c r="AB231" s="1270"/>
      <c r="AC231" s="1274">
        <f>+AC221+AC225+AC229</f>
        <v>13506.75</v>
      </c>
      <c r="AD231" s="1290">
        <f>IF(AC$39=0,0,AC231/AC$39)</f>
        <v>0</v>
      </c>
      <c r="AE231" s="1274">
        <f>+AE221+AE225+AE229</f>
        <v>159553.78999999998</v>
      </c>
      <c r="AF231" s="1266">
        <f>IF(AE$45=0,0,AE231/AE$45)</f>
        <v>0.1140506718350682</v>
      </c>
      <c r="AG231" s="1244"/>
    </row>
    <row r="232" spans="1:33" s="113" customFormat="1" ht="6.75" customHeight="1">
      <c r="A232" s="1263"/>
      <c r="B232" s="1263"/>
      <c r="C232" s="1263"/>
      <c r="D232" s="1263"/>
      <c r="E232" s="1263"/>
      <c r="F232" s="1263"/>
      <c r="G232" s="1270"/>
      <c r="H232" s="1270"/>
      <c r="I232" s="1270"/>
      <c r="J232" s="1270"/>
      <c r="K232" s="1270"/>
      <c r="L232" s="1270"/>
      <c r="M232" s="1270"/>
      <c r="N232" s="1270"/>
      <c r="O232" s="1270"/>
      <c r="P232" s="1270"/>
      <c r="Q232" s="1270"/>
      <c r="R232" s="1270"/>
      <c r="S232" s="1270"/>
      <c r="T232" s="1270"/>
      <c r="U232" s="1270"/>
      <c r="V232" s="1270"/>
      <c r="W232" s="1270"/>
      <c r="X232" s="1270"/>
      <c r="Y232" s="1270"/>
      <c r="Z232" s="1270"/>
      <c r="AA232" s="1270"/>
      <c r="AB232" s="1270"/>
      <c r="AC232" s="1270"/>
      <c r="AD232" s="1270"/>
      <c r="AE232" s="1270"/>
      <c r="AF232" s="1270"/>
      <c r="AG232" s="1244"/>
    </row>
    <row r="233" spans="1:33" s="113" customFormat="1" ht="15">
      <c r="A233" s="1263"/>
      <c r="B233" s="1276" t="s">
        <v>293</v>
      </c>
      <c r="C233" s="1263"/>
      <c r="D233" s="1263"/>
      <c r="E233" s="1263"/>
      <c r="F233" s="1263"/>
      <c r="G233" s="1274">
        <f>+G213-G231</f>
        <v>8061.6699999999873</v>
      </c>
      <c r="H233" s="1270"/>
      <c r="I233" s="1274">
        <f>+I213-I231</f>
        <v>19221.989999999991</v>
      </c>
      <c r="J233" s="1270"/>
      <c r="K233" s="1274">
        <f>+K213-K231</f>
        <v>-468.04000000002634</v>
      </c>
      <c r="L233" s="1290">
        <f>IF(K$39=0,0,K233/K$39)</f>
        <v>0</v>
      </c>
      <c r="M233" s="1274">
        <f>+M213-M231</f>
        <v>14208.360000000006</v>
      </c>
      <c r="N233" s="1270"/>
      <c r="O233" s="1274">
        <f>+O213-O231</f>
        <v>16545.69999999999</v>
      </c>
      <c r="P233" s="1270"/>
      <c r="Q233" s="1274">
        <f>+Q213-Q231</f>
        <v>-1873.7799999999879</v>
      </c>
      <c r="R233" s="1290">
        <f>IF(Q$39=0,0,Q233/Q$39)</f>
        <v>0</v>
      </c>
      <c r="S233" s="1274">
        <f>+S213-S231</f>
        <v>-4723.5999999999967</v>
      </c>
      <c r="T233" s="1270"/>
      <c r="U233" s="1274">
        <f>+U213-U231</f>
        <v>7514.7399999999961</v>
      </c>
      <c r="V233" s="1270"/>
      <c r="W233" s="1274">
        <f>+W213-W231</f>
        <v>4562.9899999999961</v>
      </c>
      <c r="X233" s="1290">
        <f>IF(W$39=0,0,W233/W$39)</f>
        <v>0</v>
      </c>
      <c r="Y233" s="1274">
        <f>+Y213-Y231</f>
        <v>-3017.9499999999898</v>
      </c>
      <c r="Z233" s="1270"/>
      <c r="AA233" s="1274">
        <f>+AA213-AA231</f>
        <v>14300.700000000003</v>
      </c>
      <c r="AB233" s="1270"/>
      <c r="AC233" s="1274">
        <f>+AC213-AC231</f>
        <v>68559.859999999971</v>
      </c>
      <c r="AD233" s="1290">
        <f>IF(AC$39=0,0,AC233/AC$39)</f>
        <v>0</v>
      </c>
      <c r="AE233" s="1274">
        <f>+AE213-AE231</f>
        <v>142892.64000000048</v>
      </c>
      <c r="AF233" s="1266">
        <f>IF(AE$45=0,0,AE233/AE$45)</f>
        <v>0.10214111236271227</v>
      </c>
      <c r="AG233" s="1244"/>
    </row>
    <row r="234" spans="1:33" s="113" customFormat="1" ht="6.75" customHeight="1">
      <c r="A234" s="1263"/>
      <c r="B234" s="1263"/>
      <c r="C234" s="1263"/>
      <c r="D234" s="1263"/>
      <c r="E234" s="1263"/>
      <c r="F234" s="1263"/>
      <c r="G234" s="1270"/>
      <c r="H234" s="1270"/>
      <c r="I234" s="1270"/>
      <c r="J234" s="1270"/>
      <c r="K234" s="1270"/>
      <c r="L234" s="1270"/>
      <c r="M234" s="1270"/>
      <c r="N234" s="1270"/>
      <c r="O234" s="1270"/>
      <c r="P234" s="1270"/>
      <c r="Q234" s="1270"/>
      <c r="R234" s="1270"/>
      <c r="S234" s="1270"/>
      <c r="T234" s="1270"/>
      <c r="U234" s="1270"/>
      <c r="V234" s="1270"/>
      <c r="W234" s="1270"/>
      <c r="X234" s="1270"/>
      <c r="Y234" s="1270"/>
      <c r="Z234" s="1270"/>
      <c r="AA234" s="1270"/>
      <c r="AB234" s="1270"/>
      <c r="AC234" s="1270"/>
      <c r="AD234" s="1270"/>
      <c r="AE234" s="1270"/>
      <c r="AF234" s="1270"/>
      <c r="AG234" s="1244"/>
    </row>
    <row r="235" spans="1:33" hidden="1" outlineLevel="1">
      <c r="A235" s="1260"/>
      <c r="B235" s="1260"/>
      <c r="C235" s="1261"/>
      <c r="D235" s="1262"/>
      <c r="E235" s="1263"/>
      <c r="F235" s="1264"/>
      <c r="G235" s="1265"/>
      <c r="H235" s="1264"/>
      <c r="I235" s="1265"/>
      <c r="J235" s="1264"/>
      <c r="K235" s="1265"/>
      <c r="L235" s="1264"/>
      <c r="M235" s="1265"/>
      <c r="N235" s="1264"/>
      <c r="O235" s="1265"/>
      <c r="P235" s="1264"/>
      <c r="Q235" s="1265"/>
      <c r="R235" s="1264"/>
      <c r="S235" s="1265"/>
      <c r="T235" s="1264"/>
      <c r="U235" s="1265"/>
      <c r="V235" s="1264"/>
      <c r="W235" s="1265"/>
      <c r="X235" s="1264"/>
      <c r="Y235" s="1265"/>
      <c r="Z235" s="1264"/>
      <c r="AA235" s="1265"/>
      <c r="AB235" s="1264"/>
      <c r="AC235" s="1265"/>
      <c r="AD235" s="1264"/>
      <c r="AE235" s="1265">
        <f>AC235+AA235+Y235+W235+U235+S235+Q235+O235+M235+K235+I235+G235</f>
        <v>0</v>
      </c>
      <c r="AF235" s="1266">
        <f>IF(AE$45=0,0,AE235/AE$45)</f>
        <v>0</v>
      </c>
      <c r="AG235" s="1267"/>
    </row>
    <row r="236" spans="1:33" s="113" customFormat="1" ht="5.0999999999999996" hidden="1" customHeight="1" outlineLevel="1">
      <c r="A236" s="1261"/>
      <c r="B236" s="1261"/>
      <c r="C236" s="1261"/>
      <c r="D236" s="1261"/>
      <c r="E236" s="1263"/>
      <c r="F236" s="1263"/>
      <c r="G236" s="1271"/>
      <c r="H236" s="1270"/>
      <c r="I236" s="1271"/>
      <c r="J236" s="1270"/>
      <c r="K236" s="1271"/>
      <c r="L236" s="1270"/>
      <c r="M236" s="1271"/>
      <c r="N236" s="1270"/>
      <c r="O236" s="1271"/>
      <c r="P236" s="1270"/>
      <c r="Q236" s="1271"/>
      <c r="R236" s="1270"/>
      <c r="S236" s="1271"/>
      <c r="T236" s="1270"/>
      <c r="U236" s="1271"/>
      <c r="V236" s="1270"/>
      <c r="W236" s="1271"/>
      <c r="X236" s="1270"/>
      <c r="Y236" s="1271"/>
      <c r="Z236" s="1270"/>
      <c r="AA236" s="1271"/>
      <c r="AB236" s="1270"/>
      <c r="AC236" s="1271"/>
      <c r="AD236" s="1270"/>
      <c r="AE236" s="1271"/>
      <c r="AF236" s="1270"/>
      <c r="AG236" s="1244"/>
    </row>
    <row r="237" spans="1:33" s="113" customFormat="1" hidden="1" collapsed="1">
      <c r="A237" s="1263"/>
      <c r="B237" s="1263"/>
      <c r="C237" s="1261" t="s">
        <v>295</v>
      </c>
      <c r="D237" s="1263"/>
      <c r="E237" s="1263"/>
      <c r="F237" s="1263"/>
      <c r="G237" s="1269">
        <f>SUM(G235:G236)</f>
        <v>0</v>
      </c>
      <c r="H237" s="1270"/>
      <c r="I237" s="1269">
        <f>SUM(I235:I236)</f>
        <v>0</v>
      </c>
      <c r="J237" s="1270"/>
      <c r="K237" s="1269">
        <f>SUM(K235:K236)</f>
        <v>0</v>
      </c>
      <c r="L237" s="1290">
        <f>IF(K$39=0,0,K237/K$39)</f>
        <v>0</v>
      </c>
      <c r="M237" s="1269">
        <f>SUM(M235:M236)</f>
        <v>0</v>
      </c>
      <c r="N237" s="1270"/>
      <c r="O237" s="1269">
        <f>SUM(O235:O236)</f>
        <v>0</v>
      </c>
      <c r="P237" s="1270"/>
      <c r="Q237" s="1269">
        <f>SUM(Q235:Q236)</f>
        <v>0</v>
      </c>
      <c r="R237" s="1290">
        <f>IF(Q$39=0,0,Q237/Q$39)</f>
        <v>0</v>
      </c>
      <c r="S237" s="1269">
        <f>SUM(S235:S236)</f>
        <v>0</v>
      </c>
      <c r="T237" s="1270"/>
      <c r="U237" s="1269">
        <f>SUM(U235:U236)</f>
        <v>0</v>
      </c>
      <c r="V237" s="1270"/>
      <c r="W237" s="1269">
        <f>SUM(W235:W236)</f>
        <v>0</v>
      </c>
      <c r="X237" s="1290">
        <f>IF(W$39=0,0,W237/W$39)</f>
        <v>0</v>
      </c>
      <c r="Y237" s="1269">
        <f>SUM(Y235:Y236)</f>
        <v>0</v>
      </c>
      <c r="Z237" s="1270"/>
      <c r="AA237" s="1269">
        <f>SUM(AA235:AA236)</f>
        <v>0</v>
      </c>
      <c r="AB237" s="1270"/>
      <c r="AC237" s="1269">
        <f>SUM(AC235:AC236)</f>
        <v>0</v>
      </c>
      <c r="AD237" s="1290">
        <f>IF(AC$39=0,0,AC237/AC$39)</f>
        <v>0</v>
      </c>
      <c r="AE237" s="1269">
        <f>SUM(AE235:AE236)</f>
        <v>0</v>
      </c>
      <c r="AF237" s="1266">
        <f>IF(AE$45=0,0,AE237/AE$45)</f>
        <v>0</v>
      </c>
      <c r="AG237" s="1244"/>
    </row>
    <row r="238" spans="1:33" s="113" customFormat="1" hidden="1" outlineLevel="1">
      <c r="A238" s="1263"/>
      <c r="B238" s="1263"/>
      <c r="C238" s="1263"/>
      <c r="D238" s="1263"/>
      <c r="E238" s="1263"/>
      <c r="F238" s="1263"/>
      <c r="G238" s="1270"/>
      <c r="H238" s="1270"/>
      <c r="I238" s="1270"/>
      <c r="J238" s="1270"/>
      <c r="K238" s="1270"/>
      <c r="L238" s="1270"/>
      <c r="M238" s="1270"/>
      <c r="N238" s="1270"/>
      <c r="O238" s="1270"/>
      <c r="P238" s="1270"/>
      <c r="Q238" s="1270"/>
      <c r="R238" s="1270"/>
      <c r="S238" s="1270"/>
      <c r="T238" s="1270"/>
      <c r="U238" s="1270"/>
      <c r="V238" s="1270"/>
      <c r="W238" s="1270"/>
      <c r="X238" s="1270"/>
      <c r="Y238" s="1270"/>
      <c r="Z238" s="1270"/>
      <c r="AA238" s="1270"/>
      <c r="AB238" s="1270"/>
      <c r="AC238" s="1270"/>
      <c r="AD238" s="1270"/>
      <c r="AE238" s="1270"/>
      <c r="AF238" s="1270"/>
      <c r="AG238" s="1244"/>
    </row>
    <row r="239" spans="1:33" hidden="1" outlineLevel="1">
      <c r="A239" s="1260"/>
      <c r="B239" s="1260"/>
      <c r="C239" s="1261"/>
      <c r="D239" s="1262"/>
      <c r="E239" s="1263"/>
      <c r="F239" s="1264"/>
      <c r="G239" s="1265"/>
      <c r="H239" s="1264"/>
      <c r="I239" s="1265"/>
      <c r="J239" s="1264"/>
      <c r="K239" s="1265"/>
      <c r="L239" s="1264"/>
      <c r="M239" s="1265"/>
      <c r="N239" s="1264"/>
      <c r="O239" s="1265"/>
      <c r="P239" s="1264"/>
      <c r="Q239" s="1265"/>
      <c r="R239" s="1264"/>
      <c r="S239" s="1265"/>
      <c r="T239" s="1264"/>
      <c r="U239" s="1265"/>
      <c r="V239" s="1264"/>
      <c r="W239" s="1265"/>
      <c r="X239" s="1264"/>
      <c r="Y239" s="1265"/>
      <c r="Z239" s="1264"/>
      <c r="AA239" s="1265"/>
      <c r="AB239" s="1264"/>
      <c r="AC239" s="1265"/>
      <c r="AD239" s="1264"/>
      <c r="AE239" s="1265">
        <f>AC239+AA239+Y239+W239+U239+S239+Q239+O239+M239+K239+I239+G239</f>
        <v>0</v>
      </c>
      <c r="AF239" s="1266">
        <f>IF(AE$45=0,0,AE239/AE$45)</f>
        <v>0</v>
      </c>
      <c r="AG239" s="1267"/>
    </row>
    <row r="240" spans="1:33" s="113" customFormat="1" ht="5.0999999999999996" hidden="1" customHeight="1" outlineLevel="1">
      <c r="A240" s="1261"/>
      <c r="B240" s="1261"/>
      <c r="C240" s="1261"/>
      <c r="D240" s="1261"/>
      <c r="E240" s="1263"/>
      <c r="F240" s="1263"/>
      <c r="G240" s="1271"/>
      <c r="H240" s="1270"/>
      <c r="I240" s="1271"/>
      <c r="J240" s="1270"/>
      <c r="K240" s="1271"/>
      <c r="L240" s="1270"/>
      <c r="M240" s="1271"/>
      <c r="N240" s="1270"/>
      <c r="O240" s="1271"/>
      <c r="P240" s="1270"/>
      <c r="Q240" s="1271"/>
      <c r="R240" s="1270"/>
      <c r="S240" s="1271"/>
      <c r="T240" s="1270"/>
      <c r="U240" s="1271"/>
      <c r="V240" s="1270"/>
      <c r="W240" s="1271"/>
      <c r="X240" s="1270"/>
      <c r="Y240" s="1271"/>
      <c r="Z240" s="1270"/>
      <c r="AA240" s="1271"/>
      <c r="AB240" s="1270"/>
      <c r="AC240" s="1271"/>
      <c r="AD240" s="1270"/>
      <c r="AE240" s="1271"/>
      <c r="AF240" s="1270"/>
      <c r="AG240" s="1244"/>
    </row>
    <row r="241" spans="1:33" s="113" customFormat="1" hidden="1" collapsed="1">
      <c r="A241" s="1263"/>
      <c r="B241" s="1263"/>
      <c r="C241" s="1260" t="s">
        <v>297</v>
      </c>
      <c r="D241" s="1263"/>
      <c r="E241" s="1263"/>
      <c r="F241" s="1263"/>
      <c r="G241" s="1269">
        <f>SUM(G239:G240)</f>
        <v>0</v>
      </c>
      <c r="H241" s="1270"/>
      <c r="I241" s="1269">
        <f>SUM(I239:I240)</f>
        <v>0</v>
      </c>
      <c r="J241" s="1270"/>
      <c r="K241" s="1269">
        <f>SUM(K239:K240)</f>
        <v>0</v>
      </c>
      <c r="L241" s="1290">
        <f>IF(K$39=0,0,K241/K$39)</f>
        <v>0</v>
      </c>
      <c r="M241" s="1269">
        <f>SUM(M239:M240)</f>
        <v>0</v>
      </c>
      <c r="N241" s="1270"/>
      <c r="O241" s="1269">
        <f>SUM(O239:O240)</f>
        <v>0</v>
      </c>
      <c r="P241" s="1270"/>
      <c r="Q241" s="1269">
        <f>SUM(Q239:Q240)</f>
        <v>0</v>
      </c>
      <c r="R241" s="1290">
        <f>IF(Q$39=0,0,Q241/Q$39)</f>
        <v>0</v>
      </c>
      <c r="S241" s="1269">
        <f>SUM(S239:S240)</f>
        <v>0</v>
      </c>
      <c r="T241" s="1270"/>
      <c r="U241" s="1269">
        <f>SUM(U239:U240)</f>
        <v>0</v>
      </c>
      <c r="V241" s="1270"/>
      <c r="W241" s="1269">
        <f>SUM(W239:W240)</f>
        <v>0</v>
      </c>
      <c r="X241" s="1290">
        <f>IF(W$39=0,0,W241/W$39)</f>
        <v>0</v>
      </c>
      <c r="Y241" s="1269">
        <f>SUM(Y239:Y240)</f>
        <v>0</v>
      </c>
      <c r="Z241" s="1270"/>
      <c r="AA241" s="1269">
        <f>SUM(AA239:AA240)</f>
        <v>0</v>
      </c>
      <c r="AB241" s="1270"/>
      <c r="AC241" s="1269">
        <f>SUM(AC239:AC240)</f>
        <v>0</v>
      </c>
      <c r="AD241" s="1290">
        <f>IF(AC$39=0,0,AC241/AC$39)</f>
        <v>0</v>
      </c>
      <c r="AE241" s="1269">
        <f>SUM(AE239:AE240)</f>
        <v>0</v>
      </c>
      <c r="AF241" s="1266">
        <f>IF(AE$45=0,0,AE241/AE$45)</f>
        <v>0</v>
      </c>
      <c r="AG241" s="1244"/>
    </row>
    <row r="242" spans="1:33" s="113" customFormat="1" hidden="1" outlineLevel="1">
      <c r="A242" s="1263"/>
      <c r="B242" s="1263"/>
      <c r="C242" s="1263"/>
      <c r="D242" s="1263"/>
      <c r="E242" s="1263"/>
      <c r="F242" s="1263"/>
      <c r="G242" s="1270"/>
      <c r="H242" s="1270"/>
      <c r="I242" s="1270"/>
      <c r="J242" s="1270"/>
      <c r="K242" s="1270"/>
      <c r="L242" s="1270"/>
      <c r="M242" s="1270"/>
      <c r="N242" s="1270"/>
      <c r="O242" s="1270"/>
      <c r="P242" s="1270"/>
      <c r="Q242" s="1270"/>
      <c r="R242" s="1270"/>
      <c r="S242" s="1270"/>
      <c r="T242" s="1270"/>
      <c r="U242" s="1270"/>
      <c r="V242" s="1270"/>
      <c r="W242" s="1270"/>
      <c r="X242" s="1270"/>
      <c r="Y242" s="1270"/>
      <c r="Z242" s="1270"/>
      <c r="AA242" s="1270"/>
      <c r="AB242" s="1270"/>
      <c r="AC242" s="1270"/>
      <c r="AD242" s="1270"/>
      <c r="AE242" s="1270"/>
      <c r="AF242" s="1270"/>
      <c r="AG242" s="1244"/>
    </row>
    <row r="243" spans="1:33" hidden="1" outlineLevel="1">
      <c r="A243" s="1260">
        <v>91002</v>
      </c>
      <c r="B243" s="1260" t="s">
        <v>116</v>
      </c>
      <c r="C243" s="1261"/>
      <c r="D243" s="1262"/>
      <c r="E243" s="1263"/>
      <c r="F243" s="1264"/>
      <c r="G243" s="1265">
        <v>0</v>
      </c>
      <c r="H243" s="1264"/>
      <c r="I243" s="1265">
        <v>0</v>
      </c>
      <c r="J243" s="1264"/>
      <c r="K243" s="1265">
        <v>0</v>
      </c>
      <c r="L243" s="1264"/>
      <c r="M243" s="1265">
        <v>0</v>
      </c>
      <c r="N243" s="1264"/>
      <c r="O243" s="1265">
        <v>0</v>
      </c>
      <c r="P243" s="1264"/>
      <c r="Q243" s="1265">
        <v>0</v>
      </c>
      <c r="R243" s="1264"/>
      <c r="S243" s="1265">
        <v>0</v>
      </c>
      <c r="T243" s="1264"/>
      <c r="U243" s="1265">
        <v>0</v>
      </c>
      <c r="V243" s="1264"/>
      <c r="W243" s="1265">
        <v>0</v>
      </c>
      <c r="X243" s="1264"/>
      <c r="Y243" s="1265">
        <v>-25</v>
      </c>
      <c r="Z243" s="1264"/>
      <c r="AA243" s="1265">
        <v>0</v>
      </c>
      <c r="AB243" s="1264"/>
      <c r="AC243" s="1265">
        <v>0</v>
      </c>
      <c r="AD243" s="1264"/>
      <c r="AE243" s="1265">
        <f>AC243+AA243+Y243+W243+U243+S243+Q243+O243+M243+K243+I243+G243</f>
        <v>-25</v>
      </c>
      <c r="AF243" s="1266">
        <f>IF(AE$45=0,0,AE243/AE$45)</f>
        <v>-1.7870254262695391E-5</v>
      </c>
      <c r="AG243" s="1267"/>
    </row>
    <row r="244" spans="1:33" s="113" customFormat="1" ht="5.0999999999999996" hidden="1" customHeight="1" outlineLevel="1">
      <c r="A244" s="1261"/>
      <c r="B244" s="1261"/>
      <c r="C244" s="1261"/>
      <c r="D244" s="1261"/>
      <c r="E244" s="1263"/>
      <c r="F244" s="1263"/>
      <c r="G244" s="1271"/>
      <c r="H244" s="1270"/>
      <c r="I244" s="1271"/>
      <c r="J244" s="1270"/>
      <c r="K244" s="1271"/>
      <c r="L244" s="1270"/>
      <c r="M244" s="1271"/>
      <c r="N244" s="1270"/>
      <c r="O244" s="1271"/>
      <c r="P244" s="1270"/>
      <c r="Q244" s="1271"/>
      <c r="R244" s="1270"/>
      <c r="S244" s="1271"/>
      <c r="T244" s="1270"/>
      <c r="U244" s="1271"/>
      <c r="V244" s="1270"/>
      <c r="W244" s="1271"/>
      <c r="X244" s="1270"/>
      <c r="Y244" s="1271"/>
      <c r="Z244" s="1270"/>
      <c r="AA244" s="1271"/>
      <c r="AB244" s="1270"/>
      <c r="AC244" s="1271"/>
      <c r="AD244" s="1270"/>
      <c r="AE244" s="1271"/>
      <c r="AF244" s="1270"/>
      <c r="AG244" s="1244"/>
    </row>
    <row r="245" spans="1:33" s="113" customFormat="1" hidden="1" collapsed="1">
      <c r="A245" s="1263"/>
      <c r="B245" s="1263"/>
      <c r="C245" s="1261" t="s">
        <v>299</v>
      </c>
      <c r="D245" s="1263"/>
      <c r="E245" s="1263"/>
      <c r="F245" s="1263"/>
      <c r="G245" s="1269">
        <f>SUM(G243:G244)</f>
        <v>0</v>
      </c>
      <c r="H245" s="1270"/>
      <c r="I245" s="1269">
        <f>SUM(I243:I244)</f>
        <v>0</v>
      </c>
      <c r="J245" s="1270"/>
      <c r="K245" s="1269">
        <f>SUM(K243:K244)</f>
        <v>0</v>
      </c>
      <c r="L245" s="1290">
        <f>IF(K$39=0,0,K245/K$39)</f>
        <v>0</v>
      </c>
      <c r="M245" s="1269">
        <f>SUM(M243:M244)</f>
        <v>0</v>
      </c>
      <c r="N245" s="1270"/>
      <c r="O245" s="1269">
        <f>SUM(O243:O244)</f>
        <v>0</v>
      </c>
      <c r="P245" s="1270"/>
      <c r="Q245" s="1269">
        <f>SUM(Q243:Q244)</f>
        <v>0</v>
      </c>
      <c r="R245" s="1290">
        <f>IF(Q$39=0,0,Q245/Q$39)</f>
        <v>0</v>
      </c>
      <c r="S245" s="1269">
        <f>SUM(S243:S244)</f>
        <v>0</v>
      </c>
      <c r="T245" s="1270"/>
      <c r="U245" s="1269">
        <f>SUM(U243:U244)</f>
        <v>0</v>
      </c>
      <c r="V245" s="1270"/>
      <c r="W245" s="1269">
        <f>SUM(W243:W244)</f>
        <v>0</v>
      </c>
      <c r="X245" s="1290">
        <f>IF(W$39=0,0,W245/W$39)</f>
        <v>0</v>
      </c>
      <c r="Y245" s="1269">
        <f>SUM(Y243:Y244)</f>
        <v>-25</v>
      </c>
      <c r="Z245" s="1270"/>
      <c r="AA245" s="1269">
        <f>SUM(AA243:AA244)</f>
        <v>0</v>
      </c>
      <c r="AB245" s="1270"/>
      <c r="AC245" s="1269">
        <f>SUM(AC243:AC244)</f>
        <v>0</v>
      </c>
      <c r="AD245" s="1290">
        <f>IF(AC$39=0,0,AC245/AC$39)</f>
        <v>0</v>
      </c>
      <c r="AE245" s="1269">
        <f>SUM(AE243:AE244)</f>
        <v>-25</v>
      </c>
      <c r="AF245" s="1266">
        <f>IF(AE$45=0,0,AE245/AE$45)</f>
        <v>-1.7870254262695391E-5</v>
      </c>
      <c r="AG245" s="1244"/>
    </row>
    <row r="246" spans="1:33" s="113" customFormat="1" ht="6.75" hidden="1" customHeight="1">
      <c r="A246" s="1263"/>
      <c r="B246" s="1263"/>
      <c r="C246" s="1263"/>
      <c r="D246" s="1263"/>
      <c r="E246" s="1263"/>
      <c r="F246" s="1263"/>
      <c r="G246" s="1270"/>
      <c r="H246" s="1270"/>
      <c r="I246" s="1270"/>
      <c r="J246" s="1270"/>
      <c r="K246" s="1270"/>
      <c r="L246" s="1270"/>
      <c r="M246" s="1270"/>
      <c r="N246" s="1270"/>
      <c r="O246" s="1270"/>
      <c r="P246" s="1270"/>
      <c r="Q246" s="1270"/>
      <c r="R246" s="1270"/>
      <c r="S246" s="1270"/>
      <c r="T246" s="1270"/>
      <c r="U246" s="1270"/>
      <c r="V246" s="1270"/>
      <c r="W246" s="1270"/>
      <c r="X246" s="1270"/>
      <c r="Y246" s="1270"/>
      <c r="Z246" s="1270"/>
      <c r="AA246" s="1270"/>
      <c r="AB246" s="1270"/>
      <c r="AC246" s="1270"/>
      <c r="AD246" s="1270"/>
      <c r="AE246" s="1270"/>
      <c r="AF246" s="1270"/>
      <c r="AG246" s="1244"/>
    </row>
    <row r="247" spans="1:33" s="113" customFormat="1" ht="15">
      <c r="A247" s="1263"/>
      <c r="B247" s="1273" t="s">
        <v>300</v>
      </c>
      <c r="C247" s="1263"/>
      <c r="D247" s="1263"/>
      <c r="E247" s="1263"/>
      <c r="F247" s="1263"/>
      <c r="G247" s="1274">
        <f>+G233-G237-G241-G245</f>
        <v>8061.6699999999873</v>
      </c>
      <c r="H247" s="1270"/>
      <c r="I247" s="1274">
        <f>+I233-I237-I241-I245</f>
        <v>19221.989999999991</v>
      </c>
      <c r="J247" s="1270"/>
      <c r="K247" s="1274">
        <f>+K233-K237-K241-K245</f>
        <v>-468.04000000002634</v>
      </c>
      <c r="L247" s="1290">
        <f>IF(K$39=0,0,K247/K$39)</f>
        <v>0</v>
      </c>
      <c r="M247" s="1274">
        <f>+M233-M237-M241-M245</f>
        <v>14208.360000000006</v>
      </c>
      <c r="N247" s="1270"/>
      <c r="O247" s="1274">
        <f>+O233-O237-O241-O245</f>
        <v>16545.69999999999</v>
      </c>
      <c r="P247" s="1270"/>
      <c r="Q247" s="1274">
        <f>+Q233-Q237-Q241-Q245</f>
        <v>-1873.7799999999879</v>
      </c>
      <c r="R247" s="1290">
        <f>IF(Q$39=0,0,Q247/Q$39)</f>
        <v>0</v>
      </c>
      <c r="S247" s="1274">
        <f>+S233-S237-S241-S245</f>
        <v>-4723.5999999999967</v>
      </c>
      <c r="T247" s="1270"/>
      <c r="U247" s="1274">
        <f>+U233-U237-U241-U245</f>
        <v>7514.7399999999961</v>
      </c>
      <c r="V247" s="1270"/>
      <c r="W247" s="1274">
        <f>+W233-W237-W241-W245</f>
        <v>4562.9899999999961</v>
      </c>
      <c r="X247" s="1290">
        <f>IF(W$39=0,0,W247/W$39)</f>
        <v>0</v>
      </c>
      <c r="Y247" s="1274">
        <f>+Y233-Y237-Y241-Y245</f>
        <v>-2992.9499999999898</v>
      </c>
      <c r="Z247" s="1270"/>
      <c r="AA247" s="1274">
        <f>+AA233-AA237-AA241-AA245</f>
        <v>14300.700000000003</v>
      </c>
      <c r="AB247" s="1270"/>
      <c r="AC247" s="1274">
        <f>+AC233-AC237-AC241-AC245</f>
        <v>68559.859999999971</v>
      </c>
      <c r="AD247" s="1290">
        <f>IF(AC$39=0,0,AC247/AC$39)</f>
        <v>0</v>
      </c>
      <c r="AE247" s="1274">
        <f>+AE233-AE237-AE241-AE245</f>
        <v>142917.64000000048</v>
      </c>
      <c r="AF247" s="1266">
        <f>IF(AE$45=0,0,AE247/AE$45)</f>
        <v>0.10215898261697497</v>
      </c>
      <c r="AG247" s="1244"/>
    </row>
    <row r="248" spans="1:33" s="113" customFormat="1" ht="6.75" customHeight="1">
      <c r="A248" s="1263"/>
      <c r="B248" s="1263"/>
      <c r="C248" s="1263"/>
      <c r="D248" s="1263"/>
      <c r="E248" s="1263"/>
      <c r="F248" s="1263"/>
      <c r="G248" s="1270"/>
      <c r="H248" s="1270"/>
      <c r="I248" s="1270"/>
      <c r="J248" s="1270"/>
      <c r="K248" s="1270"/>
      <c r="L248" s="1270"/>
      <c r="M248" s="1270"/>
      <c r="N248" s="1270"/>
      <c r="O248" s="1270"/>
      <c r="P248" s="1270"/>
      <c r="Q248" s="1270"/>
      <c r="R248" s="1270"/>
      <c r="S248" s="1270"/>
      <c r="T248" s="1270"/>
      <c r="U248" s="1270"/>
      <c r="V248" s="1270"/>
      <c r="W248" s="1270"/>
      <c r="X248" s="1270"/>
      <c r="Y248" s="1270"/>
      <c r="Z248" s="1270"/>
      <c r="AA248" s="1270"/>
      <c r="AB248" s="1270"/>
      <c r="AC248" s="1270"/>
      <c r="AD248" s="1270"/>
      <c r="AE248" s="1270"/>
      <c r="AF248" s="1270"/>
      <c r="AG248" s="1244"/>
    </row>
    <row r="249" spans="1:33" hidden="1" outlineLevel="1">
      <c r="A249" s="1260"/>
      <c r="B249" s="1260"/>
      <c r="C249" s="1261"/>
      <c r="D249" s="1262"/>
      <c r="E249" s="1263"/>
      <c r="F249" s="1264"/>
      <c r="G249" s="1265"/>
      <c r="H249" s="1264"/>
      <c r="I249" s="1265"/>
      <c r="J249" s="1264"/>
      <c r="K249" s="1265"/>
      <c r="L249" s="1264"/>
      <c r="M249" s="1265"/>
      <c r="N249" s="1264"/>
      <c r="O249" s="1265"/>
      <c r="P249" s="1264"/>
      <c r="Q249" s="1265"/>
      <c r="R249" s="1264"/>
      <c r="S249" s="1265"/>
      <c r="T249" s="1264"/>
      <c r="U249" s="1265"/>
      <c r="V249" s="1264"/>
      <c r="W249" s="1265"/>
      <c r="X249" s="1264"/>
      <c r="Y249" s="1265"/>
      <c r="Z249" s="1264"/>
      <c r="AA249" s="1265"/>
      <c r="AB249" s="1264"/>
      <c r="AC249" s="1265"/>
      <c r="AD249" s="1264"/>
      <c r="AE249" s="1265">
        <f>AC249+AA249+Y249+W249+U249+S249+Q249+O249+M249+K249+I249+G249</f>
        <v>0</v>
      </c>
      <c r="AF249" s="1266">
        <f>IF(AE$45=0,0,AE249/AE$45)</f>
        <v>0</v>
      </c>
      <c r="AG249" s="1267"/>
    </row>
    <row r="250" spans="1:33" s="113" customFormat="1" ht="5.0999999999999996" hidden="1" customHeight="1" outlineLevel="1">
      <c r="A250" s="1261"/>
      <c r="B250" s="1261"/>
      <c r="C250" s="1261"/>
      <c r="D250" s="1261"/>
      <c r="E250" s="1263"/>
      <c r="F250" s="1263"/>
      <c r="G250" s="1271"/>
      <c r="H250" s="1270"/>
      <c r="I250" s="1271"/>
      <c r="J250" s="1270"/>
      <c r="K250" s="1271"/>
      <c r="L250" s="1270"/>
      <c r="M250" s="1271"/>
      <c r="N250" s="1270"/>
      <c r="O250" s="1271"/>
      <c r="P250" s="1270"/>
      <c r="Q250" s="1271"/>
      <c r="R250" s="1270"/>
      <c r="S250" s="1271"/>
      <c r="T250" s="1270"/>
      <c r="U250" s="1271"/>
      <c r="V250" s="1270"/>
      <c r="W250" s="1271"/>
      <c r="X250" s="1270"/>
      <c r="Y250" s="1271"/>
      <c r="Z250" s="1270"/>
      <c r="AA250" s="1271"/>
      <c r="AB250" s="1270"/>
      <c r="AC250" s="1271"/>
      <c r="AD250" s="1270"/>
      <c r="AE250" s="1271"/>
      <c r="AF250" s="1270"/>
      <c r="AG250" s="1244"/>
    </row>
    <row r="251" spans="1:33" s="113" customFormat="1" hidden="1" collapsed="1">
      <c r="A251" s="1263"/>
      <c r="B251" s="1263"/>
      <c r="C251" s="1260" t="s">
        <v>302</v>
      </c>
      <c r="D251" s="1263"/>
      <c r="E251" s="1263"/>
      <c r="F251" s="1263"/>
      <c r="G251" s="1269">
        <f>SUM(G249:G250)</f>
        <v>0</v>
      </c>
      <c r="H251" s="1270"/>
      <c r="I251" s="1269">
        <f>SUM(I249:I250)</f>
        <v>0</v>
      </c>
      <c r="J251" s="1270"/>
      <c r="K251" s="1269">
        <f>SUM(K249:K250)</f>
        <v>0</v>
      </c>
      <c r="L251" s="1290">
        <f>IF(K$39=0,0,K251/K$39)</f>
        <v>0</v>
      </c>
      <c r="M251" s="1269">
        <f>SUM(M249:M250)</f>
        <v>0</v>
      </c>
      <c r="N251" s="1270"/>
      <c r="O251" s="1269">
        <f>SUM(O249:O250)</f>
        <v>0</v>
      </c>
      <c r="P251" s="1270"/>
      <c r="Q251" s="1269">
        <f>SUM(Q249:Q250)</f>
        <v>0</v>
      </c>
      <c r="R251" s="1290">
        <f>IF(Q$39=0,0,Q251/Q$39)</f>
        <v>0</v>
      </c>
      <c r="S251" s="1269">
        <f>SUM(S249:S250)</f>
        <v>0</v>
      </c>
      <c r="T251" s="1270"/>
      <c r="U251" s="1269">
        <f>SUM(U249:U250)</f>
        <v>0</v>
      </c>
      <c r="V251" s="1270"/>
      <c r="W251" s="1269">
        <f>SUM(W249:W250)</f>
        <v>0</v>
      </c>
      <c r="X251" s="1290">
        <f>IF(W$39=0,0,W251/W$39)</f>
        <v>0</v>
      </c>
      <c r="Y251" s="1269">
        <f>SUM(Y249:Y250)</f>
        <v>0</v>
      </c>
      <c r="Z251" s="1270"/>
      <c r="AA251" s="1269">
        <f>SUM(AA249:AA250)</f>
        <v>0</v>
      </c>
      <c r="AB251" s="1270"/>
      <c r="AC251" s="1269">
        <f>SUM(AC249:AC250)</f>
        <v>0</v>
      </c>
      <c r="AD251" s="1290">
        <f>IF(AC$39=0,0,AC251/AC$39)</f>
        <v>0</v>
      </c>
      <c r="AE251" s="1269">
        <f>SUM(AE249:AE250)</f>
        <v>0</v>
      </c>
      <c r="AF251" s="1266">
        <f>IF(AE$45=0,0,AE251/AE$45)</f>
        <v>0</v>
      </c>
      <c r="AG251" s="1244"/>
    </row>
    <row r="252" spans="1:33" s="113" customFormat="1" ht="6.75" hidden="1" customHeight="1">
      <c r="A252" s="1263"/>
      <c r="B252" s="1263"/>
      <c r="C252" s="1263"/>
      <c r="D252" s="1263"/>
      <c r="E252" s="1263"/>
      <c r="F252" s="1263"/>
      <c r="G252" s="1270"/>
      <c r="H252" s="1270"/>
      <c r="I252" s="1270"/>
      <c r="J252" s="1270"/>
      <c r="K252" s="1270"/>
      <c r="L252" s="1270"/>
      <c r="M252" s="1270"/>
      <c r="N252" s="1270"/>
      <c r="O252" s="1270"/>
      <c r="P252" s="1270"/>
      <c r="Q252" s="1270"/>
      <c r="R252" s="1270"/>
      <c r="S252" s="1270"/>
      <c r="T252" s="1270"/>
      <c r="U252" s="1270"/>
      <c r="V252" s="1270"/>
      <c r="W252" s="1270"/>
      <c r="X252" s="1270"/>
      <c r="Y252" s="1270"/>
      <c r="Z252" s="1270"/>
      <c r="AA252" s="1270"/>
      <c r="AB252" s="1270"/>
      <c r="AC252" s="1270"/>
      <c r="AD252" s="1270"/>
      <c r="AE252" s="1270"/>
      <c r="AF252" s="1270"/>
      <c r="AG252" s="1244"/>
    </row>
    <row r="253" spans="1:33" s="113" customFormat="1" ht="15">
      <c r="A253" s="1263"/>
      <c r="B253" s="1273" t="s">
        <v>303</v>
      </c>
      <c r="C253" s="1263"/>
      <c r="D253" s="1263"/>
      <c r="E253" s="1263"/>
      <c r="F253" s="1263"/>
      <c r="G253" s="1274">
        <f>+G247-G251</f>
        <v>8061.6699999999873</v>
      </c>
      <c r="H253" s="1270"/>
      <c r="I253" s="1274">
        <f>+I247-I251</f>
        <v>19221.989999999991</v>
      </c>
      <c r="J253" s="1270"/>
      <c r="K253" s="1274">
        <f>+K247-K251</f>
        <v>-468.04000000002634</v>
      </c>
      <c r="L253" s="1290">
        <f>IF(K$39=0,0,K253/K$39)</f>
        <v>0</v>
      </c>
      <c r="M253" s="1274">
        <f>+M247-M251</f>
        <v>14208.360000000006</v>
      </c>
      <c r="N253" s="1270"/>
      <c r="O253" s="1274">
        <f>+O247-O251</f>
        <v>16545.69999999999</v>
      </c>
      <c r="P253" s="1270"/>
      <c r="Q253" s="1274">
        <f>+Q247-Q251</f>
        <v>-1873.7799999999879</v>
      </c>
      <c r="R253" s="1290">
        <f>IF(Q$39=0,0,Q253/Q$39)</f>
        <v>0</v>
      </c>
      <c r="S253" s="1274">
        <f>+S247-S251</f>
        <v>-4723.5999999999967</v>
      </c>
      <c r="T253" s="1270"/>
      <c r="U253" s="1274">
        <f>+U247-U251</f>
        <v>7514.7399999999961</v>
      </c>
      <c r="V253" s="1270"/>
      <c r="W253" s="1274">
        <f>+W247-W251</f>
        <v>4562.9899999999961</v>
      </c>
      <c r="X253" s="1290">
        <f>IF(W$39=0,0,W253/W$39)</f>
        <v>0</v>
      </c>
      <c r="Y253" s="1274">
        <f>+Y247-Y251</f>
        <v>-2992.9499999999898</v>
      </c>
      <c r="Z253" s="1270"/>
      <c r="AA253" s="1274">
        <f>+AA247-AA251</f>
        <v>14300.700000000003</v>
      </c>
      <c r="AB253" s="1270"/>
      <c r="AC253" s="1274">
        <f>+AC247-AC251</f>
        <v>68559.859999999971</v>
      </c>
      <c r="AD253" s="1290">
        <f>IF(AC$39=0,0,AC253/AC$39)</f>
        <v>0</v>
      </c>
      <c r="AE253" s="1274">
        <f>+AE247-AE251</f>
        <v>142917.64000000048</v>
      </c>
      <c r="AF253" s="1266">
        <f>IF(AE$45=0,0,AE253/AE$45)</f>
        <v>0.10215898261697497</v>
      </c>
      <c r="AG253" s="1244"/>
    </row>
    <row r="254" spans="1:33" ht="6.75" customHeight="1">
      <c r="G254" s="1292"/>
      <c r="H254" s="1292"/>
      <c r="I254" s="1292"/>
      <c r="J254" s="1292"/>
      <c r="K254" s="1292"/>
      <c r="L254" s="1270"/>
      <c r="M254" s="1292"/>
      <c r="N254" s="1292"/>
      <c r="O254" s="1292"/>
      <c r="P254" s="1292"/>
      <c r="Q254" s="1292"/>
      <c r="R254" s="1270"/>
      <c r="S254" s="1292"/>
      <c r="T254" s="1292"/>
      <c r="U254" s="1292"/>
      <c r="V254" s="1292"/>
      <c r="W254" s="1292"/>
      <c r="X254" s="1270"/>
      <c r="Y254" s="1292"/>
      <c r="Z254" s="1292"/>
      <c r="AA254" s="1292"/>
      <c r="AB254" s="1292"/>
      <c r="AC254" s="1292"/>
      <c r="AD254" s="1270"/>
      <c r="AE254" s="1292"/>
      <c r="AF254" s="1270"/>
      <c r="AG254" s="1244"/>
    </row>
    <row r="255" spans="1:33" hidden="1" outlineLevel="1">
      <c r="A255" s="1260"/>
      <c r="B255" s="1260"/>
      <c r="C255" s="1261"/>
      <c r="D255" s="1262"/>
      <c r="E255" s="1263"/>
      <c r="F255" s="1264"/>
      <c r="G255" s="1265"/>
      <c r="H255" s="1264"/>
      <c r="I255" s="1265"/>
      <c r="J255" s="1264"/>
      <c r="K255" s="1265"/>
      <c r="L255" s="1264"/>
      <c r="M255" s="1265"/>
      <c r="N255" s="1264"/>
      <c r="O255" s="1265"/>
      <c r="P255" s="1264"/>
      <c r="Q255" s="1265"/>
      <c r="R255" s="1264"/>
      <c r="S255" s="1265"/>
      <c r="T255" s="1264"/>
      <c r="U255" s="1265"/>
      <c r="V255" s="1264"/>
      <c r="W255" s="1265"/>
      <c r="X255" s="1264"/>
      <c r="Y255" s="1265"/>
      <c r="Z255" s="1264"/>
      <c r="AA255" s="1265"/>
      <c r="AB255" s="1264"/>
      <c r="AC255" s="1265"/>
      <c r="AD255" s="1264"/>
      <c r="AE255" s="1265">
        <f>AC255+AA255+Y255+W255+U255+S255+Q255+O255+M255+K255+I255+G255</f>
        <v>0</v>
      </c>
      <c r="AF255" s="1266">
        <f>IF(AE$45=0,0,AE255/AE$45)</f>
        <v>0</v>
      </c>
      <c r="AG255" s="1267"/>
    </row>
    <row r="256" spans="1:33" s="113" customFormat="1" ht="5.0999999999999996" hidden="1" customHeight="1" outlineLevel="1">
      <c r="A256" s="1261"/>
      <c r="B256" s="1261"/>
      <c r="C256" s="1261"/>
      <c r="D256" s="1261"/>
      <c r="E256" s="1263"/>
      <c r="F256" s="1263"/>
      <c r="G256" s="1271"/>
      <c r="H256" s="1270"/>
      <c r="I256" s="1271"/>
      <c r="J256" s="1270"/>
      <c r="K256" s="1271"/>
      <c r="L256" s="1270"/>
      <c r="M256" s="1271"/>
      <c r="N256" s="1270"/>
      <c r="O256" s="1271"/>
      <c r="P256" s="1270"/>
      <c r="Q256" s="1271"/>
      <c r="R256" s="1270"/>
      <c r="S256" s="1271"/>
      <c r="T256" s="1270"/>
      <c r="U256" s="1271"/>
      <c r="V256" s="1270"/>
      <c r="W256" s="1271"/>
      <c r="X256" s="1270"/>
      <c r="Y256" s="1271"/>
      <c r="Z256" s="1270"/>
      <c r="AA256" s="1271"/>
      <c r="AB256" s="1270"/>
      <c r="AC256" s="1271"/>
      <c r="AD256" s="1270"/>
      <c r="AE256" s="1271"/>
      <c r="AF256" s="1270"/>
      <c r="AG256" s="1244"/>
    </row>
    <row r="257" spans="1:33" s="113" customFormat="1" hidden="1" collapsed="1">
      <c r="A257" s="1263"/>
      <c r="B257" s="1263"/>
      <c r="C257" s="1260" t="s">
        <v>305</v>
      </c>
      <c r="D257" s="1263"/>
      <c r="E257" s="1263"/>
      <c r="F257" s="1263"/>
      <c r="G257" s="1269">
        <f>SUM(G255:G256)</f>
        <v>0</v>
      </c>
      <c r="H257" s="1270"/>
      <c r="I257" s="1269">
        <f>SUM(I255:I256)</f>
        <v>0</v>
      </c>
      <c r="J257" s="1270"/>
      <c r="K257" s="1269">
        <f>SUM(K255:K256)</f>
        <v>0</v>
      </c>
      <c r="L257" s="1290">
        <f>IF(K$39=0,0,K257/K$39)</f>
        <v>0</v>
      </c>
      <c r="M257" s="1269">
        <f>SUM(M255:M256)</f>
        <v>0</v>
      </c>
      <c r="N257" s="1270"/>
      <c r="O257" s="1269">
        <f>SUM(O255:O256)</f>
        <v>0</v>
      </c>
      <c r="P257" s="1270"/>
      <c r="Q257" s="1269">
        <f>SUM(Q255:Q256)</f>
        <v>0</v>
      </c>
      <c r="R257" s="1290">
        <f>IF(Q$39=0,0,Q257/Q$39)</f>
        <v>0</v>
      </c>
      <c r="S257" s="1269">
        <f>SUM(S255:S256)</f>
        <v>0</v>
      </c>
      <c r="T257" s="1270"/>
      <c r="U257" s="1269">
        <f>SUM(U255:U256)</f>
        <v>0</v>
      </c>
      <c r="V257" s="1270"/>
      <c r="W257" s="1269">
        <f>SUM(W255:W256)</f>
        <v>0</v>
      </c>
      <c r="X257" s="1290">
        <f>IF(W$39=0,0,W257/W$39)</f>
        <v>0</v>
      </c>
      <c r="Y257" s="1269">
        <f>SUM(Y255:Y256)</f>
        <v>0</v>
      </c>
      <c r="Z257" s="1270"/>
      <c r="AA257" s="1269">
        <f>SUM(AA255:AA256)</f>
        <v>0</v>
      </c>
      <c r="AB257" s="1270"/>
      <c r="AC257" s="1269">
        <f>SUM(AC255:AC256)</f>
        <v>0</v>
      </c>
      <c r="AD257" s="1290">
        <f>IF(AC$39=0,0,AC257/AC$39)</f>
        <v>0</v>
      </c>
      <c r="AE257" s="1269">
        <f>SUM(AE255:AE256)</f>
        <v>0</v>
      </c>
      <c r="AF257" s="1266">
        <f>IF(AE$45=0,0,AE257/AE$45)</f>
        <v>0</v>
      </c>
      <c r="AG257" s="1244"/>
    </row>
    <row r="258" spans="1:33" s="113" customFormat="1" ht="6.75" hidden="1" customHeight="1">
      <c r="A258" s="1263"/>
      <c r="B258" s="1263"/>
      <c r="C258" s="1263"/>
      <c r="D258" s="1263"/>
      <c r="E258" s="1263"/>
      <c r="F258" s="1263"/>
      <c r="G258" s="1270"/>
      <c r="H258" s="1270"/>
      <c r="I258" s="1270"/>
      <c r="J258" s="1270"/>
      <c r="K258" s="1270"/>
      <c r="L258" s="1270"/>
      <c r="M258" s="1270"/>
      <c r="N258" s="1270"/>
      <c r="O258" s="1270"/>
      <c r="P258" s="1270"/>
      <c r="Q258" s="1270"/>
      <c r="R258" s="1270"/>
      <c r="S258" s="1270"/>
      <c r="T258" s="1270"/>
      <c r="U258" s="1270"/>
      <c r="V258" s="1270"/>
      <c r="W258" s="1270"/>
      <c r="X258" s="1270"/>
      <c r="Y258" s="1270"/>
      <c r="Z258" s="1270"/>
      <c r="AA258" s="1270"/>
      <c r="AB258" s="1270"/>
      <c r="AC258" s="1270"/>
      <c r="AD258" s="1270"/>
      <c r="AE258" s="1270"/>
      <c r="AF258" s="1270"/>
      <c r="AG258" s="1244"/>
    </row>
    <row r="259" spans="1:33" s="113" customFormat="1" ht="15">
      <c r="A259" s="1263"/>
      <c r="B259" s="1273" t="s">
        <v>306</v>
      </c>
      <c r="C259" s="1263"/>
      <c r="D259" s="1263"/>
      <c r="E259" s="1263"/>
      <c r="F259" s="1263"/>
      <c r="G259" s="1274">
        <f>+G253-G257</f>
        <v>8061.6699999999873</v>
      </c>
      <c r="H259" s="1270"/>
      <c r="I259" s="1274">
        <f>+I253-I257</f>
        <v>19221.989999999991</v>
      </c>
      <c r="J259" s="1270"/>
      <c r="K259" s="1274">
        <f>+K253-K257</f>
        <v>-468.04000000002634</v>
      </c>
      <c r="L259" s="1290">
        <f>IF(K$39=0,0,K259/K$39)</f>
        <v>0</v>
      </c>
      <c r="M259" s="1274">
        <f>+M253-M257</f>
        <v>14208.360000000006</v>
      </c>
      <c r="N259" s="1270"/>
      <c r="O259" s="1274">
        <f>+O253-O257</f>
        <v>16545.69999999999</v>
      </c>
      <c r="P259" s="1270"/>
      <c r="Q259" s="1274">
        <f>+Q253-Q257</f>
        <v>-1873.7799999999879</v>
      </c>
      <c r="R259" s="1290">
        <f>IF(Q$39=0,0,Q259/Q$39)</f>
        <v>0</v>
      </c>
      <c r="S259" s="1274">
        <f>+S253-S257</f>
        <v>-4723.5999999999967</v>
      </c>
      <c r="T259" s="1270"/>
      <c r="U259" s="1274">
        <f>+U253-U257</f>
        <v>7514.7399999999961</v>
      </c>
      <c r="V259" s="1270"/>
      <c r="W259" s="1274">
        <f>+W253-W257</f>
        <v>4562.9899999999961</v>
      </c>
      <c r="X259" s="1290">
        <f>IF(W$39=0,0,W259/W$39)</f>
        <v>0</v>
      </c>
      <c r="Y259" s="1274">
        <f>+Y253-Y257</f>
        <v>-2992.9499999999898</v>
      </c>
      <c r="Z259" s="1270"/>
      <c r="AA259" s="1274">
        <f>+AA253-AA257</f>
        <v>14300.700000000003</v>
      </c>
      <c r="AB259" s="1270"/>
      <c r="AC259" s="1274">
        <f>+AC253-AC257</f>
        <v>68559.859999999971</v>
      </c>
      <c r="AD259" s="1290">
        <f>IF(AC$39=0,0,AC259/AC$39)</f>
        <v>0</v>
      </c>
      <c r="AE259" s="1274">
        <f>+AE253-AE257</f>
        <v>142917.64000000048</v>
      </c>
      <c r="AF259" s="1266">
        <f>IF(AE$45=0,0,AE259/AE$45)</f>
        <v>0.10215898261697497</v>
      </c>
      <c r="AG259" s="1244"/>
    </row>
    <row r="260" spans="1:33" s="113" customFormat="1" ht="6.75" customHeight="1">
      <c r="A260" s="1263"/>
      <c r="B260" s="1263"/>
      <c r="C260" s="1263"/>
      <c r="D260" s="1263"/>
      <c r="E260" s="1263"/>
      <c r="F260" s="1263"/>
      <c r="G260" s="1270"/>
      <c r="H260" s="1270"/>
      <c r="I260" s="1270"/>
      <c r="J260" s="1270"/>
      <c r="K260" s="1270"/>
      <c r="L260" s="1270"/>
      <c r="M260" s="1270"/>
      <c r="N260" s="1270"/>
      <c r="O260" s="1270"/>
      <c r="P260" s="1270"/>
      <c r="Q260" s="1270"/>
      <c r="R260" s="1270"/>
      <c r="S260" s="1270"/>
      <c r="T260" s="1270"/>
      <c r="U260" s="1270"/>
      <c r="V260" s="1270"/>
      <c r="W260" s="1270"/>
      <c r="X260" s="1270"/>
      <c r="Y260" s="1270"/>
      <c r="Z260" s="1270"/>
      <c r="AA260" s="1270"/>
      <c r="AB260" s="1270"/>
      <c r="AC260" s="1270"/>
      <c r="AD260" s="1270"/>
      <c r="AE260" s="1270"/>
      <c r="AF260" s="1270"/>
      <c r="AG260" s="1244"/>
    </row>
    <row r="261" spans="1:33" hidden="1" outlineLevel="1">
      <c r="A261" s="1260"/>
      <c r="B261" s="1260"/>
      <c r="C261" s="1261"/>
      <c r="D261" s="1262"/>
      <c r="E261" s="1263"/>
      <c r="F261" s="1264"/>
      <c r="G261" s="1265"/>
      <c r="H261" s="1264"/>
      <c r="I261" s="1265"/>
      <c r="J261" s="1264"/>
      <c r="K261" s="1265"/>
      <c r="L261" s="1264"/>
      <c r="M261" s="1265"/>
      <c r="N261" s="1264"/>
      <c r="O261" s="1265"/>
      <c r="P261" s="1264"/>
      <c r="Q261" s="1265"/>
      <c r="R261" s="1264"/>
      <c r="S261" s="1265"/>
      <c r="T261" s="1264"/>
      <c r="U261" s="1265"/>
      <c r="V261" s="1264"/>
      <c r="W261" s="1265"/>
      <c r="X261" s="1264"/>
      <c r="Y261" s="1265"/>
      <c r="Z261" s="1264"/>
      <c r="AA261" s="1265"/>
      <c r="AB261" s="1264"/>
      <c r="AC261" s="1265"/>
      <c r="AD261" s="1264"/>
      <c r="AE261" s="1265">
        <f>AC261+AA261+Y261+W261+U261+S261+Q261+O261+M261+K261+I261+G261</f>
        <v>0</v>
      </c>
      <c r="AF261" s="1266">
        <f>IF(AE$45=0,0,AE261/AE$45)</f>
        <v>0</v>
      </c>
      <c r="AG261" s="1267"/>
    </row>
    <row r="262" spans="1:33" s="113" customFormat="1" ht="4.5" hidden="1" customHeight="1" outlineLevel="1">
      <c r="A262" s="1261"/>
      <c r="B262" s="1261"/>
      <c r="C262" s="1261"/>
      <c r="D262" s="1261"/>
      <c r="E262" s="1263"/>
      <c r="F262" s="1263"/>
      <c r="G262" s="1271"/>
      <c r="H262" s="1270"/>
      <c r="I262" s="1271"/>
      <c r="J262" s="1270"/>
      <c r="K262" s="1271"/>
      <c r="L262" s="1270"/>
      <c r="M262" s="1271"/>
      <c r="N262" s="1270"/>
      <c r="O262" s="1271"/>
      <c r="P262" s="1270"/>
      <c r="Q262" s="1271"/>
      <c r="R262" s="1270"/>
      <c r="S262" s="1271"/>
      <c r="T262" s="1270"/>
      <c r="U262" s="1271"/>
      <c r="V262" s="1270"/>
      <c r="W262" s="1271"/>
      <c r="X262" s="1270"/>
      <c r="Y262" s="1271"/>
      <c r="Z262" s="1270"/>
      <c r="AA262" s="1271"/>
      <c r="AB262" s="1270"/>
      <c r="AC262" s="1271"/>
      <c r="AD262" s="1270"/>
      <c r="AE262" s="1271"/>
      <c r="AF262" s="1270"/>
      <c r="AG262" s="1244"/>
    </row>
    <row r="263" spans="1:33" s="113" customFormat="1" hidden="1">
      <c r="A263" s="1263"/>
      <c r="B263" s="1263"/>
      <c r="C263" s="1260" t="s">
        <v>308</v>
      </c>
      <c r="D263" s="1263"/>
      <c r="E263" s="1263"/>
      <c r="F263" s="1263"/>
      <c r="G263" s="1269">
        <f>SUM(G261:G262)</f>
        <v>0</v>
      </c>
      <c r="H263" s="1270"/>
      <c r="I263" s="1269">
        <f>SUM(I261:I262)</f>
        <v>0</v>
      </c>
      <c r="J263" s="1270"/>
      <c r="K263" s="1269">
        <f>SUM(K261:K262)</f>
        <v>0</v>
      </c>
      <c r="L263" s="1290">
        <f>IF(K$39=0,0,K263/K$39)</f>
        <v>0</v>
      </c>
      <c r="M263" s="1269">
        <f>SUM(M261:M262)</f>
        <v>0</v>
      </c>
      <c r="N263" s="1270"/>
      <c r="O263" s="1269">
        <f>SUM(O261:O262)</f>
        <v>0</v>
      </c>
      <c r="P263" s="1270"/>
      <c r="Q263" s="1269">
        <f>SUM(Q261:Q262)</f>
        <v>0</v>
      </c>
      <c r="R263" s="1290">
        <f>IF(Q$39=0,0,Q263/Q$39)</f>
        <v>0</v>
      </c>
      <c r="S263" s="1269">
        <f>SUM(S261:S262)</f>
        <v>0</v>
      </c>
      <c r="T263" s="1270"/>
      <c r="U263" s="1269">
        <f>SUM(U261:U262)</f>
        <v>0</v>
      </c>
      <c r="V263" s="1270"/>
      <c r="W263" s="1269">
        <f>SUM(W261:W262)</f>
        <v>0</v>
      </c>
      <c r="X263" s="1290">
        <f>IF(W$39=0,0,W263/W$39)</f>
        <v>0</v>
      </c>
      <c r="Y263" s="1269">
        <f>SUM(Y261:Y262)</f>
        <v>0</v>
      </c>
      <c r="Z263" s="1270"/>
      <c r="AA263" s="1269">
        <f>SUM(AA261:AA262)</f>
        <v>0</v>
      </c>
      <c r="AB263" s="1270"/>
      <c r="AC263" s="1269">
        <f>SUM(AC261:AC262)</f>
        <v>0</v>
      </c>
      <c r="AD263" s="1290">
        <f>IF(AC$39=0,0,AC263/AC$39)</f>
        <v>0</v>
      </c>
      <c r="AE263" s="1269">
        <f>SUM(AE261:AE262)</f>
        <v>0</v>
      </c>
      <c r="AF263" s="1266">
        <f>IF(AE$45=0,0,AE263/AE$45)</f>
        <v>0</v>
      </c>
      <c r="AG263" s="1244"/>
    </row>
    <row r="264" spans="1:33" s="113" customFormat="1" ht="6.75" customHeight="1">
      <c r="A264" s="1263"/>
      <c r="B264" s="1263"/>
      <c r="C264" s="1263"/>
      <c r="D264" s="1263"/>
      <c r="E264" s="1263"/>
      <c r="F264" s="1263"/>
      <c r="G264" s="1270"/>
      <c r="H264" s="1270"/>
      <c r="I264" s="1270"/>
      <c r="J264" s="1270"/>
      <c r="K264" s="1270"/>
      <c r="L264" s="1270"/>
      <c r="M264" s="1270"/>
      <c r="N264" s="1270"/>
      <c r="O264" s="1270"/>
      <c r="P264" s="1270"/>
      <c r="Q264" s="1270"/>
      <c r="R264" s="1270"/>
      <c r="S264" s="1270"/>
      <c r="T264" s="1270"/>
      <c r="U264" s="1270"/>
      <c r="V264" s="1270"/>
      <c r="W264" s="1270"/>
      <c r="X264" s="1270"/>
      <c r="Y264" s="1270"/>
      <c r="Z264" s="1270"/>
      <c r="AA264" s="1270"/>
      <c r="AB264" s="1270"/>
      <c r="AC264" s="1270"/>
      <c r="AD264" s="1270"/>
      <c r="AE264" s="1270"/>
      <c r="AF264" s="1270"/>
      <c r="AG264" s="1244"/>
    </row>
    <row r="265" spans="1:33" s="113" customFormat="1" ht="20.25" customHeight="1" thickBot="1">
      <c r="A265" s="1263"/>
      <c r="B265" s="1273" t="s">
        <v>309</v>
      </c>
      <c r="C265" s="1263"/>
      <c r="D265" s="1263"/>
      <c r="E265" s="1263"/>
      <c r="F265" s="1263"/>
      <c r="G265" s="1293">
        <f>+G259-G263</f>
        <v>8061.6699999999873</v>
      </c>
      <c r="H265" s="1270"/>
      <c r="I265" s="1293">
        <f>+I259-I263</f>
        <v>19221.989999999991</v>
      </c>
      <c r="J265" s="1270"/>
      <c r="K265" s="1293">
        <f>+K259-K263</f>
        <v>-468.04000000002634</v>
      </c>
      <c r="L265" s="1290">
        <f>IF(K$39=0,0,K265/K$39)</f>
        <v>0</v>
      </c>
      <c r="M265" s="1293">
        <f>+M259-M263</f>
        <v>14208.360000000006</v>
      </c>
      <c r="N265" s="1270"/>
      <c r="O265" s="1293">
        <f>+O259-O263</f>
        <v>16545.69999999999</v>
      </c>
      <c r="P265" s="1270"/>
      <c r="Q265" s="1293">
        <f>+Q259-Q263</f>
        <v>-1873.7799999999879</v>
      </c>
      <c r="R265" s="1290">
        <f>IF(Q$39=0,0,Q265/Q$39)</f>
        <v>0</v>
      </c>
      <c r="S265" s="1293">
        <f>+S259-S263</f>
        <v>-4723.5999999999967</v>
      </c>
      <c r="T265" s="1270"/>
      <c r="U265" s="1293">
        <f>+U259-U263</f>
        <v>7514.7399999999961</v>
      </c>
      <c r="V265" s="1270"/>
      <c r="W265" s="1293">
        <f>+W259-W263</f>
        <v>4562.9899999999961</v>
      </c>
      <c r="X265" s="1290">
        <f>IF(W$39=0,0,W265/W$39)</f>
        <v>0</v>
      </c>
      <c r="Y265" s="1293">
        <f>+Y259-Y263</f>
        <v>-2992.9499999999898</v>
      </c>
      <c r="Z265" s="1270"/>
      <c r="AA265" s="1293">
        <f>+AA259-AA263</f>
        <v>14300.700000000003</v>
      </c>
      <c r="AB265" s="1270"/>
      <c r="AC265" s="1293">
        <f>+AC259-AC263</f>
        <v>68559.859999999971</v>
      </c>
      <c r="AD265" s="1290">
        <f>IF(AC$39=0,0,AC265/AC$39)</f>
        <v>0</v>
      </c>
      <c r="AE265" s="1293">
        <f>+AE259-AE263</f>
        <v>142917.64000000048</v>
      </c>
      <c r="AF265" s="1266">
        <f>IF(AE$45=0,0,AE265/AE$45)</f>
        <v>0.10215898261697497</v>
      </c>
      <c r="AG265" s="1244"/>
    </row>
    <row r="266" spans="1:33" s="173" customFormat="1" ht="15" thickTop="1">
      <c r="A266" s="1263"/>
      <c r="B266" s="1263"/>
      <c r="C266" s="1260"/>
      <c r="D266" s="1263"/>
      <c r="E266" s="1291"/>
      <c r="F266" s="1291"/>
      <c r="G266" s="1294"/>
      <c r="H266" s="1291"/>
      <c r="I266" s="1294"/>
      <c r="J266" s="1244"/>
      <c r="K266" s="1294"/>
      <c r="L266" s="1244"/>
      <c r="M266" s="1294"/>
      <c r="N266" s="1291"/>
      <c r="O266" s="1294"/>
      <c r="P266" s="1244"/>
      <c r="Q266" s="1294"/>
      <c r="R266" s="1244"/>
      <c r="S266" s="1294"/>
      <c r="T266" s="1291"/>
      <c r="U266" s="1294"/>
      <c r="V266" s="1244"/>
      <c r="W266" s="1294"/>
      <c r="X266" s="1244"/>
      <c r="Y266" s="1294"/>
      <c r="Z266" s="1291"/>
      <c r="AA266" s="1294"/>
      <c r="AB266" s="1244"/>
      <c r="AC266" s="1294"/>
      <c r="AD266" s="1244"/>
      <c r="AE266" s="1294"/>
      <c r="AF266" s="1294"/>
      <c r="AG266" s="1291"/>
    </row>
    <row r="267" spans="1:33" s="796" customFormat="1" ht="15" outlineLevel="1">
      <c r="A267" s="357"/>
      <c r="B267" s="357"/>
      <c r="C267" s="357"/>
      <c r="D267" s="357"/>
      <c r="E267" s="357"/>
      <c r="F267" s="357"/>
      <c r="G267" s="357"/>
      <c r="H267" s="357"/>
      <c r="I267" s="357"/>
      <c r="J267" s="357"/>
      <c r="K267" s="357"/>
      <c r="L267" s="357"/>
      <c r="M267" s="357"/>
      <c r="N267" s="357"/>
      <c r="O267" s="357"/>
      <c r="P267" s="357"/>
      <c r="Q267" s="357"/>
      <c r="R267" s="357"/>
      <c r="S267" s="357"/>
      <c r="T267" s="357"/>
      <c r="U267" s="357"/>
      <c r="V267" s="357"/>
      <c r="W267" s="357"/>
      <c r="X267" s="357"/>
      <c r="Y267" s="357"/>
      <c r="Z267" s="357"/>
      <c r="AA267" s="357"/>
      <c r="AB267" s="357"/>
      <c r="AC267" s="357"/>
      <c r="AD267" s="357"/>
      <c r="AE267" s="357"/>
      <c r="AF267" s="357"/>
      <c r="AG267" s="357"/>
    </row>
    <row r="268" spans="1:33" ht="6" customHeight="1" outlineLevel="1">
      <c r="G268" s="1271"/>
      <c r="H268" s="1270"/>
      <c r="I268" s="1271"/>
      <c r="J268" s="1270"/>
      <c r="K268" s="1271"/>
      <c r="L268" s="1270"/>
      <c r="M268" s="1271"/>
      <c r="N268" s="1270"/>
      <c r="O268" s="1271"/>
      <c r="P268" s="1270"/>
      <c r="Q268" s="1271"/>
      <c r="R268" s="1270"/>
      <c r="S268" s="1271"/>
      <c r="T268" s="1270"/>
      <c r="U268" s="1271"/>
      <c r="V268" s="1270"/>
      <c r="W268" s="1271"/>
      <c r="X268" s="1270"/>
      <c r="Y268" s="1271"/>
      <c r="Z268" s="1270"/>
      <c r="AA268" s="1271"/>
      <c r="AB268" s="1270"/>
      <c r="AC268" s="1271"/>
      <c r="AD268" s="1270"/>
      <c r="AE268" s="1271"/>
    </row>
    <row r="269" spans="1:33" s="109" customFormat="1">
      <c r="A269" s="1292"/>
      <c r="B269" s="1292" t="s">
        <v>311</v>
      </c>
      <c r="C269" s="1292"/>
      <c r="D269" s="1292"/>
      <c r="E269" s="1292"/>
      <c r="F269" s="1292"/>
      <c r="G269" s="1295">
        <f>SUM(G267:G268)</f>
        <v>0</v>
      </c>
      <c r="H269" s="1296"/>
      <c r="I269" s="1295">
        <f>SUM(I267:I268)</f>
        <v>0</v>
      </c>
      <c r="J269" s="1296"/>
      <c r="K269" s="1295">
        <f>SUM(K267:K268)</f>
        <v>0</v>
      </c>
      <c r="L269" s="1297"/>
      <c r="M269" s="1295">
        <f>SUM(M267:M268)</f>
        <v>0</v>
      </c>
      <c r="N269" s="1296"/>
      <c r="O269" s="1295">
        <f>SUM(O267:O268)</f>
        <v>0</v>
      </c>
      <c r="P269" s="1296"/>
      <c r="Q269" s="1295">
        <f>SUM(Q267:Q268)</f>
        <v>0</v>
      </c>
      <c r="R269" s="1297"/>
      <c r="S269" s="1295">
        <f>SUM(S267:S268)</f>
        <v>0</v>
      </c>
      <c r="T269" s="1296"/>
      <c r="U269" s="1295">
        <f>SUM(U267:U268)</f>
        <v>0</v>
      </c>
      <c r="V269" s="1296"/>
      <c r="W269" s="1295">
        <f>SUM(W267:W268)</f>
        <v>0</v>
      </c>
      <c r="X269" s="1297"/>
      <c r="Y269" s="1295">
        <f>SUM(Y267:Y268)</f>
        <v>0</v>
      </c>
      <c r="Z269" s="1296"/>
      <c r="AA269" s="1295">
        <f>SUM(AA267:AA268)</f>
        <v>0</v>
      </c>
      <c r="AB269" s="1296"/>
      <c r="AC269" s="1295">
        <f>SUM(AC267:AC268)</f>
        <v>0</v>
      </c>
      <c r="AD269" s="1297"/>
      <c r="AE269" s="1295">
        <f>SUM(AE267:AE268)</f>
        <v>0</v>
      </c>
      <c r="AF269" s="1292"/>
      <c r="AG269" s="1292"/>
    </row>
    <row r="270" spans="1:33">
      <c r="G270" s="1298"/>
      <c r="H270" s="1298"/>
      <c r="I270" s="1298"/>
      <c r="J270" s="1298"/>
      <c r="K270" s="1298"/>
      <c r="L270" s="1298"/>
      <c r="M270" s="1298"/>
      <c r="N270" s="1298"/>
      <c r="O270" s="1298"/>
      <c r="P270" s="1298"/>
      <c r="Q270" s="1298"/>
      <c r="R270" s="1298"/>
      <c r="S270" s="1298"/>
      <c r="T270" s="1298"/>
      <c r="U270" s="1298"/>
      <c r="V270" s="1298"/>
      <c r="W270" s="1298"/>
      <c r="X270" s="1298"/>
      <c r="Y270" s="1298"/>
      <c r="Z270" s="1298"/>
      <c r="AA270" s="1298"/>
      <c r="AB270" s="1298"/>
      <c r="AC270" s="1298"/>
      <c r="AD270" s="1298"/>
      <c r="AE270" s="1298"/>
      <c r="AF270" s="1298"/>
      <c r="AG270" s="1298"/>
    </row>
    <row r="271" spans="1:33">
      <c r="A271" s="1261"/>
      <c r="B271" s="1261"/>
      <c r="C271" s="1261"/>
      <c r="D271" s="1261"/>
      <c r="J271" s="1244"/>
      <c r="L271" s="1244"/>
      <c r="P271" s="1244"/>
      <c r="R271" s="1244"/>
      <c r="V271" s="1244"/>
      <c r="X271" s="1244"/>
      <c r="AB271" s="1244"/>
      <c r="AD271" s="1244"/>
    </row>
    <row r="272" spans="1:33" ht="15">
      <c r="A272" s="1263"/>
      <c r="B272" s="1263"/>
      <c r="C272" s="1261"/>
      <c r="D272" s="1263"/>
      <c r="J272" s="1244"/>
      <c r="L272" s="1244"/>
      <c r="P272" s="1244"/>
      <c r="R272" s="1244"/>
      <c r="V272" s="1244"/>
      <c r="X272" s="1244"/>
      <c r="AB272" s="1244"/>
      <c r="AC272" s="1299" t="s">
        <v>312</v>
      </c>
      <c r="AD272" s="1300"/>
      <c r="AE272" s="1301">
        <f>SUM(G265:AC265)-AE265</f>
        <v>-5.2386894822120667E-10</v>
      </c>
    </row>
    <row r="273" spans="1:33" s="173" customFormat="1">
      <c r="A273" s="1263"/>
      <c r="B273" s="1263"/>
      <c r="C273" s="1263"/>
      <c r="D273" s="1263"/>
      <c r="E273" s="1291"/>
      <c r="F273" s="1291"/>
      <c r="G273" s="1294"/>
      <c r="H273" s="1291"/>
      <c r="I273" s="1294"/>
      <c r="J273" s="1244"/>
      <c r="K273" s="1294"/>
      <c r="L273" s="1244"/>
      <c r="M273" s="1294"/>
      <c r="N273" s="1291"/>
      <c r="O273" s="1294"/>
      <c r="P273" s="1244"/>
      <c r="Q273" s="1294"/>
      <c r="R273" s="1244"/>
      <c r="S273" s="1294"/>
      <c r="T273" s="1291"/>
      <c r="U273" s="1294"/>
      <c r="V273" s="1244"/>
      <c r="W273" s="1294"/>
      <c r="X273" s="1244"/>
      <c r="Y273" s="1294"/>
      <c r="Z273" s="1291"/>
      <c r="AA273" s="1294"/>
      <c r="AB273" s="1244"/>
      <c r="AC273" s="1294"/>
      <c r="AD273" s="1244"/>
      <c r="AE273" s="1294"/>
      <c r="AF273" s="1291"/>
      <c r="AG273" s="1291"/>
    </row>
    <row r="274" spans="1:33" s="173" customFormat="1">
      <c r="A274" s="1277"/>
      <c r="B274" s="1277"/>
      <c r="C274" s="1277"/>
      <c r="D274" s="1277"/>
      <c r="E274" s="1291"/>
      <c r="F274" s="1291"/>
      <c r="G274" s="1294"/>
      <c r="H274" s="1291"/>
      <c r="I274" s="1294"/>
      <c r="J274" s="1244"/>
      <c r="K274" s="1294"/>
      <c r="L274" s="1244"/>
      <c r="M274" s="1294"/>
      <c r="N274" s="1291"/>
      <c r="O274" s="1294"/>
      <c r="P274" s="1244"/>
      <c r="Q274" s="1294"/>
      <c r="R274" s="1244"/>
      <c r="S274" s="1294">
        <f>S45-S265</f>
        <v>113220.21999999999</v>
      </c>
      <c r="T274" s="1294">
        <f>T45-T265</f>
        <v>0</v>
      </c>
      <c r="U274" s="1294">
        <f>U45-U265</f>
        <v>101727.13</v>
      </c>
      <c r="V274" s="1244"/>
      <c r="W274" s="1294">
        <f>W45-W265</f>
        <v>112079.53000000001</v>
      </c>
      <c r="X274" s="1244"/>
      <c r="Y274" s="1294">
        <f>Y45-Y265</f>
        <v>107096.97999999998</v>
      </c>
      <c r="Z274" s="1291"/>
      <c r="AA274" s="1294">
        <f>AA45-AA265</f>
        <v>91055.430000000008</v>
      </c>
      <c r="AB274" s="1244"/>
      <c r="AC274" s="1294">
        <f>AC45-AC265</f>
        <v>106593.46</v>
      </c>
      <c r="AD274" s="1244"/>
      <c r="AE274" s="1294">
        <f>AE45-AE265</f>
        <v>1256055.1799999997</v>
      </c>
      <c r="AF274" s="1294"/>
      <c r="AG274" s="1291"/>
    </row>
    <row r="275" spans="1:33" s="173" customFormat="1" ht="15">
      <c r="A275" s="1261"/>
      <c r="B275" s="1261"/>
      <c r="C275" s="1261"/>
      <c r="D275" s="1261"/>
      <c r="E275" s="1291"/>
      <c r="F275" s="1291"/>
      <c r="G275" s="1294"/>
      <c r="H275" s="1291"/>
      <c r="I275" s="1294"/>
      <c r="J275" s="1244"/>
      <c r="K275" s="1294"/>
      <c r="L275" s="1244"/>
      <c r="M275" s="1294"/>
      <c r="N275" s="1291"/>
      <c r="O275" s="1294"/>
      <c r="P275" s="1244"/>
      <c r="Q275" s="1294"/>
      <c r="R275" s="1244"/>
      <c r="S275" s="1302">
        <f>S274/S45</f>
        <v>1.0435368401338216</v>
      </c>
      <c r="T275" s="1302" t="e">
        <f>T274/T45</f>
        <v>#DIV/0!</v>
      </c>
      <c r="U275" s="1302">
        <f>U274/U45</f>
        <v>0.93121007540423839</v>
      </c>
      <c r="V275" s="1244"/>
      <c r="W275" s="1302">
        <f>W274/W45</f>
        <v>0.96088056053658655</v>
      </c>
      <c r="X275" s="1244"/>
      <c r="Y275" s="1302">
        <f>Y274/Y45</f>
        <v>1.0287496074839753</v>
      </c>
      <c r="Z275" s="1291"/>
      <c r="AA275" s="1302">
        <f>AA274/AA45</f>
        <v>0.86426323745946254</v>
      </c>
      <c r="AB275" s="1244"/>
      <c r="AC275" s="1302">
        <f>AC274/AC45</f>
        <v>0.60857230682238861</v>
      </c>
      <c r="AD275" s="1244"/>
      <c r="AE275" s="1302">
        <f>AE274/AE45</f>
        <v>0.89784101738302491</v>
      </c>
      <c r="AF275" s="1294"/>
      <c r="AG275" s="1291"/>
    </row>
    <row r="276" spans="1:33" s="173" customFormat="1">
      <c r="A276" s="1263"/>
      <c r="B276" s="1263"/>
      <c r="C276" s="1260"/>
      <c r="D276" s="1263"/>
      <c r="E276" s="1291"/>
      <c r="F276" s="1291"/>
      <c r="G276" s="1294"/>
      <c r="H276" s="1291"/>
      <c r="I276" s="1294"/>
      <c r="J276" s="1244"/>
      <c r="K276" s="1294"/>
      <c r="L276" s="1244"/>
      <c r="M276" s="1294"/>
      <c r="N276" s="1291"/>
      <c r="O276" s="1294"/>
      <c r="P276" s="1244"/>
      <c r="Q276" s="1294"/>
      <c r="R276" s="1244"/>
      <c r="S276" s="1294"/>
      <c r="T276" s="1291"/>
      <c r="U276" s="1294"/>
      <c r="V276" s="1244"/>
      <c r="W276" s="1294"/>
      <c r="X276" s="1244"/>
      <c r="Y276" s="1294"/>
      <c r="Z276" s="1291"/>
      <c r="AA276" s="1294"/>
      <c r="AB276" s="1244"/>
      <c r="AC276" s="1294"/>
      <c r="AD276" s="1244"/>
      <c r="AE276" s="1294"/>
      <c r="AF276" s="1294"/>
      <c r="AG276" s="1291"/>
    </row>
    <row r="277" spans="1:33" s="173" customFormat="1">
      <c r="A277" s="1263"/>
      <c r="B277" s="1263"/>
      <c r="C277" s="1263"/>
      <c r="D277" s="1263"/>
      <c r="E277" s="1291"/>
      <c r="F277" s="1291"/>
      <c r="G277" s="1294"/>
      <c r="H277" s="1291"/>
      <c r="I277" s="1294"/>
      <c r="J277" s="1244"/>
      <c r="K277" s="1294"/>
      <c r="L277" s="1244"/>
      <c r="M277" s="1294"/>
      <c r="N277" s="1291"/>
      <c r="O277" s="1294"/>
      <c r="P277" s="1244"/>
      <c r="Q277" s="1294"/>
      <c r="R277" s="1244"/>
      <c r="S277" s="1294"/>
      <c r="T277" s="1291"/>
      <c r="U277" s="1294"/>
      <c r="V277" s="1244"/>
      <c r="W277" s="1294"/>
      <c r="X277" s="1244"/>
      <c r="Y277" s="1294"/>
      <c r="Z277" s="1291"/>
      <c r="AA277" s="1294"/>
      <c r="AB277" s="1244"/>
      <c r="AC277" s="1294"/>
      <c r="AD277" s="1244"/>
      <c r="AE277" s="1294"/>
      <c r="AF277" s="1294"/>
      <c r="AG277" s="1291"/>
    </row>
    <row r="278" spans="1:33" s="173" customFormat="1">
      <c r="A278" s="1277"/>
      <c r="B278" s="1277"/>
      <c r="C278" s="1277"/>
      <c r="D278" s="1277"/>
      <c r="E278" s="1291"/>
      <c r="F278" s="1291"/>
      <c r="G278" s="1294"/>
      <c r="H278" s="1291"/>
      <c r="I278" s="1294"/>
      <c r="J278" s="1244"/>
      <c r="K278" s="1294"/>
      <c r="L278" s="1244"/>
      <c r="M278" s="1294"/>
      <c r="N278" s="1291"/>
      <c r="O278" s="1294"/>
      <c r="P278" s="1244"/>
      <c r="Q278" s="1294"/>
      <c r="R278" s="1244"/>
      <c r="S278" s="1294"/>
      <c r="T278" s="1291"/>
      <c r="U278" s="1294"/>
      <c r="V278" s="1244"/>
      <c r="W278" s="1294"/>
      <c r="X278" s="1244"/>
      <c r="Y278" s="1294"/>
      <c r="Z278" s="1291"/>
      <c r="AA278" s="1294"/>
      <c r="AB278" s="1244"/>
      <c r="AC278" s="1294"/>
      <c r="AD278" s="1244"/>
      <c r="AE278" s="1294"/>
      <c r="AF278" s="1294"/>
      <c r="AG278" s="1291"/>
    </row>
    <row r="279" spans="1:33" s="173" customFormat="1">
      <c r="A279" s="1261"/>
      <c r="B279" s="1261"/>
      <c r="C279" s="1261"/>
      <c r="D279" s="1261"/>
      <c r="E279" s="1291"/>
      <c r="F279" s="1291"/>
      <c r="G279" s="1294"/>
      <c r="H279" s="1291"/>
      <c r="I279" s="1294"/>
      <c r="J279" s="1244"/>
      <c r="K279" s="1294"/>
      <c r="L279" s="1244"/>
      <c r="M279" s="1294"/>
      <c r="N279" s="1291"/>
      <c r="O279" s="1294"/>
      <c r="P279" s="1244"/>
      <c r="Q279" s="1294"/>
      <c r="R279" s="1244"/>
      <c r="S279" s="1294"/>
      <c r="T279" s="1291"/>
      <c r="U279" s="1294"/>
      <c r="V279" s="1244"/>
      <c r="W279" s="1294"/>
      <c r="X279" s="1244"/>
      <c r="Y279" s="1294"/>
      <c r="Z279" s="1291"/>
      <c r="AA279" s="1294"/>
      <c r="AB279" s="1244"/>
      <c r="AC279" s="1294"/>
      <c r="AD279" s="1244"/>
      <c r="AE279" s="1294"/>
      <c r="AF279" s="1294"/>
      <c r="AG279" s="1291"/>
    </row>
    <row r="280" spans="1:33" s="173" customFormat="1">
      <c r="A280" s="1263"/>
      <c r="B280" s="1263"/>
      <c r="C280" s="1261"/>
      <c r="D280" s="1263"/>
      <c r="E280" s="1291"/>
      <c r="F280" s="1291"/>
      <c r="G280" s="1294"/>
      <c r="H280" s="1291"/>
      <c r="I280" s="1294"/>
      <c r="J280" s="1244"/>
      <c r="K280" s="1294"/>
      <c r="L280" s="1244"/>
      <c r="M280" s="1294"/>
      <c r="N280" s="1291"/>
      <c r="O280" s="1294"/>
      <c r="P280" s="1244"/>
      <c r="Q280" s="1294"/>
      <c r="R280" s="1244"/>
      <c r="S280" s="1294"/>
      <c r="T280" s="1291"/>
      <c r="U280" s="1294"/>
      <c r="V280" s="1244"/>
      <c r="W280" s="1294"/>
      <c r="X280" s="1244"/>
      <c r="Y280" s="1294"/>
      <c r="Z280" s="1291"/>
      <c r="AA280" s="1294"/>
      <c r="AB280" s="1244"/>
      <c r="AC280" s="1294"/>
      <c r="AD280" s="1244"/>
      <c r="AE280" s="1294"/>
      <c r="AF280" s="1294"/>
      <c r="AG280" s="1291"/>
    </row>
    <row r="281" spans="1:33" s="173" customFormat="1">
      <c r="A281" s="1263"/>
      <c r="B281" s="1263"/>
      <c r="C281" s="1263"/>
      <c r="D281" s="1263"/>
      <c r="E281" s="1291"/>
      <c r="F281" s="1291"/>
      <c r="G281" s="1294"/>
      <c r="H281" s="1291"/>
      <c r="I281" s="1294"/>
      <c r="J281" s="1244"/>
      <c r="K281" s="1294"/>
      <c r="L281" s="1244"/>
      <c r="M281" s="1294"/>
      <c r="N281" s="1291"/>
      <c r="O281" s="1294"/>
      <c r="P281" s="1244"/>
      <c r="Q281" s="1294"/>
      <c r="R281" s="1244"/>
      <c r="S281" s="1294"/>
      <c r="T281" s="1291"/>
      <c r="U281" s="1294"/>
      <c r="V281" s="1244"/>
      <c r="W281" s="1294"/>
      <c r="X281" s="1244"/>
      <c r="Y281" s="1294"/>
      <c r="Z281" s="1291"/>
      <c r="AA281" s="1294"/>
      <c r="AB281" s="1244"/>
      <c r="AC281" s="1294"/>
      <c r="AD281" s="1244"/>
      <c r="AE281" s="1294"/>
      <c r="AF281" s="1294"/>
      <c r="AG281" s="1291"/>
    </row>
    <row r="282" spans="1:33" s="173" customFormat="1" ht="15">
      <c r="A282" s="1263"/>
      <c r="B282" s="1273"/>
      <c r="C282" s="1263"/>
      <c r="D282" s="1263"/>
      <c r="E282" s="1291"/>
      <c r="F282" s="1291"/>
      <c r="G282" s="1294"/>
      <c r="H282" s="1291"/>
      <c r="I282" s="1294"/>
      <c r="J282" s="1244"/>
      <c r="K282" s="1294"/>
      <c r="L282" s="1244"/>
      <c r="M282" s="1294"/>
      <c r="N282" s="1291"/>
      <c r="O282" s="1294"/>
      <c r="P282" s="1244"/>
      <c r="Q282" s="1294"/>
      <c r="R282" s="1244"/>
      <c r="S282" s="1294"/>
      <c r="T282" s="1291"/>
      <c r="U282" s="1294"/>
      <c r="V282" s="1244"/>
      <c r="W282" s="1294"/>
      <c r="X282" s="1244"/>
      <c r="Y282" s="1294"/>
      <c r="Z282" s="1291"/>
      <c r="AA282" s="1294"/>
      <c r="AB282" s="1244"/>
      <c r="AC282" s="1294"/>
      <c r="AD282" s="1244"/>
      <c r="AE282" s="1294"/>
      <c r="AF282" s="1294"/>
      <c r="AG282" s="1291"/>
    </row>
    <row r="283" spans="1:33" s="173" customFormat="1">
      <c r="A283" s="1263"/>
      <c r="B283" s="1263"/>
      <c r="C283" s="1263"/>
      <c r="D283" s="1263"/>
      <c r="E283" s="1291"/>
      <c r="F283" s="1291"/>
      <c r="G283" s="1294"/>
      <c r="H283" s="1291"/>
      <c r="I283" s="1294"/>
      <c r="J283" s="1244"/>
      <c r="K283" s="1294"/>
      <c r="L283" s="1244"/>
      <c r="M283" s="1294"/>
      <c r="N283" s="1291"/>
      <c r="O283" s="1294"/>
      <c r="P283" s="1244"/>
      <c r="Q283" s="1294"/>
      <c r="R283" s="1244"/>
      <c r="S283" s="1294"/>
      <c r="T283" s="1291"/>
      <c r="U283" s="1294"/>
      <c r="V283" s="1244"/>
      <c r="W283" s="1294"/>
      <c r="X283" s="1244"/>
      <c r="Y283" s="1294"/>
      <c r="Z283" s="1291"/>
      <c r="AA283" s="1294"/>
      <c r="AB283" s="1244"/>
      <c r="AC283" s="1294"/>
      <c r="AD283" s="1244"/>
      <c r="AE283" s="1294"/>
      <c r="AF283" s="1294"/>
      <c r="AG283" s="1291"/>
    </row>
    <row r="284" spans="1:33" s="173" customFormat="1">
      <c r="A284" s="1277"/>
      <c r="B284" s="1277"/>
      <c r="C284" s="1277"/>
      <c r="D284" s="1277"/>
      <c r="E284" s="1291"/>
      <c r="F284" s="1291"/>
      <c r="G284" s="1294"/>
      <c r="H284" s="1291"/>
      <c r="I284" s="1294"/>
      <c r="J284" s="1244"/>
      <c r="K284" s="1294"/>
      <c r="L284" s="1244"/>
      <c r="M284" s="1294"/>
      <c r="N284" s="1291"/>
      <c r="O284" s="1294"/>
      <c r="P284" s="1244"/>
      <c r="Q284" s="1294"/>
      <c r="R284" s="1244"/>
      <c r="S284" s="1294"/>
      <c r="T284" s="1291"/>
      <c r="U284" s="1294"/>
      <c r="V284" s="1244"/>
      <c r="W284" s="1294"/>
      <c r="X284" s="1244"/>
      <c r="Y284" s="1294"/>
      <c r="Z284" s="1291"/>
      <c r="AA284" s="1294"/>
      <c r="AB284" s="1244"/>
      <c r="AC284" s="1294"/>
      <c r="AD284" s="1244"/>
      <c r="AE284" s="1294"/>
      <c r="AF284" s="1294"/>
      <c r="AG284" s="1291"/>
    </row>
    <row r="285" spans="1:33" s="173" customFormat="1">
      <c r="A285" s="1261"/>
      <c r="B285" s="1261"/>
      <c r="C285" s="1261"/>
      <c r="D285" s="1261"/>
      <c r="E285" s="1291"/>
      <c r="F285" s="1291"/>
      <c r="G285" s="1294"/>
      <c r="H285" s="1291"/>
      <c r="I285" s="1294"/>
      <c r="J285" s="1244"/>
      <c r="K285" s="1294"/>
      <c r="L285" s="1244"/>
      <c r="M285" s="1294"/>
      <c r="N285" s="1291"/>
      <c r="O285" s="1294"/>
      <c r="P285" s="1244"/>
      <c r="Q285" s="1294"/>
      <c r="R285" s="1244"/>
      <c r="S285" s="1294"/>
      <c r="T285" s="1291"/>
      <c r="U285" s="1294"/>
      <c r="V285" s="1244"/>
      <c r="W285" s="1294"/>
      <c r="X285" s="1244"/>
      <c r="Y285" s="1294"/>
      <c r="Z285" s="1291"/>
      <c r="AA285" s="1294"/>
      <c r="AB285" s="1244"/>
      <c r="AC285" s="1294"/>
      <c r="AD285" s="1244"/>
      <c r="AE285" s="1294"/>
      <c r="AF285" s="1294"/>
      <c r="AG285" s="1291"/>
    </row>
    <row r="286" spans="1:33" s="173" customFormat="1">
      <c r="A286" s="1263"/>
      <c r="B286" s="1263"/>
      <c r="C286" s="1260"/>
      <c r="D286" s="1263"/>
      <c r="E286" s="1291"/>
      <c r="F286" s="1291"/>
      <c r="G286" s="1294"/>
      <c r="H286" s="1291"/>
      <c r="I286" s="1294"/>
      <c r="J286" s="1244"/>
      <c r="K286" s="1294"/>
      <c r="L286" s="1244"/>
      <c r="M286" s="1294"/>
      <c r="N286" s="1291"/>
      <c r="O286" s="1294"/>
      <c r="P286" s="1244"/>
      <c r="Q286" s="1294"/>
      <c r="R286" s="1244"/>
      <c r="S286" s="1294"/>
      <c r="T286" s="1291"/>
      <c r="U286" s="1294"/>
      <c r="V286" s="1244"/>
      <c r="W286" s="1294"/>
      <c r="X286" s="1244"/>
      <c r="Y286" s="1294"/>
      <c r="Z286" s="1291"/>
      <c r="AA286" s="1294"/>
      <c r="AB286" s="1244"/>
      <c r="AC286" s="1294"/>
      <c r="AD286" s="1244"/>
      <c r="AE286" s="1294"/>
      <c r="AF286" s="1294"/>
      <c r="AG286" s="1291"/>
    </row>
    <row r="287" spans="1:33" s="173" customFormat="1">
      <c r="A287" s="1263"/>
      <c r="B287" s="1263"/>
      <c r="C287" s="1263"/>
      <c r="D287" s="1263"/>
      <c r="E287" s="1291"/>
      <c r="F287" s="1291"/>
      <c r="G287" s="1294"/>
      <c r="H287" s="1291"/>
      <c r="I287" s="1294"/>
      <c r="J287" s="1244"/>
      <c r="K287" s="1294"/>
      <c r="L287" s="1244"/>
      <c r="M287" s="1294"/>
      <c r="N287" s="1291"/>
      <c r="O287" s="1294"/>
      <c r="P287" s="1244"/>
      <c r="Q287" s="1294"/>
      <c r="R287" s="1244"/>
      <c r="S287" s="1294"/>
      <c r="T287" s="1291"/>
      <c r="U287" s="1294"/>
      <c r="V287" s="1244"/>
      <c r="W287" s="1294"/>
      <c r="X287" s="1244"/>
      <c r="Y287" s="1294"/>
      <c r="Z287" s="1291"/>
      <c r="AA287" s="1294"/>
      <c r="AB287" s="1244"/>
      <c r="AC287" s="1294"/>
      <c r="AD287" s="1244"/>
      <c r="AE287" s="1294"/>
      <c r="AF287" s="1294"/>
      <c r="AG287" s="1291"/>
    </row>
    <row r="288" spans="1:33" s="173" customFormat="1" ht="15">
      <c r="A288" s="1263"/>
      <c r="B288" s="1273"/>
      <c r="C288" s="1263"/>
      <c r="D288" s="1263"/>
      <c r="E288" s="1291"/>
      <c r="F288" s="1291"/>
      <c r="G288" s="1294"/>
      <c r="H288" s="1291"/>
      <c r="I288" s="1294"/>
      <c r="J288" s="1244"/>
      <c r="K288" s="1294"/>
      <c r="L288" s="1244"/>
      <c r="M288" s="1294"/>
      <c r="N288" s="1291"/>
      <c r="O288" s="1294"/>
      <c r="P288" s="1244"/>
      <c r="Q288" s="1294"/>
      <c r="R288" s="1244"/>
      <c r="S288" s="1294"/>
      <c r="T288" s="1291"/>
      <c r="U288" s="1294"/>
      <c r="V288" s="1244"/>
      <c r="W288" s="1294"/>
      <c r="X288" s="1244"/>
      <c r="Y288" s="1294"/>
      <c r="Z288" s="1291"/>
      <c r="AA288" s="1294"/>
      <c r="AB288" s="1244"/>
      <c r="AC288" s="1294"/>
      <c r="AD288" s="1244"/>
      <c r="AE288" s="1294"/>
      <c r="AF288" s="1294"/>
      <c r="AG288" s="1291"/>
    </row>
    <row r="289" spans="1:33" s="173" customFormat="1">
      <c r="A289" s="1291"/>
      <c r="B289" s="1291"/>
      <c r="C289" s="1291"/>
      <c r="D289" s="1291"/>
      <c r="E289" s="1291"/>
      <c r="F289" s="1291"/>
      <c r="G289" s="1294"/>
      <c r="H289" s="1291"/>
      <c r="I289" s="1294"/>
      <c r="J289" s="1244"/>
      <c r="K289" s="1294"/>
      <c r="L289" s="1244"/>
      <c r="M289" s="1294"/>
      <c r="N289" s="1291"/>
      <c r="O289" s="1294"/>
      <c r="P289" s="1244"/>
      <c r="Q289" s="1294"/>
      <c r="R289" s="1244"/>
      <c r="S289" s="1294"/>
      <c r="T289" s="1291"/>
      <c r="U289" s="1294"/>
      <c r="V289" s="1244"/>
      <c r="W289" s="1294"/>
      <c r="X289" s="1244"/>
      <c r="Y289" s="1294"/>
      <c r="Z289" s="1291"/>
      <c r="AA289" s="1294"/>
      <c r="AB289" s="1244"/>
      <c r="AC289" s="1294"/>
      <c r="AD289" s="1244"/>
      <c r="AE289" s="1294"/>
      <c r="AF289" s="1294"/>
      <c r="AG289" s="1291"/>
    </row>
    <row r="290" spans="1:33" s="173" customFormat="1">
      <c r="A290" s="1277"/>
      <c r="B290" s="1277"/>
      <c r="C290" s="1277"/>
      <c r="D290" s="1277"/>
      <c r="E290" s="1291"/>
      <c r="F290" s="1291"/>
      <c r="G290" s="1294"/>
      <c r="H290" s="1291"/>
      <c r="I290" s="1294"/>
      <c r="J290" s="1244"/>
      <c r="K290" s="1294"/>
      <c r="L290" s="1244"/>
      <c r="M290" s="1294"/>
      <c r="N290" s="1291"/>
      <c r="O290" s="1294"/>
      <c r="P290" s="1244"/>
      <c r="Q290" s="1294"/>
      <c r="R290" s="1244"/>
      <c r="S290" s="1294"/>
      <c r="T290" s="1291"/>
      <c r="U290" s="1294"/>
      <c r="V290" s="1244"/>
      <c r="W290" s="1294"/>
      <c r="X290" s="1244"/>
      <c r="Y290" s="1294"/>
      <c r="Z290" s="1291"/>
      <c r="AA290" s="1294"/>
      <c r="AB290" s="1244"/>
      <c r="AC290" s="1294"/>
      <c r="AD290" s="1244"/>
      <c r="AE290" s="1294"/>
      <c r="AF290" s="1294"/>
      <c r="AG290" s="1291"/>
    </row>
    <row r="291" spans="1:33" s="173" customFormat="1">
      <c r="A291" s="1261"/>
      <c r="B291" s="1261"/>
      <c r="C291" s="1261"/>
      <c r="D291" s="1261"/>
      <c r="E291" s="1291"/>
      <c r="F291" s="1291"/>
      <c r="G291" s="1294"/>
      <c r="H291" s="1291"/>
      <c r="I291" s="1294"/>
      <c r="J291" s="1244"/>
      <c r="K291" s="1294"/>
      <c r="L291" s="1244"/>
      <c r="M291" s="1294"/>
      <c r="N291" s="1291"/>
      <c r="O291" s="1294"/>
      <c r="P291" s="1244"/>
      <c r="Q291" s="1294"/>
      <c r="R291" s="1244"/>
      <c r="S291" s="1294"/>
      <c r="T291" s="1291"/>
      <c r="U291" s="1294"/>
      <c r="V291" s="1244"/>
      <c r="W291" s="1294"/>
      <c r="X291" s="1244"/>
      <c r="Y291" s="1294"/>
      <c r="Z291" s="1291"/>
      <c r="AA291" s="1294"/>
      <c r="AB291" s="1244"/>
      <c r="AC291" s="1294"/>
      <c r="AD291" s="1244"/>
      <c r="AE291" s="1294"/>
      <c r="AF291" s="1294"/>
      <c r="AG291" s="1291"/>
    </row>
    <row r="292" spans="1:33" s="173" customFormat="1">
      <c r="A292" s="1263"/>
      <c r="B292" s="1263"/>
      <c r="C292" s="1260"/>
      <c r="D292" s="1263"/>
      <c r="E292" s="1291"/>
      <c r="F292" s="1291"/>
      <c r="G292" s="1294"/>
      <c r="H292" s="1291"/>
      <c r="I292" s="1294"/>
      <c r="J292" s="1244"/>
      <c r="K292" s="1294"/>
      <c r="L292" s="1244"/>
      <c r="M292" s="1294"/>
      <c r="N292" s="1291"/>
      <c r="O292" s="1294"/>
      <c r="P292" s="1244"/>
      <c r="Q292" s="1294"/>
      <c r="R292" s="1244"/>
      <c r="S292" s="1294"/>
      <c r="T292" s="1291"/>
      <c r="U292" s="1294"/>
      <c r="V292" s="1244"/>
      <c r="W292" s="1294"/>
      <c r="X292" s="1244"/>
      <c r="Y292" s="1294"/>
      <c r="Z292" s="1291"/>
      <c r="AA292" s="1294"/>
      <c r="AB292" s="1244"/>
      <c r="AC292" s="1294"/>
      <c r="AD292" s="1244"/>
      <c r="AE292" s="1294"/>
      <c r="AF292" s="1294"/>
      <c r="AG292" s="1291"/>
    </row>
    <row r="293" spans="1:33" s="173" customFormat="1">
      <c r="A293" s="1263"/>
      <c r="B293" s="1263"/>
      <c r="C293" s="1263"/>
      <c r="D293" s="1263"/>
      <c r="E293" s="1291"/>
      <c r="F293" s="1291"/>
      <c r="G293" s="1294"/>
      <c r="H293" s="1291"/>
      <c r="I293" s="1294"/>
      <c r="J293" s="1244"/>
      <c r="K293" s="1294"/>
      <c r="L293" s="1244"/>
      <c r="M293" s="1294"/>
      <c r="N293" s="1291"/>
      <c r="O293" s="1294"/>
      <c r="P293" s="1244"/>
      <c r="Q293" s="1294"/>
      <c r="R293" s="1244"/>
      <c r="S293" s="1294"/>
      <c r="T293" s="1291"/>
      <c r="U293" s="1294"/>
      <c r="V293" s="1244"/>
      <c r="W293" s="1294"/>
      <c r="X293" s="1244"/>
      <c r="Y293" s="1294"/>
      <c r="Z293" s="1291"/>
      <c r="AA293" s="1294"/>
      <c r="AB293" s="1244"/>
      <c r="AC293" s="1294"/>
      <c r="AD293" s="1244"/>
      <c r="AE293" s="1294"/>
      <c r="AF293" s="1294"/>
      <c r="AG293" s="1291"/>
    </row>
    <row r="294" spans="1:33" s="173" customFormat="1" ht="15">
      <c r="A294" s="1263"/>
      <c r="B294" s="1273"/>
      <c r="C294" s="1263"/>
      <c r="D294" s="1263"/>
      <c r="E294" s="1291"/>
      <c r="F294" s="1291"/>
      <c r="G294" s="1294"/>
      <c r="H294" s="1291"/>
      <c r="I294" s="1294"/>
      <c r="J294" s="1244"/>
      <c r="K294" s="1294"/>
      <c r="L294" s="1244"/>
      <c r="M294" s="1294"/>
      <c r="N294" s="1291"/>
      <c r="O294" s="1294"/>
      <c r="P294" s="1244"/>
      <c r="Q294" s="1294"/>
      <c r="R294" s="1244"/>
      <c r="S294" s="1294"/>
      <c r="T294" s="1291"/>
      <c r="U294" s="1294"/>
      <c r="V294" s="1244"/>
      <c r="W294" s="1294"/>
      <c r="X294" s="1244"/>
      <c r="Y294" s="1294"/>
      <c r="Z294" s="1291"/>
      <c r="AA294" s="1294"/>
      <c r="AB294" s="1244"/>
      <c r="AC294" s="1294"/>
      <c r="AD294" s="1244"/>
      <c r="AE294" s="1294"/>
      <c r="AF294" s="1294"/>
      <c r="AG294" s="1291"/>
    </row>
    <row r="295" spans="1:33" s="173" customFormat="1">
      <c r="A295" s="1263"/>
      <c r="B295" s="1263"/>
      <c r="C295" s="1263"/>
      <c r="D295" s="1263"/>
      <c r="E295" s="1291"/>
      <c r="F295" s="1291"/>
      <c r="G295" s="1294"/>
      <c r="H295" s="1291"/>
      <c r="I295" s="1294"/>
      <c r="J295" s="1244"/>
      <c r="K295" s="1294"/>
      <c r="L295" s="1244"/>
      <c r="M295" s="1294"/>
      <c r="N295" s="1291"/>
      <c r="O295" s="1294"/>
      <c r="P295" s="1244"/>
      <c r="Q295" s="1294"/>
      <c r="R295" s="1244"/>
      <c r="S295" s="1294"/>
      <c r="T295" s="1291"/>
      <c r="U295" s="1294"/>
      <c r="V295" s="1244"/>
      <c r="W295" s="1294"/>
      <c r="X295" s="1244"/>
      <c r="Y295" s="1294"/>
      <c r="Z295" s="1291"/>
      <c r="AA295" s="1294"/>
      <c r="AB295" s="1244"/>
      <c r="AC295" s="1294"/>
      <c r="AD295" s="1244"/>
      <c r="AE295" s="1294"/>
      <c r="AF295" s="1294"/>
      <c r="AG295" s="1291"/>
    </row>
    <row r="296" spans="1:33" s="173" customFormat="1">
      <c r="A296" s="1303"/>
      <c r="B296" s="1303"/>
      <c r="C296" s="1303"/>
      <c r="D296" s="1303"/>
      <c r="E296" s="1291"/>
      <c r="F296" s="1291"/>
      <c r="G296" s="1294"/>
      <c r="H296" s="1291"/>
      <c r="I296" s="1294"/>
      <c r="J296" s="1244"/>
      <c r="K296" s="1294"/>
      <c r="L296" s="1244"/>
      <c r="M296" s="1294"/>
      <c r="N296" s="1291"/>
      <c r="O296" s="1294"/>
      <c r="P296" s="1244"/>
      <c r="Q296" s="1294"/>
      <c r="R296" s="1244"/>
      <c r="S296" s="1294"/>
      <c r="T296" s="1291"/>
      <c r="U296" s="1294"/>
      <c r="V296" s="1244"/>
      <c r="W296" s="1294"/>
      <c r="X296" s="1244"/>
      <c r="Y296" s="1294"/>
      <c r="Z296" s="1291"/>
      <c r="AA296" s="1294"/>
      <c r="AB296" s="1244"/>
      <c r="AC296" s="1294"/>
      <c r="AD296" s="1244"/>
      <c r="AE296" s="1294"/>
      <c r="AF296" s="1294"/>
      <c r="AG296" s="1291"/>
    </row>
    <row r="297" spans="1:33" s="173" customFormat="1">
      <c r="A297" s="1261"/>
      <c r="B297" s="1261"/>
      <c r="C297" s="1261"/>
      <c r="D297" s="1261"/>
      <c r="E297" s="1291"/>
      <c r="F297" s="1291"/>
      <c r="G297" s="1294"/>
      <c r="H297" s="1291"/>
      <c r="I297" s="1294"/>
      <c r="J297" s="1244"/>
      <c r="K297" s="1294"/>
      <c r="L297" s="1244"/>
      <c r="M297" s="1294"/>
      <c r="N297" s="1291"/>
      <c r="O297" s="1294"/>
      <c r="P297" s="1244"/>
      <c r="Q297" s="1294"/>
      <c r="R297" s="1244"/>
      <c r="S297" s="1294"/>
      <c r="T297" s="1291"/>
      <c r="U297" s="1294"/>
      <c r="V297" s="1244"/>
      <c r="W297" s="1294"/>
      <c r="X297" s="1244"/>
      <c r="Y297" s="1294"/>
      <c r="Z297" s="1291"/>
      <c r="AA297" s="1294"/>
      <c r="AB297" s="1244"/>
      <c r="AC297" s="1294"/>
      <c r="AD297" s="1244"/>
      <c r="AE297" s="1294"/>
      <c r="AF297" s="1294"/>
      <c r="AG297" s="1291"/>
    </row>
    <row r="298" spans="1:33" s="173" customFormat="1">
      <c r="A298" s="1263"/>
      <c r="B298" s="1263"/>
      <c r="C298" s="1260"/>
      <c r="D298" s="1263"/>
      <c r="E298" s="1291"/>
      <c r="F298" s="1291"/>
      <c r="G298" s="1294"/>
      <c r="H298" s="1291"/>
      <c r="I298" s="1294"/>
      <c r="J298" s="1244"/>
      <c r="K298" s="1294"/>
      <c r="L298" s="1244"/>
      <c r="M298" s="1294"/>
      <c r="N298" s="1291"/>
      <c r="O298" s="1294"/>
      <c r="P298" s="1244"/>
      <c r="Q298" s="1294"/>
      <c r="R298" s="1244"/>
      <c r="S298" s="1294"/>
      <c r="T298" s="1291"/>
      <c r="U298" s="1294"/>
      <c r="V298" s="1244"/>
      <c r="W298" s="1294"/>
      <c r="X298" s="1244"/>
      <c r="Y298" s="1294"/>
      <c r="Z298" s="1291"/>
      <c r="AA298" s="1294"/>
      <c r="AB298" s="1244"/>
      <c r="AC298" s="1294"/>
      <c r="AD298" s="1244"/>
      <c r="AE298" s="1294"/>
      <c r="AF298" s="1294"/>
      <c r="AG298" s="1291"/>
    </row>
    <row r="299" spans="1:33" s="173" customFormat="1">
      <c r="A299" s="1263"/>
      <c r="B299" s="1263"/>
      <c r="C299" s="1263"/>
      <c r="D299" s="1263"/>
      <c r="E299" s="1291"/>
      <c r="F299" s="1291"/>
      <c r="G299" s="1294"/>
      <c r="H299" s="1291"/>
      <c r="I299" s="1294"/>
      <c r="J299" s="1244"/>
      <c r="K299" s="1294"/>
      <c r="L299" s="1244"/>
      <c r="M299" s="1294"/>
      <c r="N299" s="1291"/>
      <c r="O299" s="1294"/>
      <c r="P299" s="1244"/>
      <c r="Q299" s="1294"/>
      <c r="R299" s="1244"/>
      <c r="S299" s="1294"/>
      <c r="T299" s="1291"/>
      <c r="U299" s="1294"/>
      <c r="V299" s="1244"/>
      <c r="W299" s="1294"/>
      <c r="X299" s="1244"/>
      <c r="Y299" s="1294"/>
      <c r="Z299" s="1291"/>
      <c r="AA299" s="1294"/>
      <c r="AB299" s="1244"/>
      <c r="AC299" s="1294"/>
      <c r="AD299" s="1244"/>
      <c r="AE299" s="1294"/>
      <c r="AF299" s="1294"/>
      <c r="AG299" s="1291"/>
    </row>
    <row r="300" spans="1:33" s="173" customFormat="1" ht="15">
      <c r="A300" s="1263"/>
      <c r="B300" s="1273"/>
      <c r="C300" s="1263"/>
      <c r="D300" s="1263"/>
      <c r="E300" s="1291"/>
      <c r="F300" s="1291"/>
      <c r="G300" s="1294"/>
      <c r="H300" s="1291"/>
      <c r="I300" s="1294"/>
      <c r="J300" s="1244"/>
      <c r="K300" s="1294"/>
      <c r="L300" s="1244"/>
      <c r="M300" s="1294"/>
      <c r="N300" s="1291"/>
      <c r="O300" s="1294"/>
      <c r="P300" s="1244"/>
      <c r="Q300" s="1294"/>
      <c r="R300" s="1244"/>
      <c r="S300" s="1294"/>
      <c r="T300" s="1291"/>
      <c r="U300" s="1294"/>
      <c r="V300" s="1244"/>
      <c r="W300" s="1294"/>
      <c r="X300" s="1244"/>
      <c r="Y300" s="1294"/>
      <c r="Z300" s="1291"/>
      <c r="AA300" s="1294"/>
      <c r="AB300" s="1244"/>
      <c r="AC300" s="1294"/>
      <c r="AD300" s="1244"/>
      <c r="AE300" s="1294"/>
      <c r="AF300" s="1294"/>
      <c r="AG300" s="1291"/>
    </row>
    <row r="301" spans="1:33" s="173" customFormat="1">
      <c r="A301" s="1291"/>
      <c r="B301" s="1291"/>
      <c r="C301" s="1291"/>
      <c r="D301" s="1291"/>
      <c r="E301" s="1291"/>
      <c r="F301" s="1291"/>
      <c r="G301" s="1294"/>
      <c r="H301" s="1291"/>
      <c r="I301" s="1294"/>
      <c r="J301" s="1244"/>
      <c r="K301" s="1294"/>
      <c r="L301" s="1244"/>
      <c r="M301" s="1294"/>
      <c r="N301" s="1291"/>
      <c r="O301" s="1294"/>
      <c r="P301" s="1244"/>
      <c r="Q301" s="1294"/>
      <c r="R301" s="1244"/>
      <c r="S301" s="1294"/>
      <c r="T301" s="1291"/>
      <c r="U301" s="1294"/>
      <c r="V301" s="1244"/>
      <c r="W301" s="1294"/>
      <c r="X301" s="1244"/>
      <c r="Y301" s="1294"/>
      <c r="Z301" s="1291"/>
      <c r="AA301" s="1294"/>
      <c r="AB301" s="1244"/>
      <c r="AC301" s="1294"/>
      <c r="AD301" s="1244"/>
      <c r="AE301" s="1294"/>
      <c r="AF301" s="1294"/>
      <c r="AG301" s="1291"/>
    </row>
    <row r="302" spans="1:33" s="173" customFormat="1">
      <c r="A302" s="1291"/>
      <c r="B302" s="1291"/>
      <c r="C302" s="1291"/>
      <c r="D302" s="1291"/>
      <c r="E302" s="1291"/>
      <c r="F302" s="1291"/>
      <c r="G302" s="1294"/>
      <c r="H302" s="1291"/>
      <c r="I302" s="1294"/>
      <c r="J302" s="1244"/>
      <c r="K302" s="1294"/>
      <c r="L302" s="1244"/>
      <c r="M302" s="1294"/>
      <c r="N302" s="1291"/>
      <c r="O302" s="1294"/>
      <c r="P302" s="1244"/>
      <c r="Q302" s="1294"/>
      <c r="R302" s="1244"/>
      <c r="S302" s="1294"/>
      <c r="T302" s="1291"/>
      <c r="U302" s="1294"/>
      <c r="V302" s="1244"/>
      <c r="W302" s="1294"/>
      <c r="X302" s="1244"/>
      <c r="Y302" s="1294"/>
      <c r="Z302" s="1291"/>
      <c r="AA302" s="1294"/>
      <c r="AB302" s="1244"/>
      <c r="AC302" s="1294"/>
      <c r="AD302" s="1244"/>
      <c r="AE302" s="1294"/>
      <c r="AF302" s="1294"/>
      <c r="AG302" s="1291"/>
    </row>
    <row r="303" spans="1:33" s="173" customFormat="1">
      <c r="A303" s="1291"/>
      <c r="B303" s="1291"/>
      <c r="C303" s="1291"/>
      <c r="D303" s="1291"/>
      <c r="E303" s="1291"/>
      <c r="F303" s="1291"/>
      <c r="G303" s="1294"/>
      <c r="H303" s="1291"/>
      <c r="I303" s="1294"/>
      <c r="J303" s="1244"/>
      <c r="K303" s="1294"/>
      <c r="L303" s="1244"/>
      <c r="M303" s="1294"/>
      <c r="N303" s="1291"/>
      <c r="O303" s="1294"/>
      <c r="P303" s="1244"/>
      <c r="Q303" s="1294"/>
      <c r="R303" s="1244"/>
      <c r="S303" s="1294"/>
      <c r="T303" s="1291"/>
      <c r="U303" s="1294"/>
      <c r="V303" s="1244"/>
      <c r="W303" s="1294"/>
      <c r="X303" s="1244"/>
      <c r="Y303" s="1294"/>
      <c r="Z303" s="1291"/>
      <c r="AA303" s="1294"/>
      <c r="AB303" s="1244"/>
      <c r="AC303" s="1294"/>
      <c r="AD303" s="1244"/>
      <c r="AE303" s="1294"/>
      <c r="AF303" s="1294"/>
      <c r="AG303" s="1291"/>
    </row>
    <row r="304" spans="1:33" s="173" customFormat="1">
      <c r="A304" s="1291"/>
      <c r="B304" s="1291"/>
      <c r="C304" s="1291"/>
      <c r="D304" s="1291"/>
      <c r="E304" s="1291"/>
      <c r="F304" s="1291"/>
      <c r="G304" s="1294"/>
      <c r="H304" s="1291"/>
      <c r="I304" s="1294"/>
      <c r="J304" s="1244"/>
      <c r="K304" s="1294"/>
      <c r="L304" s="1244"/>
      <c r="M304" s="1294"/>
      <c r="N304" s="1291"/>
      <c r="O304" s="1294"/>
      <c r="P304" s="1244"/>
      <c r="Q304" s="1294"/>
      <c r="R304" s="1244"/>
      <c r="S304" s="1294"/>
      <c r="T304" s="1291"/>
      <c r="U304" s="1294"/>
      <c r="V304" s="1244"/>
      <c r="W304" s="1294"/>
      <c r="X304" s="1244"/>
      <c r="Y304" s="1294"/>
      <c r="Z304" s="1291"/>
      <c r="AA304" s="1294"/>
      <c r="AB304" s="1244"/>
      <c r="AC304" s="1294"/>
      <c r="AD304" s="1244"/>
      <c r="AE304" s="1294"/>
      <c r="AF304" s="1294"/>
      <c r="AG304" s="1291"/>
    </row>
    <row r="305" spans="1:33" s="173" customFormat="1">
      <c r="A305" s="1291"/>
      <c r="B305" s="1291"/>
      <c r="C305" s="1291"/>
      <c r="D305" s="1291"/>
      <c r="E305" s="1291"/>
      <c r="F305" s="1291"/>
      <c r="G305" s="1294"/>
      <c r="H305" s="1291"/>
      <c r="I305" s="1294"/>
      <c r="J305" s="1244"/>
      <c r="K305" s="1294"/>
      <c r="L305" s="1244"/>
      <c r="M305" s="1294"/>
      <c r="N305" s="1291"/>
      <c r="O305" s="1294"/>
      <c r="P305" s="1244"/>
      <c r="Q305" s="1294"/>
      <c r="R305" s="1244"/>
      <c r="S305" s="1294"/>
      <c r="T305" s="1291"/>
      <c r="U305" s="1294"/>
      <c r="V305" s="1244"/>
      <c r="W305" s="1294"/>
      <c r="X305" s="1244"/>
      <c r="Y305" s="1294"/>
      <c r="Z305" s="1291"/>
      <c r="AA305" s="1294"/>
      <c r="AB305" s="1244"/>
      <c r="AC305" s="1294"/>
      <c r="AD305" s="1244"/>
      <c r="AE305" s="1294"/>
      <c r="AF305" s="1294"/>
      <c r="AG305" s="1291"/>
    </row>
    <row r="306" spans="1:33" s="173" customFormat="1">
      <c r="A306" s="1291"/>
      <c r="B306" s="1291"/>
      <c r="C306" s="1291"/>
      <c r="D306" s="1291"/>
      <c r="E306" s="1291"/>
      <c r="F306" s="1291"/>
      <c r="G306" s="1294"/>
      <c r="H306" s="1291"/>
      <c r="I306" s="1294"/>
      <c r="J306" s="1244"/>
      <c r="K306" s="1294"/>
      <c r="L306" s="1244"/>
      <c r="M306" s="1294"/>
      <c r="N306" s="1291"/>
      <c r="O306" s="1294"/>
      <c r="P306" s="1244"/>
      <c r="Q306" s="1294"/>
      <c r="R306" s="1244"/>
      <c r="S306" s="1294"/>
      <c r="T306" s="1291"/>
      <c r="U306" s="1294"/>
      <c r="V306" s="1244"/>
      <c r="W306" s="1294"/>
      <c r="X306" s="1244"/>
      <c r="Y306" s="1294"/>
      <c r="Z306" s="1291"/>
      <c r="AA306" s="1294"/>
      <c r="AB306" s="1244"/>
      <c r="AC306" s="1294"/>
      <c r="AD306" s="1244"/>
      <c r="AE306" s="1294"/>
      <c r="AF306" s="1294"/>
      <c r="AG306" s="1291"/>
    </row>
    <row r="307" spans="1:33" s="173" customFormat="1">
      <c r="A307" s="1291"/>
      <c r="B307" s="1291"/>
      <c r="C307" s="1291"/>
      <c r="D307" s="1291"/>
      <c r="E307" s="1291"/>
      <c r="F307" s="1291"/>
      <c r="G307" s="1294"/>
      <c r="H307" s="1291"/>
      <c r="I307" s="1294"/>
      <c r="J307" s="1244"/>
      <c r="K307" s="1294"/>
      <c r="L307" s="1244"/>
      <c r="M307" s="1294"/>
      <c r="N307" s="1291"/>
      <c r="O307" s="1294"/>
      <c r="P307" s="1244"/>
      <c r="Q307" s="1294"/>
      <c r="R307" s="1244"/>
      <c r="S307" s="1294"/>
      <c r="T307" s="1291"/>
      <c r="U307" s="1294"/>
      <c r="V307" s="1244"/>
      <c r="W307" s="1294"/>
      <c r="X307" s="1244"/>
      <c r="Y307" s="1294"/>
      <c r="Z307" s="1291"/>
      <c r="AA307" s="1294"/>
      <c r="AB307" s="1244"/>
      <c r="AC307" s="1294"/>
      <c r="AD307" s="1244"/>
      <c r="AE307" s="1294"/>
      <c r="AF307" s="1294"/>
      <c r="AG307" s="1291"/>
    </row>
    <row r="308" spans="1:33" s="173" customFormat="1">
      <c r="A308" s="1291"/>
      <c r="B308" s="1291"/>
      <c r="C308" s="1291"/>
      <c r="D308" s="1291"/>
      <c r="E308" s="1291"/>
      <c r="F308" s="1291"/>
      <c r="G308" s="1294"/>
      <c r="H308" s="1291"/>
      <c r="I308" s="1294"/>
      <c r="J308" s="1244"/>
      <c r="K308" s="1294"/>
      <c r="L308" s="1244"/>
      <c r="M308" s="1294"/>
      <c r="N308" s="1291"/>
      <c r="O308" s="1294"/>
      <c r="P308" s="1244"/>
      <c r="Q308" s="1294"/>
      <c r="R308" s="1244"/>
      <c r="S308" s="1294"/>
      <c r="T308" s="1291"/>
      <c r="U308" s="1294"/>
      <c r="V308" s="1244"/>
      <c r="W308" s="1294"/>
      <c r="X308" s="1244"/>
      <c r="Y308" s="1294"/>
      <c r="Z308" s="1291"/>
      <c r="AA308" s="1294"/>
      <c r="AB308" s="1244"/>
      <c r="AC308" s="1294"/>
      <c r="AD308" s="1244"/>
      <c r="AE308" s="1294"/>
      <c r="AF308" s="1294"/>
      <c r="AG308" s="1291"/>
    </row>
    <row r="309" spans="1:33" s="173" customFormat="1">
      <c r="A309" s="1291"/>
      <c r="B309" s="1291"/>
      <c r="C309" s="1291"/>
      <c r="D309" s="1291"/>
      <c r="E309" s="1291"/>
      <c r="F309" s="1291"/>
      <c r="G309" s="1294"/>
      <c r="H309" s="1291"/>
      <c r="I309" s="1294"/>
      <c r="J309" s="1244"/>
      <c r="K309" s="1294"/>
      <c r="L309" s="1244"/>
      <c r="M309" s="1294"/>
      <c r="N309" s="1291"/>
      <c r="O309" s="1294"/>
      <c r="P309" s="1244"/>
      <c r="Q309" s="1294"/>
      <c r="R309" s="1244"/>
      <c r="S309" s="1294"/>
      <c r="T309" s="1291"/>
      <c r="U309" s="1294"/>
      <c r="V309" s="1244"/>
      <c r="W309" s="1294"/>
      <c r="X309" s="1244"/>
      <c r="Y309" s="1294"/>
      <c r="Z309" s="1291"/>
      <c r="AA309" s="1294"/>
      <c r="AB309" s="1244"/>
      <c r="AC309" s="1294"/>
      <c r="AD309" s="1244"/>
      <c r="AE309" s="1294"/>
      <c r="AF309" s="1294"/>
      <c r="AG309" s="1291"/>
    </row>
    <row r="310" spans="1:33" s="173" customFormat="1">
      <c r="A310" s="1291"/>
      <c r="B310" s="1291"/>
      <c r="C310" s="1291"/>
      <c r="D310" s="1291"/>
      <c r="E310" s="1291"/>
      <c r="F310" s="1291"/>
      <c r="G310" s="1294"/>
      <c r="H310" s="1291"/>
      <c r="I310" s="1294"/>
      <c r="J310" s="1244"/>
      <c r="K310" s="1294"/>
      <c r="L310" s="1244"/>
      <c r="M310" s="1294"/>
      <c r="N310" s="1291"/>
      <c r="O310" s="1294"/>
      <c r="P310" s="1244"/>
      <c r="Q310" s="1294"/>
      <c r="R310" s="1244"/>
      <c r="S310" s="1294"/>
      <c r="T310" s="1291"/>
      <c r="U310" s="1294"/>
      <c r="V310" s="1244"/>
      <c r="W310" s="1294"/>
      <c r="X310" s="1244"/>
      <c r="Y310" s="1294"/>
      <c r="Z310" s="1291"/>
      <c r="AA310" s="1294"/>
      <c r="AB310" s="1244"/>
      <c r="AC310" s="1294"/>
      <c r="AD310" s="1244"/>
      <c r="AE310" s="1294"/>
      <c r="AF310" s="1294"/>
      <c r="AG310" s="1291"/>
    </row>
    <row r="311" spans="1:33" s="173" customFormat="1">
      <c r="A311" s="1291"/>
      <c r="B311" s="1291"/>
      <c r="C311" s="1291"/>
      <c r="D311" s="1291"/>
      <c r="E311" s="1291"/>
      <c r="F311" s="1291"/>
      <c r="G311" s="1294"/>
      <c r="H311" s="1291"/>
      <c r="I311" s="1294"/>
      <c r="J311" s="1244"/>
      <c r="K311" s="1294"/>
      <c r="L311" s="1244"/>
      <c r="M311" s="1294"/>
      <c r="N311" s="1291"/>
      <c r="O311" s="1294"/>
      <c r="P311" s="1244"/>
      <c r="Q311" s="1294"/>
      <c r="R311" s="1244"/>
      <c r="S311" s="1294"/>
      <c r="T311" s="1291"/>
      <c r="U311" s="1294"/>
      <c r="V311" s="1244"/>
      <c r="W311" s="1294"/>
      <c r="X311" s="1244"/>
      <c r="Y311" s="1294"/>
      <c r="Z311" s="1291"/>
      <c r="AA311" s="1294"/>
      <c r="AB311" s="1244"/>
      <c r="AC311" s="1294"/>
      <c r="AD311" s="1244"/>
      <c r="AE311" s="1294"/>
      <c r="AF311" s="1294"/>
      <c r="AG311" s="1291"/>
    </row>
    <row r="312" spans="1:33" s="173" customFormat="1">
      <c r="A312" s="1291"/>
      <c r="B312" s="1291"/>
      <c r="C312" s="1291"/>
      <c r="D312" s="1291"/>
      <c r="E312" s="1291"/>
      <c r="F312" s="1291"/>
      <c r="G312" s="1294"/>
      <c r="H312" s="1291"/>
      <c r="I312" s="1294"/>
      <c r="J312" s="1244"/>
      <c r="K312" s="1294"/>
      <c r="L312" s="1244"/>
      <c r="M312" s="1294"/>
      <c r="N312" s="1291"/>
      <c r="O312" s="1294"/>
      <c r="P312" s="1244"/>
      <c r="Q312" s="1294"/>
      <c r="R312" s="1244"/>
      <c r="S312" s="1294"/>
      <c r="T312" s="1291"/>
      <c r="U312" s="1294"/>
      <c r="V312" s="1244"/>
      <c r="W312" s="1294"/>
      <c r="X312" s="1244"/>
      <c r="Y312" s="1294"/>
      <c r="Z312" s="1291"/>
      <c r="AA312" s="1294"/>
      <c r="AB312" s="1244"/>
      <c r="AC312" s="1294"/>
      <c r="AD312" s="1244"/>
      <c r="AE312" s="1294"/>
      <c r="AF312" s="1294"/>
      <c r="AG312" s="1291"/>
    </row>
    <row r="313" spans="1:33" s="173" customFormat="1">
      <c r="A313" s="1291"/>
      <c r="B313" s="1291"/>
      <c r="C313" s="1291"/>
      <c r="D313" s="1291"/>
      <c r="E313" s="1291"/>
      <c r="F313" s="1291"/>
      <c r="G313" s="1294"/>
      <c r="H313" s="1291"/>
      <c r="I313" s="1294"/>
      <c r="J313" s="1244"/>
      <c r="K313" s="1294"/>
      <c r="L313" s="1244"/>
      <c r="M313" s="1294"/>
      <c r="N313" s="1291"/>
      <c r="O313" s="1294"/>
      <c r="P313" s="1244"/>
      <c r="Q313" s="1294"/>
      <c r="R313" s="1244"/>
      <c r="S313" s="1294"/>
      <c r="T313" s="1291"/>
      <c r="U313" s="1294"/>
      <c r="V313" s="1244"/>
      <c r="W313" s="1294"/>
      <c r="X313" s="1244"/>
      <c r="Y313" s="1294"/>
      <c r="Z313" s="1291"/>
      <c r="AA313" s="1294"/>
      <c r="AB313" s="1244"/>
      <c r="AC313" s="1294"/>
      <c r="AD313" s="1244"/>
      <c r="AE313" s="1294"/>
      <c r="AF313" s="1294"/>
      <c r="AG313" s="1291"/>
    </row>
    <row r="314" spans="1:33" s="173" customFormat="1">
      <c r="A314" s="1291"/>
      <c r="B314" s="1291"/>
      <c r="C314" s="1291"/>
      <c r="D314" s="1291"/>
      <c r="E314" s="1291"/>
      <c r="F314" s="1291"/>
      <c r="G314" s="1294"/>
      <c r="H314" s="1291"/>
      <c r="I314" s="1294"/>
      <c r="J314" s="1244"/>
      <c r="K314" s="1294"/>
      <c r="L314" s="1244"/>
      <c r="M314" s="1294"/>
      <c r="N314" s="1291"/>
      <c r="O314" s="1294"/>
      <c r="P314" s="1244"/>
      <c r="Q314" s="1294"/>
      <c r="R314" s="1244"/>
      <c r="S314" s="1294"/>
      <c r="T314" s="1291"/>
      <c r="U314" s="1294"/>
      <c r="V314" s="1244"/>
      <c r="W314" s="1294"/>
      <c r="X314" s="1244"/>
      <c r="Y314" s="1294"/>
      <c r="Z314" s="1291"/>
      <c r="AA314" s="1294"/>
      <c r="AB314" s="1244"/>
      <c r="AC314" s="1294"/>
      <c r="AD314" s="1244"/>
      <c r="AE314" s="1294"/>
      <c r="AF314" s="1294"/>
      <c r="AG314" s="1291"/>
    </row>
    <row r="315" spans="1:33" s="173" customFormat="1">
      <c r="A315" s="1291"/>
      <c r="B315" s="1291"/>
      <c r="C315" s="1291"/>
      <c r="D315" s="1291"/>
      <c r="E315" s="1291"/>
      <c r="F315" s="1291"/>
      <c r="G315" s="1294"/>
      <c r="H315" s="1291"/>
      <c r="I315" s="1294"/>
      <c r="J315" s="1244"/>
      <c r="K315" s="1294"/>
      <c r="L315" s="1244"/>
      <c r="M315" s="1294"/>
      <c r="N315" s="1291"/>
      <c r="O315" s="1294"/>
      <c r="P315" s="1244"/>
      <c r="Q315" s="1294"/>
      <c r="R315" s="1244"/>
      <c r="S315" s="1294"/>
      <c r="T315" s="1291"/>
      <c r="U315" s="1294"/>
      <c r="V315" s="1244"/>
      <c r="W315" s="1294"/>
      <c r="X315" s="1244"/>
      <c r="Y315" s="1294"/>
      <c r="Z315" s="1291"/>
      <c r="AA315" s="1294"/>
      <c r="AB315" s="1244"/>
      <c r="AC315" s="1294"/>
      <c r="AD315" s="1244"/>
      <c r="AE315" s="1294"/>
      <c r="AF315" s="1294"/>
      <c r="AG315" s="1291"/>
    </row>
    <row r="316" spans="1:33" s="173" customFormat="1">
      <c r="A316" s="1291"/>
      <c r="B316" s="1291"/>
      <c r="C316" s="1291"/>
      <c r="D316" s="1291"/>
      <c r="E316" s="1291"/>
      <c r="F316" s="1291"/>
      <c r="G316" s="1294"/>
      <c r="H316" s="1291"/>
      <c r="I316" s="1294"/>
      <c r="J316" s="1244"/>
      <c r="K316" s="1294"/>
      <c r="L316" s="1244"/>
      <c r="M316" s="1294"/>
      <c r="N316" s="1291"/>
      <c r="O316" s="1294"/>
      <c r="P316" s="1244"/>
      <c r="Q316" s="1294"/>
      <c r="R316" s="1244"/>
      <c r="S316" s="1294"/>
      <c r="T316" s="1291"/>
      <c r="U316" s="1294"/>
      <c r="V316" s="1244"/>
      <c r="W316" s="1294"/>
      <c r="X316" s="1244"/>
      <c r="Y316" s="1294"/>
      <c r="Z316" s="1291"/>
      <c r="AA316" s="1294"/>
      <c r="AB316" s="1244"/>
      <c r="AC316" s="1294"/>
      <c r="AD316" s="1244"/>
      <c r="AE316" s="1294"/>
      <c r="AF316" s="1294"/>
      <c r="AG316" s="1291"/>
    </row>
    <row r="317" spans="1:33" s="173" customFormat="1">
      <c r="A317" s="1291"/>
      <c r="B317" s="1291"/>
      <c r="C317" s="1291"/>
      <c r="D317" s="1291"/>
      <c r="E317" s="1291"/>
      <c r="F317" s="1291"/>
      <c r="G317" s="1294"/>
      <c r="H317" s="1291"/>
      <c r="I317" s="1294"/>
      <c r="J317" s="1244"/>
      <c r="K317" s="1294"/>
      <c r="L317" s="1244"/>
      <c r="M317" s="1294"/>
      <c r="N317" s="1291"/>
      <c r="O317" s="1294"/>
      <c r="P317" s="1244"/>
      <c r="Q317" s="1294"/>
      <c r="R317" s="1244"/>
      <c r="S317" s="1294"/>
      <c r="T317" s="1291"/>
      <c r="U317" s="1294"/>
      <c r="V317" s="1244"/>
      <c r="W317" s="1294"/>
      <c r="X317" s="1244"/>
      <c r="Y317" s="1294"/>
      <c r="Z317" s="1291"/>
      <c r="AA317" s="1294"/>
      <c r="AB317" s="1244"/>
      <c r="AC317" s="1294"/>
      <c r="AD317" s="1244"/>
      <c r="AE317" s="1294"/>
      <c r="AF317" s="1294"/>
      <c r="AG317" s="1291"/>
    </row>
    <row r="318" spans="1:33" s="173" customFormat="1">
      <c r="A318" s="1291"/>
      <c r="B318" s="1291"/>
      <c r="C318" s="1291"/>
      <c r="D318" s="1291"/>
      <c r="E318" s="1291"/>
      <c r="F318" s="1291"/>
      <c r="G318" s="1294"/>
      <c r="H318" s="1291"/>
      <c r="I318" s="1294"/>
      <c r="J318" s="1244"/>
      <c r="K318" s="1294"/>
      <c r="L318" s="1244"/>
      <c r="M318" s="1294"/>
      <c r="N318" s="1291"/>
      <c r="O318" s="1294"/>
      <c r="P318" s="1244"/>
      <c r="Q318" s="1294"/>
      <c r="R318" s="1244"/>
      <c r="S318" s="1294"/>
      <c r="T318" s="1291"/>
      <c r="U318" s="1294"/>
      <c r="V318" s="1244"/>
      <c r="W318" s="1294"/>
      <c r="X318" s="1244"/>
      <c r="Y318" s="1294"/>
      <c r="Z318" s="1291"/>
      <c r="AA318" s="1294"/>
      <c r="AB318" s="1244"/>
      <c r="AC318" s="1294"/>
      <c r="AD318" s="1244"/>
      <c r="AE318" s="1294"/>
      <c r="AF318" s="1294"/>
      <c r="AG318" s="1291"/>
    </row>
    <row r="319" spans="1:33" s="173" customFormat="1">
      <c r="A319" s="1291"/>
      <c r="B319" s="1291"/>
      <c r="C319" s="1291"/>
      <c r="D319" s="1291"/>
      <c r="E319" s="1291"/>
      <c r="F319" s="1291"/>
      <c r="G319" s="1294"/>
      <c r="H319" s="1291"/>
      <c r="I319" s="1294"/>
      <c r="J319" s="1244"/>
      <c r="K319" s="1294"/>
      <c r="L319" s="1244"/>
      <c r="M319" s="1294"/>
      <c r="N319" s="1291"/>
      <c r="O319" s="1294"/>
      <c r="P319" s="1244"/>
      <c r="Q319" s="1294"/>
      <c r="R319" s="1244"/>
      <c r="S319" s="1294"/>
      <c r="T319" s="1291"/>
      <c r="U319" s="1294"/>
      <c r="V319" s="1244"/>
      <c r="W319" s="1294"/>
      <c r="X319" s="1244"/>
      <c r="Y319" s="1294"/>
      <c r="Z319" s="1291"/>
      <c r="AA319" s="1294"/>
      <c r="AB319" s="1244"/>
      <c r="AC319" s="1294"/>
      <c r="AD319" s="1244"/>
      <c r="AE319" s="1294"/>
      <c r="AF319" s="1294"/>
      <c r="AG319" s="1291"/>
    </row>
    <row r="320" spans="1:33" s="173" customFormat="1">
      <c r="A320" s="1291"/>
      <c r="B320" s="1291"/>
      <c r="C320" s="1291"/>
      <c r="D320" s="1291"/>
      <c r="E320" s="1291"/>
      <c r="F320" s="1291"/>
      <c r="G320" s="1294"/>
      <c r="H320" s="1291"/>
      <c r="I320" s="1294"/>
      <c r="J320" s="1244"/>
      <c r="K320" s="1294"/>
      <c r="L320" s="1244"/>
      <c r="M320" s="1294"/>
      <c r="N320" s="1291"/>
      <c r="O320" s="1294"/>
      <c r="P320" s="1244"/>
      <c r="Q320" s="1294"/>
      <c r="R320" s="1244"/>
      <c r="S320" s="1294"/>
      <c r="T320" s="1291"/>
      <c r="U320" s="1294"/>
      <c r="V320" s="1244"/>
      <c r="W320" s="1294"/>
      <c r="X320" s="1244"/>
      <c r="Y320" s="1294"/>
      <c r="Z320" s="1291"/>
      <c r="AA320" s="1294"/>
      <c r="AB320" s="1244"/>
      <c r="AC320" s="1294"/>
      <c r="AD320" s="1244"/>
      <c r="AE320" s="1294"/>
      <c r="AF320" s="1294"/>
      <c r="AG320" s="1291"/>
    </row>
    <row r="321" spans="1:33" s="173" customFormat="1">
      <c r="A321" s="1291"/>
      <c r="B321" s="1291"/>
      <c r="C321" s="1291"/>
      <c r="D321" s="1291"/>
      <c r="E321" s="1291"/>
      <c r="F321" s="1291"/>
      <c r="G321" s="1294"/>
      <c r="H321" s="1291"/>
      <c r="I321" s="1294"/>
      <c r="J321" s="1244"/>
      <c r="K321" s="1294"/>
      <c r="L321" s="1244"/>
      <c r="M321" s="1294"/>
      <c r="N321" s="1291"/>
      <c r="O321" s="1294"/>
      <c r="P321" s="1244"/>
      <c r="Q321" s="1294"/>
      <c r="R321" s="1244"/>
      <c r="S321" s="1294"/>
      <c r="T321" s="1291"/>
      <c r="U321" s="1294"/>
      <c r="V321" s="1244"/>
      <c r="W321" s="1294"/>
      <c r="X321" s="1244"/>
      <c r="Y321" s="1294"/>
      <c r="Z321" s="1291"/>
      <c r="AA321" s="1294"/>
      <c r="AB321" s="1244"/>
      <c r="AC321" s="1294"/>
      <c r="AD321" s="1244"/>
      <c r="AE321" s="1294"/>
      <c r="AF321" s="1294"/>
      <c r="AG321" s="1291"/>
    </row>
    <row r="322" spans="1:33" s="173" customFormat="1">
      <c r="A322" s="1291"/>
      <c r="B322" s="1291"/>
      <c r="C322" s="1291"/>
      <c r="D322" s="1291"/>
      <c r="E322" s="1291"/>
      <c r="F322" s="1291"/>
      <c r="G322" s="1294"/>
      <c r="H322" s="1291"/>
      <c r="I322" s="1294"/>
      <c r="J322" s="1244"/>
      <c r="K322" s="1294"/>
      <c r="L322" s="1244"/>
      <c r="M322" s="1294"/>
      <c r="N322" s="1291"/>
      <c r="O322" s="1294"/>
      <c r="P322" s="1244"/>
      <c r="Q322" s="1294"/>
      <c r="R322" s="1244"/>
      <c r="S322" s="1294"/>
      <c r="T322" s="1291"/>
      <c r="U322" s="1294"/>
      <c r="V322" s="1244"/>
      <c r="W322" s="1294"/>
      <c r="X322" s="1244"/>
      <c r="Y322" s="1294"/>
      <c r="Z322" s="1291"/>
      <c r="AA322" s="1294"/>
      <c r="AB322" s="1244"/>
      <c r="AC322" s="1294"/>
      <c r="AD322" s="1244"/>
      <c r="AE322" s="1294"/>
      <c r="AF322" s="1294"/>
      <c r="AG322" s="1291"/>
    </row>
    <row r="323" spans="1:33" s="173" customFormat="1">
      <c r="A323" s="1291"/>
      <c r="B323" s="1291"/>
      <c r="C323" s="1291"/>
      <c r="D323" s="1291"/>
      <c r="E323" s="1291"/>
      <c r="F323" s="1291"/>
      <c r="G323" s="1294"/>
      <c r="H323" s="1291"/>
      <c r="I323" s="1294"/>
      <c r="J323" s="1244"/>
      <c r="K323" s="1294"/>
      <c r="L323" s="1244"/>
      <c r="M323" s="1294"/>
      <c r="N323" s="1291"/>
      <c r="O323" s="1294"/>
      <c r="P323" s="1244"/>
      <c r="Q323" s="1294"/>
      <c r="R323" s="1244"/>
      <c r="S323" s="1294"/>
      <c r="T323" s="1291"/>
      <c r="U323" s="1294"/>
      <c r="V323" s="1244"/>
      <c r="W323" s="1294"/>
      <c r="X323" s="1244"/>
      <c r="Y323" s="1294"/>
      <c r="Z323" s="1291"/>
      <c r="AA323" s="1294"/>
      <c r="AB323" s="1244"/>
      <c r="AC323" s="1294"/>
      <c r="AD323" s="1244"/>
      <c r="AE323" s="1294"/>
      <c r="AF323" s="1294"/>
      <c r="AG323" s="1291"/>
    </row>
    <row r="324" spans="1:33" s="173" customFormat="1">
      <c r="A324" s="1291"/>
      <c r="B324" s="1291"/>
      <c r="C324" s="1291"/>
      <c r="D324" s="1291"/>
      <c r="E324" s="1291"/>
      <c r="F324" s="1291"/>
      <c r="G324" s="1294"/>
      <c r="H324" s="1291"/>
      <c r="I324" s="1294"/>
      <c r="J324" s="1244"/>
      <c r="K324" s="1294"/>
      <c r="L324" s="1244"/>
      <c r="M324" s="1294"/>
      <c r="N324" s="1291"/>
      <c r="O324" s="1294"/>
      <c r="P324" s="1244"/>
      <c r="Q324" s="1294"/>
      <c r="R324" s="1244"/>
      <c r="S324" s="1294"/>
      <c r="T324" s="1291"/>
      <c r="U324" s="1294"/>
      <c r="V324" s="1244"/>
      <c r="W324" s="1294"/>
      <c r="X324" s="1244"/>
      <c r="Y324" s="1294"/>
      <c r="Z324" s="1291"/>
      <c r="AA324" s="1294"/>
      <c r="AB324" s="1244"/>
      <c r="AC324" s="1294"/>
      <c r="AD324" s="1244"/>
      <c r="AE324" s="1294"/>
      <c r="AF324" s="1294"/>
      <c r="AG324" s="1291"/>
    </row>
    <row r="325" spans="1:33" s="173" customFormat="1">
      <c r="A325" s="1291"/>
      <c r="B325" s="1291"/>
      <c r="C325" s="1291"/>
      <c r="D325" s="1291"/>
      <c r="E325" s="1291"/>
      <c r="F325" s="1291"/>
      <c r="G325" s="1294"/>
      <c r="H325" s="1291"/>
      <c r="I325" s="1294"/>
      <c r="J325" s="1244"/>
      <c r="K325" s="1294"/>
      <c r="L325" s="1244"/>
      <c r="M325" s="1294"/>
      <c r="N325" s="1291"/>
      <c r="O325" s="1294"/>
      <c r="P325" s="1244"/>
      <c r="Q325" s="1294"/>
      <c r="R325" s="1244"/>
      <c r="S325" s="1294"/>
      <c r="T325" s="1291"/>
      <c r="U325" s="1294"/>
      <c r="V325" s="1244"/>
      <c r="W325" s="1294"/>
      <c r="X325" s="1244"/>
      <c r="Y325" s="1294"/>
      <c r="Z325" s="1291"/>
      <c r="AA325" s="1294"/>
      <c r="AB325" s="1244"/>
      <c r="AC325" s="1294"/>
      <c r="AD325" s="1244"/>
      <c r="AE325" s="1294"/>
      <c r="AF325" s="1294"/>
      <c r="AG325" s="1291"/>
    </row>
    <row r="326" spans="1:33" s="173" customFormat="1">
      <c r="A326" s="1291"/>
      <c r="B326" s="1291"/>
      <c r="C326" s="1291"/>
      <c r="D326" s="1291"/>
      <c r="E326" s="1291"/>
      <c r="F326" s="1291"/>
      <c r="G326" s="1294"/>
      <c r="H326" s="1291"/>
      <c r="I326" s="1294"/>
      <c r="J326" s="1244"/>
      <c r="K326" s="1294"/>
      <c r="L326" s="1244"/>
      <c r="M326" s="1294"/>
      <c r="N326" s="1291"/>
      <c r="O326" s="1294"/>
      <c r="P326" s="1244"/>
      <c r="Q326" s="1294"/>
      <c r="R326" s="1244"/>
      <c r="S326" s="1294"/>
      <c r="T326" s="1291"/>
      <c r="U326" s="1294"/>
      <c r="V326" s="1244"/>
      <c r="W326" s="1294"/>
      <c r="X326" s="1244"/>
      <c r="Y326" s="1294"/>
      <c r="Z326" s="1291"/>
      <c r="AA326" s="1294"/>
      <c r="AB326" s="1244"/>
      <c r="AC326" s="1294"/>
      <c r="AD326" s="1244"/>
      <c r="AE326" s="1294"/>
      <c r="AF326" s="1294"/>
      <c r="AG326" s="1291"/>
    </row>
    <row r="327" spans="1:33" s="173" customFormat="1">
      <c r="A327" s="1291"/>
      <c r="B327" s="1291"/>
      <c r="C327" s="1291"/>
      <c r="D327" s="1291"/>
      <c r="E327" s="1291"/>
      <c r="F327" s="1291"/>
      <c r="G327" s="1294"/>
      <c r="H327" s="1291"/>
      <c r="I327" s="1294"/>
      <c r="J327" s="1244"/>
      <c r="K327" s="1294"/>
      <c r="L327" s="1244"/>
      <c r="M327" s="1294"/>
      <c r="N327" s="1291"/>
      <c r="O327" s="1294"/>
      <c r="P327" s="1244"/>
      <c r="Q327" s="1294"/>
      <c r="R327" s="1244"/>
      <c r="S327" s="1294"/>
      <c r="T327" s="1291"/>
      <c r="U327" s="1294"/>
      <c r="V327" s="1244"/>
      <c r="W327" s="1294"/>
      <c r="X327" s="1244"/>
      <c r="Y327" s="1294"/>
      <c r="Z327" s="1291"/>
      <c r="AA327" s="1294"/>
      <c r="AB327" s="1244"/>
      <c r="AC327" s="1294"/>
      <c r="AD327" s="1244"/>
      <c r="AE327" s="1294"/>
      <c r="AF327" s="1294"/>
      <c r="AG327" s="1291"/>
    </row>
    <row r="328" spans="1:33" s="173" customFormat="1">
      <c r="A328" s="1291"/>
      <c r="B328" s="1291"/>
      <c r="C328" s="1291"/>
      <c r="D328" s="1291"/>
      <c r="E328" s="1291"/>
      <c r="F328" s="1291"/>
      <c r="G328" s="1294"/>
      <c r="H328" s="1291"/>
      <c r="I328" s="1294"/>
      <c r="J328" s="1244"/>
      <c r="K328" s="1294"/>
      <c r="L328" s="1244"/>
      <c r="M328" s="1294"/>
      <c r="N328" s="1291"/>
      <c r="O328" s="1294"/>
      <c r="P328" s="1244"/>
      <c r="Q328" s="1294"/>
      <c r="R328" s="1244"/>
      <c r="S328" s="1294"/>
      <c r="T328" s="1291"/>
      <c r="U328" s="1294"/>
      <c r="V328" s="1244"/>
      <c r="W328" s="1294"/>
      <c r="X328" s="1244"/>
      <c r="Y328" s="1294"/>
      <c r="Z328" s="1291"/>
      <c r="AA328" s="1294"/>
      <c r="AB328" s="1244"/>
      <c r="AC328" s="1294"/>
      <c r="AD328" s="1244"/>
      <c r="AE328" s="1294"/>
      <c r="AF328" s="1294"/>
      <c r="AG328" s="1291"/>
    </row>
    <row r="329" spans="1:33" s="173" customFormat="1">
      <c r="A329" s="1291"/>
      <c r="B329" s="1291"/>
      <c r="C329" s="1291"/>
      <c r="D329" s="1291"/>
      <c r="E329" s="1291"/>
      <c r="F329" s="1291"/>
      <c r="G329" s="1294"/>
      <c r="H329" s="1291"/>
      <c r="I329" s="1294"/>
      <c r="J329" s="1244"/>
      <c r="K329" s="1294"/>
      <c r="L329" s="1244"/>
      <c r="M329" s="1294"/>
      <c r="N329" s="1291"/>
      <c r="O329" s="1294"/>
      <c r="P329" s="1244"/>
      <c r="Q329" s="1294"/>
      <c r="R329" s="1244"/>
      <c r="S329" s="1294"/>
      <c r="T329" s="1291"/>
      <c r="U329" s="1294"/>
      <c r="V329" s="1244"/>
      <c r="W329" s="1294"/>
      <c r="X329" s="1244"/>
      <c r="Y329" s="1294"/>
      <c r="Z329" s="1291"/>
      <c r="AA329" s="1294"/>
      <c r="AB329" s="1244"/>
      <c r="AC329" s="1294"/>
      <c r="AD329" s="1244"/>
      <c r="AE329" s="1294"/>
      <c r="AF329" s="1294"/>
      <c r="AG329" s="1291"/>
    </row>
    <row r="330" spans="1:33" s="173" customFormat="1">
      <c r="A330" s="1291"/>
      <c r="B330" s="1291"/>
      <c r="C330" s="1291"/>
      <c r="D330" s="1291"/>
      <c r="E330" s="1291"/>
      <c r="F330" s="1291"/>
      <c r="G330" s="1294"/>
      <c r="H330" s="1291"/>
      <c r="I330" s="1294"/>
      <c r="J330" s="1244"/>
      <c r="K330" s="1294"/>
      <c r="L330" s="1244"/>
      <c r="M330" s="1294"/>
      <c r="N330" s="1291"/>
      <c r="O330" s="1294"/>
      <c r="P330" s="1244"/>
      <c r="Q330" s="1294"/>
      <c r="R330" s="1244"/>
      <c r="S330" s="1294"/>
      <c r="T330" s="1291"/>
      <c r="U330" s="1294"/>
      <c r="V330" s="1244"/>
      <c r="W330" s="1294"/>
      <c r="X330" s="1244"/>
      <c r="Y330" s="1294"/>
      <c r="Z330" s="1291"/>
      <c r="AA330" s="1294"/>
      <c r="AB330" s="1244"/>
      <c r="AC330" s="1294"/>
      <c r="AD330" s="1244"/>
      <c r="AE330" s="1294"/>
      <c r="AF330" s="1294"/>
      <c r="AG330" s="1291"/>
    </row>
    <row r="331" spans="1:33" s="173" customFormat="1">
      <c r="A331" s="1291"/>
      <c r="B331" s="1291"/>
      <c r="C331" s="1291"/>
      <c r="D331" s="1291"/>
      <c r="E331" s="1291"/>
      <c r="F331" s="1291"/>
      <c r="G331" s="1294"/>
      <c r="H331" s="1291"/>
      <c r="I331" s="1294"/>
      <c r="J331" s="1244"/>
      <c r="K331" s="1294"/>
      <c r="L331" s="1244"/>
      <c r="M331" s="1294"/>
      <c r="N331" s="1291"/>
      <c r="O331" s="1294"/>
      <c r="P331" s="1244"/>
      <c r="Q331" s="1294"/>
      <c r="R331" s="1244"/>
      <c r="S331" s="1294"/>
      <c r="T331" s="1291"/>
      <c r="U331" s="1294"/>
      <c r="V331" s="1244"/>
      <c r="W331" s="1294"/>
      <c r="X331" s="1244"/>
      <c r="Y331" s="1294"/>
      <c r="Z331" s="1291"/>
      <c r="AA331" s="1294"/>
      <c r="AB331" s="1244"/>
      <c r="AC331" s="1294"/>
      <c r="AD331" s="1244"/>
      <c r="AE331" s="1294"/>
      <c r="AF331" s="1294"/>
      <c r="AG331" s="1291"/>
    </row>
    <row r="332" spans="1:33" s="173" customFormat="1">
      <c r="A332" s="1291"/>
      <c r="B332" s="1291"/>
      <c r="C332" s="1291"/>
      <c r="D332" s="1291"/>
      <c r="E332" s="1291"/>
      <c r="F332" s="1291"/>
      <c r="G332" s="1294"/>
      <c r="H332" s="1291"/>
      <c r="I332" s="1294"/>
      <c r="J332" s="1244"/>
      <c r="K332" s="1294"/>
      <c r="L332" s="1244"/>
      <c r="M332" s="1294"/>
      <c r="N332" s="1291"/>
      <c r="O332" s="1294"/>
      <c r="P332" s="1244"/>
      <c r="Q332" s="1294"/>
      <c r="R332" s="1244"/>
      <c r="S332" s="1294"/>
      <c r="T332" s="1291"/>
      <c r="U332" s="1294"/>
      <c r="V332" s="1244"/>
      <c r="W332" s="1294"/>
      <c r="X332" s="1244"/>
      <c r="Y332" s="1294"/>
      <c r="Z332" s="1291"/>
      <c r="AA332" s="1294"/>
      <c r="AB332" s="1244"/>
      <c r="AC332" s="1294"/>
      <c r="AD332" s="1244"/>
      <c r="AE332" s="1294"/>
      <c r="AF332" s="1294"/>
      <c r="AG332" s="1291"/>
    </row>
    <row r="333" spans="1:33" s="173" customFormat="1">
      <c r="A333" s="1291"/>
      <c r="B333" s="1291"/>
      <c r="C333" s="1291"/>
      <c r="D333" s="1291"/>
      <c r="E333" s="1291"/>
      <c r="F333" s="1291"/>
      <c r="G333" s="1294"/>
      <c r="H333" s="1291"/>
      <c r="I333" s="1294"/>
      <c r="J333" s="1244"/>
      <c r="K333" s="1294"/>
      <c r="L333" s="1244"/>
      <c r="M333" s="1294"/>
      <c r="N333" s="1291"/>
      <c r="O333" s="1294"/>
      <c r="P333" s="1244"/>
      <c r="Q333" s="1294"/>
      <c r="R333" s="1244"/>
      <c r="S333" s="1294"/>
      <c r="T333" s="1291"/>
      <c r="U333" s="1294"/>
      <c r="V333" s="1244"/>
      <c r="W333" s="1294"/>
      <c r="X333" s="1244"/>
      <c r="Y333" s="1294"/>
      <c r="Z333" s="1291"/>
      <c r="AA333" s="1294"/>
      <c r="AB333" s="1244"/>
      <c r="AC333" s="1294"/>
      <c r="AD333" s="1244"/>
      <c r="AE333" s="1294"/>
      <c r="AF333" s="1294"/>
      <c r="AG333" s="1291"/>
    </row>
    <row r="334" spans="1:33" s="173" customFormat="1">
      <c r="A334" s="1291"/>
      <c r="B334" s="1291"/>
      <c r="C334" s="1291"/>
      <c r="D334" s="1291"/>
      <c r="E334" s="1291"/>
      <c r="F334" s="1291"/>
      <c r="G334" s="1294"/>
      <c r="H334" s="1291"/>
      <c r="I334" s="1294"/>
      <c r="J334" s="1244"/>
      <c r="K334" s="1294"/>
      <c r="L334" s="1244"/>
      <c r="M334" s="1294"/>
      <c r="N334" s="1291"/>
      <c r="O334" s="1294"/>
      <c r="P334" s="1244"/>
      <c r="Q334" s="1294"/>
      <c r="R334" s="1244"/>
      <c r="S334" s="1294"/>
      <c r="T334" s="1291"/>
      <c r="U334" s="1294"/>
      <c r="V334" s="1244"/>
      <c r="W334" s="1294"/>
      <c r="X334" s="1244"/>
      <c r="Y334" s="1294"/>
      <c r="Z334" s="1291"/>
      <c r="AA334" s="1294"/>
      <c r="AB334" s="1244"/>
      <c r="AC334" s="1294"/>
      <c r="AD334" s="1244"/>
      <c r="AE334" s="1294"/>
      <c r="AF334" s="1294"/>
      <c r="AG334" s="1291"/>
    </row>
    <row r="335" spans="1:33" s="173" customFormat="1">
      <c r="A335" s="1291"/>
      <c r="B335" s="1291"/>
      <c r="C335" s="1291"/>
      <c r="D335" s="1291"/>
      <c r="E335" s="1291"/>
      <c r="F335" s="1291"/>
      <c r="G335" s="1294"/>
      <c r="H335" s="1291"/>
      <c r="I335" s="1294"/>
      <c r="J335" s="1244"/>
      <c r="K335" s="1294"/>
      <c r="L335" s="1244"/>
      <c r="M335" s="1294"/>
      <c r="N335" s="1291"/>
      <c r="O335" s="1294"/>
      <c r="P335" s="1244"/>
      <c r="Q335" s="1294"/>
      <c r="R335" s="1244"/>
      <c r="S335" s="1294"/>
      <c r="T335" s="1291"/>
      <c r="U335" s="1294"/>
      <c r="V335" s="1244"/>
      <c r="W335" s="1294"/>
      <c r="X335" s="1244"/>
      <c r="Y335" s="1294"/>
      <c r="Z335" s="1291"/>
      <c r="AA335" s="1294"/>
      <c r="AB335" s="1244"/>
      <c r="AC335" s="1294"/>
      <c r="AD335" s="1244"/>
      <c r="AE335" s="1294"/>
      <c r="AF335" s="1294"/>
      <c r="AG335" s="1291"/>
    </row>
    <row r="336" spans="1:33" s="173" customFormat="1">
      <c r="A336" s="1291"/>
      <c r="B336" s="1291"/>
      <c r="C336" s="1291"/>
      <c r="D336" s="1291"/>
      <c r="E336" s="1291"/>
      <c r="F336" s="1291"/>
      <c r="G336" s="1294"/>
      <c r="H336" s="1291"/>
      <c r="I336" s="1294"/>
      <c r="J336" s="1244"/>
      <c r="K336" s="1294"/>
      <c r="L336" s="1244"/>
      <c r="M336" s="1294"/>
      <c r="N336" s="1291"/>
      <c r="O336" s="1294"/>
      <c r="P336" s="1244"/>
      <c r="Q336" s="1294"/>
      <c r="R336" s="1244"/>
      <c r="S336" s="1294"/>
      <c r="T336" s="1291"/>
      <c r="U336" s="1294"/>
      <c r="V336" s="1244"/>
      <c r="W336" s="1294"/>
      <c r="X336" s="1244"/>
      <c r="Y336" s="1294"/>
      <c r="Z336" s="1291"/>
      <c r="AA336" s="1294"/>
      <c r="AB336" s="1244"/>
      <c r="AC336" s="1294"/>
      <c r="AD336" s="1244"/>
      <c r="AE336" s="1294"/>
      <c r="AF336" s="1294"/>
      <c r="AG336" s="1291"/>
    </row>
    <row r="337" spans="1:33" s="173" customFormat="1">
      <c r="A337" s="1291"/>
      <c r="B337" s="1291"/>
      <c r="C337" s="1291"/>
      <c r="D337" s="1291"/>
      <c r="E337" s="1291"/>
      <c r="F337" s="1291"/>
      <c r="G337" s="1294"/>
      <c r="H337" s="1291"/>
      <c r="I337" s="1294"/>
      <c r="J337" s="1244"/>
      <c r="K337" s="1294"/>
      <c r="L337" s="1244"/>
      <c r="M337" s="1294"/>
      <c r="N337" s="1291"/>
      <c r="O337" s="1294"/>
      <c r="P337" s="1244"/>
      <c r="Q337" s="1294"/>
      <c r="R337" s="1244"/>
      <c r="S337" s="1294"/>
      <c r="T337" s="1291"/>
      <c r="U337" s="1294"/>
      <c r="V337" s="1244"/>
      <c r="W337" s="1294"/>
      <c r="X337" s="1244"/>
      <c r="Y337" s="1294"/>
      <c r="Z337" s="1291"/>
      <c r="AA337" s="1294"/>
      <c r="AB337" s="1244"/>
      <c r="AC337" s="1294"/>
      <c r="AD337" s="1244"/>
      <c r="AE337" s="1294"/>
      <c r="AF337" s="1294"/>
      <c r="AG337" s="1291"/>
    </row>
    <row r="338" spans="1:33" s="173" customFormat="1">
      <c r="A338" s="1291"/>
      <c r="B338" s="1291"/>
      <c r="C338" s="1291"/>
      <c r="D338" s="1291"/>
      <c r="E338" s="1291"/>
      <c r="F338" s="1291"/>
      <c r="G338" s="1294"/>
      <c r="H338" s="1291"/>
      <c r="I338" s="1294"/>
      <c r="J338" s="1244"/>
      <c r="K338" s="1294"/>
      <c r="L338" s="1244"/>
      <c r="M338" s="1294"/>
      <c r="N338" s="1291"/>
      <c r="O338" s="1294"/>
      <c r="P338" s="1244"/>
      <c r="Q338" s="1294"/>
      <c r="R338" s="1244"/>
      <c r="S338" s="1294"/>
      <c r="T338" s="1291"/>
      <c r="U338" s="1294"/>
      <c r="V338" s="1244"/>
      <c r="W338" s="1294"/>
      <c r="X338" s="1244"/>
      <c r="Y338" s="1294"/>
      <c r="Z338" s="1291"/>
      <c r="AA338" s="1294"/>
      <c r="AB338" s="1244"/>
      <c r="AC338" s="1294"/>
      <c r="AD338" s="1244"/>
      <c r="AE338" s="1294"/>
      <c r="AF338" s="1294"/>
      <c r="AG338" s="1291"/>
    </row>
    <row r="339" spans="1:33" s="173" customFormat="1">
      <c r="A339" s="1291"/>
      <c r="B339" s="1291"/>
      <c r="C339" s="1291"/>
      <c r="D339" s="1291"/>
      <c r="E339" s="1291"/>
      <c r="F339" s="1291"/>
      <c r="G339" s="1294"/>
      <c r="H339" s="1291"/>
      <c r="I339" s="1294"/>
      <c r="J339" s="1244"/>
      <c r="K339" s="1294"/>
      <c r="L339" s="1244"/>
      <c r="M339" s="1294"/>
      <c r="N339" s="1291"/>
      <c r="O339" s="1294"/>
      <c r="P339" s="1244"/>
      <c r="Q339" s="1294"/>
      <c r="R339" s="1244"/>
      <c r="S339" s="1294"/>
      <c r="T339" s="1291"/>
      <c r="U339" s="1294"/>
      <c r="V339" s="1244"/>
      <c r="W339" s="1294"/>
      <c r="X339" s="1244"/>
      <c r="Y339" s="1294"/>
      <c r="Z339" s="1291"/>
      <c r="AA339" s="1294"/>
      <c r="AB339" s="1244"/>
      <c r="AC339" s="1294"/>
      <c r="AD339" s="1244"/>
      <c r="AE339" s="1294"/>
      <c r="AF339" s="1294"/>
      <c r="AG339" s="1291"/>
    </row>
    <row r="340" spans="1:33" s="173" customFormat="1">
      <c r="A340" s="1291"/>
      <c r="B340" s="1291"/>
      <c r="C340" s="1291"/>
      <c r="D340" s="1291"/>
      <c r="E340" s="1291"/>
      <c r="F340" s="1291"/>
      <c r="G340" s="1294"/>
      <c r="H340" s="1291"/>
      <c r="I340" s="1294"/>
      <c r="J340" s="1244"/>
      <c r="K340" s="1294"/>
      <c r="L340" s="1244"/>
      <c r="M340" s="1294"/>
      <c r="N340" s="1291"/>
      <c r="O340" s="1294"/>
      <c r="P340" s="1244"/>
      <c r="Q340" s="1294"/>
      <c r="R340" s="1244"/>
      <c r="S340" s="1294"/>
      <c r="T340" s="1291"/>
      <c r="U340" s="1294"/>
      <c r="V340" s="1244"/>
      <c r="W340" s="1294"/>
      <c r="X340" s="1244"/>
      <c r="Y340" s="1294"/>
      <c r="Z340" s="1291"/>
      <c r="AA340" s="1294"/>
      <c r="AB340" s="1244"/>
      <c r="AC340" s="1294"/>
      <c r="AD340" s="1244"/>
      <c r="AE340" s="1294"/>
      <c r="AF340" s="1294"/>
      <c r="AG340" s="1291"/>
    </row>
    <row r="341" spans="1:33" s="173" customFormat="1">
      <c r="A341" s="1291"/>
      <c r="B341" s="1291"/>
      <c r="C341" s="1291"/>
      <c r="D341" s="1291"/>
      <c r="E341" s="1291"/>
      <c r="F341" s="1291"/>
      <c r="G341" s="1294"/>
      <c r="H341" s="1291"/>
      <c r="I341" s="1294"/>
      <c r="J341" s="1244"/>
      <c r="K341" s="1294"/>
      <c r="L341" s="1244"/>
      <c r="M341" s="1294"/>
      <c r="N341" s="1291"/>
      <c r="O341" s="1294"/>
      <c r="P341" s="1244"/>
      <c r="Q341" s="1294"/>
      <c r="R341" s="1244"/>
      <c r="S341" s="1294"/>
      <c r="T341" s="1291"/>
      <c r="U341" s="1294"/>
      <c r="V341" s="1244"/>
      <c r="W341" s="1294"/>
      <c r="X341" s="1244"/>
      <c r="Y341" s="1294"/>
      <c r="Z341" s="1291"/>
      <c r="AA341" s="1294"/>
      <c r="AB341" s="1244"/>
      <c r="AC341" s="1294"/>
      <c r="AD341" s="1244"/>
      <c r="AE341" s="1294"/>
      <c r="AF341" s="1294"/>
      <c r="AG341" s="1291"/>
    </row>
    <row r="342" spans="1:33" s="173" customFormat="1">
      <c r="A342" s="1291"/>
      <c r="B342" s="1291"/>
      <c r="C342" s="1291"/>
      <c r="D342" s="1291"/>
      <c r="E342" s="1291"/>
      <c r="F342" s="1291"/>
      <c r="G342" s="1294"/>
      <c r="H342" s="1291"/>
      <c r="I342" s="1294"/>
      <c r="J342" s="1244"/>
      <c r="K342" s="1294"/>
      <c r="L342" s="1244"/>
      <c r="M342" s="1294"/>
      <c r="N342" s="1291"/>
      <c r="O342" s="1294"/>
      <c r="P342" s="1244"/>
      <c r="Q342" s="1294"/>
      <c r="R342" s="1244"/>
      <c r="S342" s="1294"/>
      <c r="T342" s="1291"/>
      <c r="U342" s="1294"/>
      <c r="V342" s="1244"/>
      <c r="W342" s="1294"/>
      <c r="X342" s="1244"/>
      <c r="Y342" s="1294"/>
      <c r="Z342" s="1291"/>
      <c r="AA342" s="1294"/>
      <c r="AB342" s="1244"/>
      <c r="AC342" s="1294"/>
      <c r="AD342" s="1244"/>
      <c r="AE342" s="1294"/>
      <c r="AF342" s="1294"/>
      <c r="AG342" s="1291"/>
    </row>
    <row r="343" spans="1:33" s="173" customFormat="1">
      <c r="A343" s="1291"/>
      <c r="B343" s="1291"/>
      <c r="C343" s="1291"/>
      <c r="D343" s="1291"/>
      <c r="E343" s="1291"/>
      <c r="F343" s="1291"/>
      <c r="G343" s="1294"/>
      <c r="H343" s="1291"/>
      <c r="I343" s="1294"/>
      <c r="J343" s="1244"/>
      <c r="K343" s="1294"/>
      <c r="L343" s="1244"/>
      <c r="M343" s="1294"/>
      <c r="N343" s="1291"/>
      <c r="O343" s="1294"/>
      <c r="P343" s="1244"/>
      <c r="Q343" s="1294"/>
      <c r="R343" s="1244"/>
      <c r="S343" s="1294"/>
      <c r="T343" s="1291"/>
      <c r="U343" s="1294"/>
      <c r="V343" s="1244"/>
      <c r="W343" s="1294"/>
      <c r="X343" s="1244"/>
      <c r="Y343" s="1294"/>
      <c r="Z343" s="1291"/>
      <c r="AA343" s="1294"/>
      <c r="AB343" s="1244"/>
      <c r="AC343" s="1294"/>
      <c r="AD343" s="1244"/>
      <c r="AE343" s="1294"/>
      <c r="AF343" s="1294"/>
      <c r="AG343" s="1291"/>
    </row>
    <row r="344" spans="1:33" s="173" customFormat="1">
      <c r="A344" s="1291"/>
      <c r="B344" s="1291"/>
      <c r="C344" s="1291"/>
      <c r="D344" s="1291"/>
      <c r="E344" s="1291"/>
      <c r="F344" s="1291"/>
      <c r="G344" s="1294"/>
      <c r="H344" s="1291"/>
      <c r="I344" s="1294"/>
      <c r="J344" s="1244"/>
      <c r="K344" s="1294"/>
      <c r="L344" s="1244"/>
      <c r="M344" s="1294"/>
      <c r="N344" s="1291"/>
      <c r="O344" s="1294"/>
      <c r="P344" s="1244"/>
      <c r="Q344" s="1294"/>
      <c r="R344" s="1244"/>
      <c r="S344" s="1294"/>
      <c r="T344" s="1291"/>
      <c r="U344" s="1294"/>
      <c r="V344" s="1244"/>
      <c r="W344" s="1294"/>
      <c r="X344" s="1244"/>
      <c r="Y344" s="1294"/>
      <c r="Z344" s="1291"/>
      <c r="AA344" s="1294"/>
      <c r="AB344" s="1244"/>
      <c r="AC344" s="1294"/>
      <c r="AD344" s="1244"/>
      <c r="AE344" s="1294"/>
      <c r="AF344" s="1294"/>
      <c r="AG344" s="1291"/>
    </row>
    <row r="345" spans="1:33" s="173" customFormat="1">
      <c r="A345" s="1291"/>
      <c r="B345" s="1291"/>
      <c r="C345" s="1291"/>
      <c r="D345" s="1291"/>
      <c r="E345" s="1291"/>
      <c r="F345" s="1291"/>
      <c r="G345" s="1294"/>
      <c r="H345" s="1291"/>
      <c r="I345" s="1294"/>
      <c r="J345" s="1244"/>
      <c r="K345" s="1294"/>
      <c r="L345" s="1244"/>
      <c r="M345" s="1294"/>
      <c r="N345" s="1291"/>
      <c r="O345" s="1294"/>
      <c r="P345" s="1244"/>
      <c r="Q345" s="1294"/>
      <c r="R345" s="1244"/>
      <c r="S345" s="1294"/>
      <c r="T345" s="1291"/>
      <c r="U345" s="1294"/>
      <c r="V345" s="1244"/>
      <c r="W345" s="1294"/>
      <c r="X345" s="1244"/>
      <c r="Y345" s="1294"/>
      <c r="Z345" s="1291"/>
      <c r="AA345" s="1294"/>
      <c r="AB345" s="1244"/>
      <c r="AC345" s="1294"/>
      <c r="AD345" s="1244"/>
      <c r="AE345" s="1294"/>
      <c r="AF345" s="1294"/>
      <c r="AG345" s="1291"/>
    </row>
    <row r="346" spans="1:33" s="173" customFormat="1">
      <c r="A346" s="1291"/>
      <c r="B346" s="1291"/>
      <c r="C346" s="1291"/>
      <c r="D346" s="1291"/>
      <c r="E346" s="1291"/>
      <c r="F346" s="1291"/>
      <c r="G346" s="1294"/>
      <c r="H346" s="1291"/>
      <c r="I346" s="1294"/>
      <c r="J346" s="1244"/>
      <c r="K346" s="1294"/>
      <c r="L346" s="1244"/>
      <c r="M346" s="1294"/>
      <c r="N346" s="1291"/>
      <c r="O346" s="1294"/>
      <c r="P346" s="1244"/>
      <c r="Q346" s="1294"/>
      <c r="R346" s="1244"/>
      <c r="S346" s="1294"/>
      <c r="T346" s="1291"/>
      <c r="U346" s="1294"/>
      <c r="V346" s="1244"/>
      <c r="W346" s="1294"/>
      <c r="X346" s="1244"/>
      <c r="Y346" s="1294"/>
      <c r="Z346" s="1291"/>
      <c r="AA346" s="1294"/>
      <c r="AB346" s="1244"/>
      <c r="AC346" s="1294"/>
      <c r="AD346" s="1244"/>
      <c r="AE346" s="1294"/>
      <c r="AF346" s="1294"/>
      <c r="AG346" s="1291"/>
    </row>
    <row r="347" spans="1:33" s="173" customFormat="1">
      <c r="A347" s="1291"/>
      <c r="B347" s="1291"/>
      <c r="C347" s="1291"/>
      <c r="D347" s="1291"/>
      <c r="E347" s="1291"/>
      <c r="F347" s="1291"/>
      <c r="G347" s="1294"/>
      <c r="H347" s="1291"/>
      <c r="I347" s="1294"/>
      <c r="J347" s="1244"/>
      <c r="K347" s="1294"/>
      <c r="L347" s="1244"/>
      <c r="M347" s="1294"/>
      <c r="N347" s="1291"/>
      <c r="O347" s="1294"/>
      <c r="P347" s="1244"/>
      <c r="Q347" s="1294"/>
      <c r="R347" s="1244"/>
      <c r="S347" s="1294"/>
      <c r="T347" s="1291"/>
      <c r="U347" s="1294"/>
      <c r="V347" s="1244"/>
      <c r="W347" s="1294"/>
      <c r="X347" s="1244"/>
      <c r="Y347" s="1294"/>
      <c r="Z347" s="1291"/>
      <c r="AA347" s="1294"/>
      <c r="AB347" s="1244"/>
      <c r="AC347" s="1294"/>
      <c r="AD347" s="1244"/>
      <c r="AE347" s="1294"/>
      <c r="AF347" s="1294"/>
      <c r="AG347" s="1291"/>
    </row>
    <row r="348" spans="1:33" s="173" customFormat="1">
      <c r="A348" s="1291"/>
      <c r="B348" s="1291"/>
      <c r="C348" s="1291"/>
      <c r="D348" s="1291"/>
      <c r="E348" s="1291"/>
      <c r="F348" s="1291"/>
      <c r="G348" s="1294"/>
      <c r="H348" s="1291"/>
      <c r="I348" s="1294"/>
      <c r="J348" s="1244"/>
      <c r="K348" s="1294"/>
      <c r="L348" s="1244"/>
      <c r="M348" s="1294"/>
      <c r="N348" s="1291"/>
      <c r="O348" s="1294"/>
      <c r="P348" s="1244"/>
      <c r="Q348" s="1294"/>
      <c r="R348" s="1244"/>
      <c r="S348" s="1294"/>
      <c r="T348" s="1291"/>
      <c r="U348" s="1294"/>
      <c r="V348" s="1244"/>
      <c r="W348" s="1294"/>
      <c r="X348" s="1244"/>
      <c r="Y348" s="1294"/>
      <c r="Z348" s="1291"/>
      <c r="AA348" s="1294"/>
      <c r="AB348" s="1244"/>
      <c r="AC348" s="1294"/>
      <c r="AD348" s="1244"/>
      <c r="AE348" s="1294"/>
      <c r="AF348" s="1294"/>
      <c r="AG348" s="1291"/>
    </row>
    <row r="349" spans="1:33" s="173" customFormat="1">
      <c r="A349" s="1291"/>
      <c r="B349" s="1291"/>
      <c r="C349" s="1291"/>
      <c r="D349" s="1291"/>
      <c r="E349" s="1291"/>
      <c r="F349" s="1291"/>
      <c r="G349" s="1294"/>
      <c r="H349" s="1291"/>
      <c r="I349" s="1294"/>
      <c r="J349" s="1244"/>
      <c r="K349" s="1294"/>
      <c r="L349" s="1244"/>
      <c r="M349" s="1294"/>
      <c r="N349" s="1291"/>
      <c r="O349" s="1294"/>
      <c r="P349" s="1244"/>
      <c r="Q349" s="1294"/>
      <c r="R349" s="1244"/>
      <c r="S349" s="1294"/>
      <c r="T349" s="1291"/>
      <c r="U349" s="1294"/>
      <c r="V349" s="1244"/>
      <c r="W349" s="1294"/>
      <c r="X349" s="1244"/>
      <c r="Y349" s="1294"/>
      <c r="Z349" s="1291"/>
      <c r="AA349" s="1294"/>
      <c r="AB349" s="1244"/>
      <c r="AC349" s="1294"/>
      <c r="AD349" s="1244"/>
      <c r="AE349" s="1294"/>
      <c r="AF349" s="1294"/>
      <c r="AG349" s="1291"/>
    </row>
    <row r="350" spans="1:33" s="173" customFormat="1">
      <c r="A350" s="1291"/>
      <c r="B350" s="1291"/>
      <c r="C350" s="1291"/>
      <c r="D350" s="1291"/>
      <c r="E350" s="1291"/>
      <c r="F350" s="1291"/>
      <c r="G350" s="1294"/>
      <c r="H350" s="1291"/>
      <c r="I350" s="1294"/>
      <c r="J350" s="1244"/>
      <c r="K350" s="1294"/>
      <c r="L350" s="1244"/>
      <c r="M350" s="1294"/>
      <c r="N350" s="1291"/>
      <c r="O350" s="1294"/>
      <c r="P350" s="1244"/>
      <c r="Q350" s="1294"/>
      <c r="R350" s="1244"/>
      <c r="S350" s="1294"/>
      <c r="T350" s="1291"/>
      <c r="U350" s="1294"/>
      <c r="V350" s="1244"/>
      <c r="W350" s="1294"/>
      <c r="X350" s="1244"/>
      <c r="Y350" s="1294"/>
      <c r="Z350" s="1291"/>
      <c r="AA350" s="1294"/>
      <c r="AB350" s="1244"/>
      <c r="AC350" s="1294"/>
      <c r="AD350" s="1244"/>
      <c r="AE350" s="1294"/>
      <c r="AF350" s="1294"/>
      <c r="AG350" s="1291"/>
    </row>
    <row r="351" spans="1:33" s="173" customFormat="1">
      <c r="A351" s="1291"/>
      <c r="B351" s="1291"/>
      <c r="C351" s="1291"/>
      <c r="D351" s="1291"/>
      <c r="E351" s="1291"/>
      <c r="F351" s="1291"/>
      <c r="G351" s="1294"/>
      <c r="H351" s="1291"/>
      <c r="I351" s="1294"/>
      <c r="J351" s="1244"/>
      <c r="K351" s="1294"/>
      <c r="L351" s="1244"/>
      <c r="M351" s="1294"/>
      <c r="N351" s="1291"/>
      <c r="O351" s="1294"/>
      <c r="P351" s="1244"/>
      <c r="Q351" s="1294"/>
      <c r="R351" s="1244"/>
      <c r="S351" s="1294"/>
      <c r="T351" s="1291"/>
      <c r="U351" s="1294"/>
      <c r="V351" s="1244"/>
      <c r="W351" s="1294"/>
      <c r="X351" s="1244"/>
      <c r="Y351" s="1294"/>
      <c r="Z351" s="1291"/>
      <c r="AA351" s="1294"/>
      <c r="AB351" s="1244"/>
      <c r="AC351" s="1294"/>
      <c r="AD351" s="1244"/>
      <c r="AE351" s="1294"/>
      <c r="AF351" s="1294"/>
      <c r="AG351" s="1291"/>
    </row>
    <row r="352" spans="1:33" s="173" customFormat="1">
      <c r="A352" s="1291"/>
      <c r="B352" s="1291"/>
      <c r="C352" s="1291"/>
      <c r="D352" s="1291"/>
      <c r="E352" s="1291"/>
      <c r="F352" s="1291"/>
      <c r="G352" s="1294"/>
      <c r="H352" s="1291"/>
      <c r="I352" s="1294"/>
      <c r="J352" s="1244"/>
      <c r="K352" s="1294"/>
      <c r="L352" s="1244"/>
      <c r="M352" s="1294"/>
      <c r="N352" s="1291"/>
      <c r="O352" s="1294"/>
      <c r="P352" s="1244"/>
      <c r="Q352" s="1294"/>
      <c r="R352" s="1244"/>
      <c r="S352" s="1294"/>
      <c r="T352" s="1291"/>
      <c r="U352" s="1294"/>
      <c r="V352" s="1244"/>
      <c r="W352" s="1294"/>
      <c r="X352" s="1244"/>
      <c r="Y352" s="1294"/>
      <c r="Z352" s="1291"/>
      <c r="AA352" s="1294"/>
      <c r="AB352" s="1244"/>
      <c r="AC352" s="1294"/>
      <c r="AD352" s="1244"/>
      <c r="AE352" s="1294"/>
      <c r="AF352" s="1294"/>
      <c r="AG352" s="1291"/>
    </row>
    <row r="353" spans="1:33" s="173" customFormat="1">
      <c r="A353" s="1291"/>
      <c r="B353" s="1291"/>
      <c r="C353" s="1291"/>
      <c r="D353" s="1291"/>
      <c r="E353" s="1291"/>
      <c r="F353" s="1291"/>
      <c r="G353" s="1294"/>
      <c r="H353" s="1291"/>
      <c r="I353" s="1294"/>
      <c r="J353" s="1244"/>
      <c r="K353" s="1294"/>
      <c r="L353" s="1244"/>
      <c r="M353" s="1294"/>
      <c r="N353" s="1291"/>
      <c r="O353" s="1294"/>
      <c r="P353" s="1244"/>
      <c r="Q353" s="1294"/>
      <c r="R353" s="1244"/>
      <c r="S353" s="1294"/>
      <c r="T353" s="1291"/>
      <c r="U353" s="1294"/>
      <c r="V353" s="1244"/>
      <c r="W353" s="1294"/>
      <c r="X353" s="1244"/>
      <c r="Y353" s="1294"/>
      <c r="Z353" s="1291"/>
      <c r="AA353" s="1294"/>
      <c r="AB353" s="1244"/>
      <c r="AC353" s="1294"/>
      <c r="AD353" s="1244"/>
      <c r="AE353" s="1294"/>
      <c r="AF353" s="1294"/>
      <c r="AG353" s="1291"/>
    </row>
    <row r="354" spans="1:33" s="173" customFormat="1">
      <c r="A354" s="1291"/>
      <c r="B354" s="1291"/>
      <c r="C354" s="1291"/>
      <c r="D354" s="1291"/>
      <c r="E354" s="1291"/>
      <c r="F354" s="1291"/>
      <c r="G354" s="1294"/>
      <c r="H354" s="1291"/>
      <c r="I354" s="1294"/>
      <c r="J354" s="1244"/>
      <c r="K354" s="1294"/>
      <c r="L354" s="1244"/>
      <c r="M354" s="1294"/>
      <c r="N354" s="1291"/>
      <c r="O354" s="1294"/>
      <c r="P354" s="1244"/>
      <c r="Q354" s="1294"/>
      <c r="R354" s="1244"/>
      <c r="S354" s="1294"/>
      <c r="T354" s="1291"/>
      <c r="U354" s="1294"/>
      <c r="V354" s="1244"/>
      <c r="W354" s="1294"/>
      <c r="X354" s="1244"/>
      <c r="Y354" s="1294"/>
      <c r="Z354" s="1291"/>
      <c r="AA354" s="1294"/>
      <c r="AB354" s="1244"/>
      <c r="AC354" s="1294"/>
      <c r="AD354" s="1244"/>
      <c r="AE354" s="1294"/>
      <c r="AF354" s="1294"/>
      <c r="AG354" s="1291"/>
    </row>
    <row r="355" spans="1:33" s="173" customFormat="1">
      <c r="A355" s="1291"/>
      <c r="B355" s="1291"/>
      <c r="C355" s="1291"/>
      <c r="D355" s="1291"/>
      <c r="E355" s="1291"/>
      <c r="F355" s="1291"/>
      <c r="G355" s="1294"/>
      <c r="H355" s="1291"/>
      <c r="I355" s="1294"/>
      <c r="J355" s="1244"/>
      <c r="K355" s="1294"/>
      <c r="L355" s="1244"/>
      <c r="M355" s="1294"/>
      <c r="N355" s="1291"/>
      <c r="O355" s="1294"/>
      <c r="P355" s="1244"/>
      <c r="Q355" s="1294"/>
      <c r="R355" s="1244"/>
      <c r="S355" s="1294"/>
      <c r="T355" s="1291"/>
      <c r="U355" s="1294"/>
      <c r="V355" s="1244"/>
      <c r="W355" s="1294"/>
      <c r="X355" s="1244"/>
      <c r="Y355" s="1294"/>
      <c r="Z355" s="1291"/>
      <c r="AA355" s="1294"/>
      <c r="AB355" s="1244"/>
      <c r="AC355" s="1294"/>
      <c r="AD355" s="1244"/>
      <c r="AE355" s="1294"/>
      <c r="AF355" s="1294"/>
      <c r="AG355" s="1291"/>
    </row>
    <row r="356" spans="1:33" s="173" customFormat="1">
      <c r="A356" s="1291"/>
      <c r="B356" s="1291"/>
      <c r="C356" s="1291"/>
      <c r="D356" s="1291"/>
      <c r="E356" s="1291"/>
      <c r="F356" s="1291"/>
      <c r="G356" s="1294"/>
      <c r="H356" s="1291"/>
      <c r="I356" s="1294"/>
      <c r="J356" s="1244"/>
      <c r="K356" s="1294"/>
      <c r="L356" s="1244"/>
      <c r="M356" s="1294"/>
      <c r="N356" s="1291"/>
      <c r="O356" s="1294"/>
      <c r="P356" s="1244"/>
      <c r="Q356" s="1294"/>
      <c r="R356" s="1244"/>
      <c r="S356" s="1294"/>
      <c r="T356" s="1291"/>
      <c r="U356" s="1294"/>
      <c r="V356" s="1244"/>
      <c r="W356" s="1294"/>
      <c r="X356" s="1244"/>
      <c r="Y356" s="1294"/>
      <c r="Z356" s="1291"/>
      <c r="AA356" s="1294"/>
      <c r="AB356" s="1244"/>
      <c r="AC356" s="1294"/>
      <c r="AD356" s="1244"/>
      <c r="AE356" s="1294"/>
      <c r="AF356" s="1294"/>
      <c r="AG356" s="1291"/>
    </row>
    <row r="357" spans="1:33" s="173" customFormat="1">
      <c r="A357" s="1291"/>
      <c r="B357" s="1291"/>
      <c r="C357" s="1291"/>
      <c r="D357" s="1291"/>
      <c r="E357" s="1291"/>
      <c r="F357" s="1291"/>
      <c r="G357" s="1294"/>
      <c r="H357" s="1291"/>
      <c r="I357" s="1294"/>
      <c r="J357" s="1244"/>
      <c r="K357" s="1294"/>
      <c r="L357" s="1244"/>
      <c r="M357" s="1294"/>
      <c r="N357" s="1291"/>
      <c r="O357" s="1294"/>
      <c r="P357" s="1244"/>
      <c r="Q357" s="1294"/>
      <c r="R357" s="1244"/>
      <c r="S357" s="1294"/>
      <c r="T357" s="1291"/>
      <c r="U357" s="1294"/>
      <c r="V357" s="1244"/>
      <c r="W357" s="1294"/>
      <c r="X357" s="1244"/>
      <c r="Y357" s="1294"/>
      <c r="Z357" s="1291"/>
      <c r="AA357" s="1294"/>
      <c r="AB357" s="1244"/>
      <c r="AC357" s="1294"/>
      <c r="AD357" s="1244"/>
      <c r="AE357" s="1294"/>
      <c r="AF357" s="1294"/>
      <c r="AG357" s="1291"/>
    </row>
    <row r="358" spans="1:33" s="173" customFormat="1">
      <c r="A358" s="1291"/>
      <c r="B358" s="1291"/>
      <c r="C358" s="1291"/>
      <c r="D358" s="1291"/>
      <c r="E358" s="1291"/>
      <c r="F358" s="1291"/>
      <c r="G358" s="1294"/>
      <c r="H358" s="1291"/>
      <c r="I358" s="1294"/>
      <c r="J358" s="1244"/>
      <c r="K358" s="1294"/>
      <c r="L358" s="1244"/>
      <c r="M358" s="1294"/>
      <c r="N358" s="1291"/>
      <c r="O358" s="1294"/>
      <c r="P358" s="1244"/>
      <c r="Q358" s="1294"/>
      <c r="R358" s="1244"/>
      <c r="S358" s="1294"/>
      <c r="T358" s="1291"/>
      <c r="U358" s="1294"/>
      <c r="V358" s="1244"/>
      <c r="W358" s="1294"/>
      <c r="X358" s="1244"/>
      <c r="Y358" s="1294"/>
      <c r="Z358" s="1291"/>
      <c r="AA358" s="1294"/>
      <c r="AB358" s="1244"/>
      <c r="AC358" s="1294"/>
      <c r="AD358" s="1244"/>
      <c r="AE358" s="1294"/>
      <c r="AF358" s="1294"/>
      <c r="AG358" s="1291"/>
    </row>
    <row r="359" spans="1:33" s="173" customFormat="1">
      <c r="A359" s="1291"/>
      <c r="B359" s="1291"/>
      <c r="C359" s="1291"/>
      <c r="D359" s="1291"/>
      <c r="E359" s="1291"/>
      <c r="F359" s="1291"/>
      <c r="G359" s="1294"/>
      <c r="H359" s="1291"/>
      <c r="I359" s="1294"/>
      <c r="J359" s="1244"/>
      <c r="K359" s="1294"/>
      <c r="L359" s="1244"/>
      <c r="M359" s="1294"/>
      <c r="N359" s="1291"/>
      <c r="O359" s="1294"/>
      <c r="P359" s="1244"/>
      <c r="Q359" s="1294"/>
      <c r="R359" s="1244"/>
      <c r="S359" s="1294"/>
      <c r="T359" s="1291"/>
      <c r="U359" s="1294"/>
      <c r="V359" s="1244"/>
      <c r="W359" s="1294"/>
      <c r="X359" s="1244"/>
      <c r="Y359" s="1294"/>
      <c r="Z359" s="1291"/>
      <c r="AA359" s="1294"/>
      <c r="AB359" s="1244"/>
      <c r="AC359" s="1294"/>
      <c r="AD359" s="1244"/>
      <c r="AE359" s="1294"/>
      <c r="AF359" s="1294"/>
      <c r="AG359" s="1291"/>
    </row>
    <row r="360" spans="1:33" s="173" customFormat="1">
      <c r="A360" s="1291"/>
      <c r="B360" s="1291"/>
      <c r="C360" s="1291"/>
      <c r="D360" s="1291"/>
      <c r="E360" s="1291"/>
      <c r="F360" s="1291"/>
      <c r="G360" s="1294"/>
      <c r="H360" s="1291"/>
      <c r="I360" s="1294"/>
      <c r="J360" s="1244"/>
      <c r="K360" s="1294"/>
      <c r="L360" s="1244"/>
      <c r="M360" s="1294"/>
      <c r="N360" s="1291"/>
      <c r="O360" s="1294"/>
      <c r="P360" s="1244"/>
      <c r="Q360" s="1294"/>
      <c r="R360" s="1244"/>
      <c r="S360" s="1294"/>
      <c r="T360" s="1291"/>
      <c r="U360" s="1294"/>
      <c r="V360" s="1244"/>
      <c r="W360" s="1294"/>
      <c r="X360" s="1244"/>
      <c r="Y360" s="1294"/>
      <c r="Z360" s="1291"/>
      <c r="AA360" s="1294"/>
      <c r="AB360" s="1244"/>
      <c r="AC360" s="1294"/>
      <c r="AD360" s="1244"/>
      <c r="AE360" s="1294"/>
      <c r="AF360" s="1294"/>
      <c r="AG360" s="1291"/>
    </row>
    <row r="361" spans="1:33" s="173" customFormat="1">
      <c r="A361" s="1291"/>
      <c r="B361" s="1291"/>
      <c r="C361" s="1291"/>
      <c r="D361" s="1291"/>
      <c r="E361" s="1291"/>
      <c r="F361" s="1291"/>
      <c r="G361" s="1294"/>
      <c r="H361" s="1291"/>
      <c r="I361" s="1294"/>
      <c r="J361" s="1244"/>
      <c r="K361" s="1294"/>
      <c r="L361" s="1244"/>
      <c r="M361" s="1294"/>
      <c r="N361" s="1291"/>
      <c r="O361" s="1294"/>
      <c r="P361" s="1244"/>
      <c r="Q361" s="1294"/>
      <c r="R361" s="1244"/>
      <c r="S361" s="1294"/>
      <c r="T361" s="1291"/>
      <c r="U361" s="1294"/>
      <c r="V361" s="1244"/>
      <c r="W361" s="1294"/>
      <c r="X361" s="1244"/>
      <c r="Y361" s="1294"/>
      <c r="Z361" s="1291"/>
      <c r="AA361" s="1294"/>
      <c r="AB361" s="1244"/>
      <c r="AC361" s="1294"/>
      <c r="AD361" s="1244"/>
      <c r="AE361" s="1294"/>
      <c r="AF361" s="1294"/>
      <c r="AG361" s="1291"/>
    </row>
    <row r="362" spans="1:33" s="173" customFormat="1">
      <c r="A362" s="1291"/>
      <c r="B362" s="1291"/>
      <c r="C362" s="1291"/>
      <c r="D362" s="1291"/>
      <c r="E362" s="1291"/>
      <c r="F362" s="1291"/>
      <c r="G362" s="1294"/>
      <c r="H362" s="1291"/>
      <c r="I362" s="1294"/>
      <c r="J362" s="1244"/>
      <c r="K362" s="1294"/>
      <c r="L362" s="1244"/>
      <c r="M362" s="1294"/>
      <c r="N362" s="1291"/>
      <c r="O362" s="1294"/>
      <c r="P362" s="1244"/>
      <c r="Q362" s="1294"/>
      <c r="R362" s="1244"/>
      <c r="S362" s="1294"/>
      <c r="T362" s="1291"/>
      <c r="U362" s="1294"/>
      <c r="V362" s="1244"/>
      <c r="W362" s="1294"/>
      <c r="X362" s="1244"/>
      <c r="Y362" s="1294"/>
      <c r="Z362" s="1291"/>
      <c r="AA362" s="1294"/>
      <c r="AB362" s="1244"/>
      <c r="AC362" s="1294"/>
      <c r="AD362" s="1244"/>
      <c r="AE362" s="1294"/>
      <c r="AF362" s="1294"/>
      <c r="AG362" s="1291"/>
    </row>
    <row r="363" spans="1:33" s="173" customFormat="1">
      <c r="A363" s="1291"/>
      <c r="B363" s="1291"/>
      <c r="C363" s="1291"/>
      <c r="D363" s="1291"/>
      <c r="E363" s="1291"/>
      <c r="F363" s="1291"/>
      <c r="G363" s="1294"/>
      <c r="H363" s="1291"/>
      <c r="I363" s="1294"/>
      <c r="J363" s="1244"/>
      <c r="K363" s="1294"/>
      <c r="L363" s="1244"/>
      <c r="M363" s="1294"/>
      <c r="N363" s="1291"/>
      <c r="O363" s="1294"/>
      <c r="P363" s="1244"/>
      <c r="Q363" s="1294"/>
      <c r="R363" s="1244"/>
      <c r="S363" s="1294"/>
      <c r="T363" s="1291"/>
      <c r="U363" s="1294"/>
      <c r="V363" s="1244"/>
      <c r="W363" s="1294"/>
      <c r="X363" s="1244"/>
      <c r="Y363" s="1294"/>
      <c r="Z363" s="1291"/>
      <c r="AA363" s="1294"/>
      <c r="AB363" s="1244"/>
      <c r="AC363" s="1294"/>
      <c r="AD363" s="1244"/>
      <c r="AE363" s="1294"/>
      <c r="AF363" s="1294"/>
      <c r="AG363" s="1291"/>
    </row>
    <row r="364" spans="1:33" s="173" customFormat="1">
      <c r="A364" s="1291"/>
      <c r="B364" s="1291"/>
      <c r="C364" s="1291"/>
      <c r="D364" s="1291"/>
      <c r="E364" s="1291"/>
      <c r="F364" s="1291"/>
      <c r="G364" s="1294"/>
      <c r="H364" s="1291"/>
      <c r="I364" s="1294"/>
      <c r="J364" s="1244"/>
      <c r="K364" s="1294"/>
      <c r="L364" s="1244"/>
      <c r="M364" s="1294"/>
      <c r="N364" s="1291"/>
      <c r="O364" s="1294"/>
      <c r="P364" s="1244"/>
      <c r="Q364" s="1294"/>
      <c r="R364" s="1244"/>
      <c r="S364" s="1294"/>
      <c r="T364" s="1291"/>
      <c r="U364" s="1294"/>
      <c r="V364" s="1244"/>
      <c r="W364" s="1294"/>
      <c r="X364" s="1244"/>
      <c r="Y364" s="1294"/>
      <c r="Z364" s="1291"/>
      <c r="AA364" s="1294"/>
      <c r="AB364" s="1244"/>
      <c r="AC364" s="1294"/>
      <c r="AD364" s="1244"/>
      <c r="AE364" s="1294"/>
      <c r="AF364" s="1294"/>
      <c r="AG364" s="1291"/>
    </row>
    <row r="365" spans="1:33" s="173" customFormat="1">
      <c r="A365" s="1291"/>
      <c r="B365" s="1291"/>
      <c r="C365" s="1291"/>
      <c r="D365" s="1291"/>
      <c r="E365" s="1291"/>
      <c r="F365" s="1291"/>
      <c r="G365" s="1294"/>
      <c r="H365" s="1291"/>
      <c r="I365" s="1294"/>
      <c r="J365" s="1244"/>
      <c r="K365" s="1294"/>
      <c r="L365" s="1244"/>
      <c r="M365" s="1294"/>
      <c r="N365" s="1291"/>
      <c r="O365" s="1294"/>
      <c r="P365" s="1244"/>
      <c r="Q365" s="1294"/>
      <c r="R365" s="1244"/>
      <c r="S365" s="1294"/>
      <c r="T365" s="1291"/>
      <c r="U365" s="1294"/>
      <c r="V365" s="1244"/>
      <c r="W365" s="1294"/>
      <c r="X365" s="1244"/>
      <c r="Y365" s="1294"/>
      <c r="Z365" s="1291"/>
      <c r="AA365" s="1294"/>
      <c r="AB365" s="1244"/>
      <c r="AC365" s="1294"/>
      <c r="AD365" s="1244"/>
      <c r="AE365" s="1294"/>
      <c r="AF365" s="1294"/>
      <c r="AG365" s="1291"/>
    </row>
    <row r="366" spans="1:33" s="173" customFormat="1">
      <c r="A366" s="1291"/>
      <c r="B366" s="1291"/>
      <c r="C366" s="1291"/>
      <c r="D366" s="1291"/>
      <c r="E366" s="1291"/>
      <c r="F366" s="1291"/>
      <c r="G366" s="1294"/>
      <c r="H366" s="1291"/>
      <c r="I366" s="1294"/>
      <c r="J366" s="1244"/>
      <c r="K366" s="1294"/>
      <c r="L366" s="1244"/>
      <c r="M366" s="1294"/>
      <c r="N366" s="1291"/>
      <c r="O366" s="1294"/>
      <c r="P366" s="1244"/>
      <c r="Q366" s="1294"/>
      <c r="R366" s="1244"/>
      <c r="S366" s="1294"/>
      <c r="T366" s="1291"/>
      <c r="U366" s="1294"/>
      <c r="V366" s="1244"/>
      <c r="W366" s="1294"/>
      <c r="X366" s="1244"/>
      <c r="Y366" s="1294"/>
      <c r="Z366" s="1291"/>
      <c r="AA366" s="1294"/>
      <c r="AB366" s="1244"/>
      <c r="AC366" s="1294"/>
      <c r="AD366" s="1244"/>
      <c r="AE366" s="1294"/>
      <c r="AF366" s="1294"/>
      <c r="AG366" s="1291"/>
    </row>
    <row r="367" spans="1:33" s="173" customFormat="1">
      <c r="A367" s="1291"/>
      <c r="B367" s="1291"/>
      <c r="C367" s="1291"/>
      <c r="D367" s="1291"/>
      <c r="E367" s="1291"/>
      <c r="F367" s="1291"/>
      <c r="G367" s="1294"/>
      <c r="H367" s="1291"/>
      <c r="I367" s="1294"/>
      <c r="J367" s="1244"/>
      <c r="K367" s="1294"/>
      <c r="L367" s="1244"/>
      <c r="M367" s="1294"/>
      <c r="N367" s="1291"/>
      <c r="O367" s="1294"/>
      <c r="P367" s="1244"/>
      <c r="Q367" s="1294"/>
      <c r="R367" s="1244"/>
      <c r="S367" s="1294"/>
      <c r="T367" s="1291"/>
      <c r="U367" s="1294"/>
      <c r="V367" s="1244"/>
      <c r="W367" s="1294"/>
      <c r="X367" s="1244"/>
      <c r="Y367" s="1294"/>
      <c r="Z367" s="1291"/>
      <c r="AA367" s="1294"/>
      <c r="AB367" s="1244"/>
      <c r="AC367" s="1294"/>
      <c r="AD367" s="1244"/>
      <c r="AE367" s="1294"/>
      <c r="AF367" s="1294"/>
      <c r="AG367" s="1291"/>
    </row>
    <row r="368" spans="1:33" s="173" customFormat="1">
      <c r="A368" s="1291"/>
      <c r="B368" s="1291"/>
      <c r="C368" s="1291"/>
      <c r="D368" s="1291"/>
      <c r="E368" s="1291"/>
      <c r="F368" s="1291"/>
      <c r="G368" s="1294"/>
      <c r="H368" s="1291"/>
      <c r="I368" s="1294"/>
      <c r="J368" s="1244"/>
      <c r="K368" s="1294"/>
      <c r="L368" s="1244"/>
      <c r="M368" s="1294"/>
      <c r="N368" s="1291"/>
      <c r="O368" s="1294"/>
      <c r="P368" s="1244"/>
      <c r="Q368" s="1294"/>
      <c r="R368" s="1244"/>
      <c r="S368" s="1294"/>
      <c r="T368" s="1291"/>
      <c r="U368" s="1294"/>
      <c r="V368" s="1244"/>
      <c r="W368" s="1294"/>
      <c r="X368" s="1244"/>
      <c r="Y368" s="1294"/>
      <c r="Z368" s="1291"/>
      <c r="AA368" s="1294"/>
      <c r="AB368" s="1244"/>
      <c r="AC368" s="1294"/>
      <c r="AD368" s="1244"/>
      <c r="AE368" s="1294"/>
      <c r="AF368" s="1294"/>
      <c r="AG368" s="1291"/>
    </row>
    <row r="369" spans="1:33" s="173" customFormat="1">
      <c r="A369" s="1291"/>
      <c r="B369" s="1291"/>
      <c r="C369" s="1291"/>
      <c r="D369" s="1291"/>
      <c r="E369" s="1291"/>
      <c r="F369" s="1291"/>
      <c r="G369" s="1294"/>
      <c r="H369" s="1291"/>
      <c r="I369" s="1294"/>
      <c r="J369" s="1244"/>
      <c r="K369" s="1294"/>
      <c r="L369" s="1244"/>
      <c r="M369" s="1294"/>
      <c r="N369" s="1291"/>
      <c r="O369" s="1294"/>
      <c r="P369" s="1244"/>
      <c r="Q369" s="1294"/>
      <c r="R369" s="1244"/>
      <c r="S369" s="1294"/>
      <c r="T369" s="1291"/>
      <c r="U369" s="1294"/>
      <c r="V369" s="1244"/>
      <c r="W369" s="1294"/>
      <c r="X369" s="1244"/>
      <c r="Y369" s="1294"/>
      <c r="Z369" s="1291"/>
      <c r="AA369" s="1294"/>
      <c r="AB369" s="1244"/>
      <c r="AC369" s="1294"/>
      <c r="AD369" s="1244"/>
      <c r="AE369" s="1294"/>
      <c r="AF369" s="1294"/>
      <c r="AG369" s="1291"/>
    </row>
    <row r="370" spans="1:33" s="173" customFormat="1">
      <c r="A370" s="1291"/>
      <c r="B370" s="1291"/>
      <c r="C370" s="1291"/>
      <c r="D370" s="1291"/>
      <c r="E370" s="1291"/>
      <c r="F370" s="1291"/>
      <c r="G370" s="1294"/>
      <c r="H370" s="1291"/>
      <c r="I370" s="1294"/>
      <c r="J370" s="1244"/>
      <c r="K370" s="1294"/>
      <c r="L370" s="1244"/>
      <c r="M370" s="1294"/>
      <c r="N370" s="1291"/>
      <c r="O370" s="1294"/>
      <c r="P370" s="1244"/>
      <c r="Q370" s="1294"/>
      <c r="R370" s="1244"/>
      <c r="S370" s="1294"/>
      <c r="T370" s="1291"/>
      <c r="U370" s="1294"/>
      <c r="V370" s="1244"/>
      <c r="W370" s="1294"/>
      <c r="X370" s="1244"/>
      <c r="Y370" s="1294"/>
      <c r="Z370" s="1291"/>
      <c r="AA370" s="1294"/>
      <c r="AB370" s="1244"/>
      <c r="AC370" s="1294"/>
      <c r="AD370" s="1244"/>
      <c r="AE370" s="1294"/>
      <c r="AF370" s="1294"/>
      <c r="AG370" s="1291"/>
    </row>
    <row r="371" spans="1:33" s="173" customFormat="1">
      <c r="A371" s="1291"/>
      <c r="B371" s="1291"/>
      <c r="C371" s="1291"/>
      <c r="D371" s="1291"/>
      <c r="E371" s="1291"/>
      <c r="F371" s="1291"/>
      <c r="G371" s="1294"/>
      <c r="H371" s="1291"/>
      <c r="I371" s="1294"/>
      <c r="J371" s="1244"/>
      <c r="K371" s="1294"/>
      <c r="L371" s="1244"/>
      <c r="M371" s="1294"/>
      <c r="N371" s="1291"/>
      <c r="O371" s="1294"/>
      <c r="P371" s="1244"/>
      <c r="Q371" s="1294"/>
      <c r="R371" s="1244"/>
      <c r="S371" s="1294"/>
      <c r="T371" s="1291"/>
      <c r="U371" s="1294"/>
      <c r="V371" s="1244"/>
      <c r="W371" s="1294"/>
      <c r="X371" s="1244"/>
      <c r="Y371" s="1294"/>
      <c r="Z371" s="1291"/>
      <c r="AA371" s="1294"/>
      <c r="AB371" s="1244"/>
      <c r="AC371" s="1294"/>
      <c r="AD371" s="1244"/>
      <c r="AE371" s="1294"/>
      <c r="AF371" s="1294"/>
      <c r="AG371" s="1291"/>
    </row>
    <row r="372" spans="1:33" s="173" customFormat="1">
      <c r="A372" s="1291"/>
      <c r="B372" s="1291"/>
      <c r="C372" s="1291"/>
      <c r="D372" s="1291"/>
      <c r="E372" s="1291"/>
      <c r="F372" s="1291"/>
      <c r="G372" s="1294"/>
      <c r="H372" s="1291"/>
      <c r="I372" s="1294"/>
      <c r="J372" s="1244"/>
      <c r="K372" s="1294"/>
      <c r="L372" s="1244"/>
      <c r="M372" s="1294"/>
      <c r="N372" s="1291"/>
      <c r="O372" s="1294"/>
      <c r="P372" s="1244"/>
      <c r="Q372" s="1294"/>
      <c r="R372" s="1244"/>
      <c r="S372" s="1294"/>
      <c r="T372" s="1291"/>
      <c r="U372" s="1294"/>
      <c r="V372" s="1244"/>
      <c r="W372" s="1294"/>
      <c r="X372" s="1244"/>
      <c r="Y372" s="1294"/>
      <c r="Z372" s="1291"/>
      <c r="AA372" s="1294"/>
      <c r="AB372" s="1244"/>
      <c r="AC372" s="1294"/>
      <c r="AD372" s="1244"/>
      <c r="AE372" s="1294"/>
      <c r="AF372" s="1294"/>
      <c r="AG372" s="1291"/>
    </row>
    <row r="373" spans="1:33" s="173" customFormat="1">
      <c r="A373" s="1291"/>
      <c r="B373" s="1291"/>
      <c r="C373" s="1291"/>
      <c r="D373" s="1291"/>
      <c r="E373" s="1291"/>
      <c r="F373" s="1291"/>
      <c r="G373" s="1294"/>
      <c r="H373" s="1291"/>
      <c r="I373" s="1294"/>
      <c r="J373" s="1244"/>
      <c r="K373" s="1294"/>
      <c r="L373" s="1244"/>
      <c r="M373" s="1294"/>
      <c r="N373" s="1291"/>
      <c r="O373" s="1294"/>
      <c r="P373" s="1244"/>
      <c r="Q373" s="1294"/>
      <c r="R373" s="1244"/>
      <c r="S373" s="1294"/>
      <c r="T373" s="1291"/>
      <c r="U373" s="1294"/>
      <c r="V373" s="1244"/>
      <c r="W373" s="1294"/>
      <c r="X373" s="1244"/>
      <c r="Y373" s="1294"/>
      <c r="Z373" s="1291"/>
      <c r="AA373" s="1294"/>
      <c r="AB373" s="1244"/>
      <c r="AC373" s="1294"/>
      <c r="AD373" s="1244"/>
      <c r="AE373" s="1294"/>
      <c r="AF373" s="1294"/>
      <c r="AG373" s="1291"/>
    </row>
    <row r="374" spans="1:33" s="173" customFormat="1">
      <c r="A374" s="1291"/>
      <c r="B374" s="1291"/>
      <c r="C374" s="1291"/>
      <c r="D374" s="1291"/>
      <c r="E374" s="1291"/>
      <c r="F374" s="1291"/>
      <c r="G374" s="1294"/>
      <c r="H374" s="1291"/>
      <c r="I374" s="1294"/>
      <c r="J374" s="1244"/>
      <c r="K374" s="1294"/>
      <c r="L374" s="1244"/>
      <c r="M374" s="1294"/>
      <c r="N374" s="1291"/>
      <c r="O374" s="1294"/>
      <c r="P374" s="1244"/>
      <c r="Q374" s="1294"/>
      <c r="R374" s="1244"/>
      <c r="S374" s="1294"/>
      <c r="T374" s="1291"/>
      <c r="U374" s="1294"/>
      <c r="V374" s="1244"/>
      <c r="W374" s="1294"/>
      <c r="X374" s="1244"/>
      <c r="Y374" s="1294"/>
      <c r="Z374" s="1291"/>
      <c r="AA374" s="1294"/>
      <c r="AB374" s="1244"/>
      <c r="AC374" s="1294"/>
      <c r="AD374" s="1244"/>
      <c r="AE374" s="1294"/>
      <c r="AF374" s="1294"/>
      <c r="AG374" s="1291"/>
    </row>
    <row r="375" spans="1:33" s="173" customFormat="1">
      <c r="A375" s="1291"/>
      <c r="B375" s="1291"/>
      <c r="C375" s="1291"/>
      <c r="D375" s="1291"/>
      <c r="E375" s="1291"/>
      <c r="F375" s="1291"/>
      <c r="G375" s="1294"/>
      <c r="H375" s="1291"/>
      <c r="I375" s="1294"/>
      <c r="J375" s="1244"/>
      <c r="K375" s="1294"/>
      <c r="L375" s="1244"/>
      <c r="M375" s="1294"/>
      <c r="N375" s="1291"/>
      <c r="O375" s="1294"/>
      <c r="P375" s="1244"/>
      <c r="Q375" s="1294"/>
      <c r="R375" s="1244"/>
      <c r="S375" s="1294"/>
      <c r="T375" s="1291"/>
      <c r="U375" s="1294"/>
      <c r="V375" s="1244"/>
      <c r="W375" s="1294"/>
      <c r="X375" s="1244"/>
      <c r="Y375" s="1294"/>
      <c r="Z375" s="1291"/>
      <c r="AA375" s="1294"/>
      <c r="AB375" s="1244"/>
      <c r="AC375" s="1294"/>
      <c r="AD375" s="1244"/>
      <c r="AE375" s="1294"/>
      <c r="AF375" s="1294"/>
      <c r="AG375" s="1291"/>
    </row>
    <row r="376" spans="1:33" s="173" customFormat="1">
      <c r="A376" s="1291"/>
      <c r="B376" s="1291"/>
      <c r="C376" s="1291"/>
      <c r="D376" s="1291"/>
      <c r="E376" s="1291"/>
      <c r="F376" s="1291"/>
      <c r="G376" s="1294"/>
      <c r="H376" s="1291"/>
      <c r="I376" s="1294"/>
      <c r="J376" s="1244"/>
      <c r="K376" s="1294"/>
      <c r="L376" s="1244"/>
      <c r="M376" s="1294"/>
      <c r="N376" s="1291"/>
      <c r="O376" s="1294"/>
      <c r="P376" s="1244"/>
      <c r="Q376" s="1294"/>
      <c r="R376" s="1244"/>
      <c r="S376" s="1294"/>
      <c r="T376" s="1291"/>
      <c r="U376" s="1294"/>
      <c r="V376" s="1244"/>
      <c r="W376" s="1294"/>
      <c r="X376" s="1244"/>
      <c r="Y376" s="1294"/>
      <c r="Z376" s="1291"/>
      <c r="AA376" s="1294"/>
      <c r="AB376" s="1244"/>
      <c r="AC376" s="1294"/>
      <c r="AD376" s="1244"/>
      <c r="AE376" s="1294"/>
      <c r="AF376" s="1294"/>
      <c r="AG376" s="1291"/>
    </row>
    <row r="377" spans="1:33" s="173" customFormat="1">
      <c r="A377" s="1291"/>
      <c r="B377" s="1291"/>
      <c r="C377" s="1291"/>
      <c r="D377" s="1291"/>
      <c r="E377" s="1291"/>
      <c r="F377" s="1291"/>
      <c r="G377" s="1294"/>
      <c r="H377" s="1291"/>
      <c r="I377" s="1294"/>
      <c r="J377" s="1244"/>
      <c r="K377" s="1294"/>
      <c r="L377" s="1244"/>
      <c r="M377" s="1294"/>
      <c r="N377" s="1291"/>
      <c r="O377" s="1294"/>
      <c r="P377" s="1244"/>
      <c r="Q377" s="1294"/>
      <c r="R377" s="1244"/>
      <c r="S377" s="1294"/>
      <c r="T377" s="1291"/>
      <c r="U377" s="1294"/>
      <c r="V377" s="1244"/>
      <c r="W377" s="1294"/>
      <c r="X377" s="1244"/>
      <c r="Y377" s="1294"/>
      <c r="Z377" s="1291"/>
      <c r="AA377" s="1294"/>
      <c r="AB377" s="1244"/>
      <c r="AC377" s="1294"/>
      <c r="AD377" s="1244"/>
      <c r="AE377" s="1294"/>
      <c r="AF377" s="1294"/>
      <c r="AG377" s="1291"/>
    </row>
    <row r="378" spans="1:33" s="173" customFormat="1">
      <c r="A378" s="1291"/>
      <c r="B378" s="1291"/>
      <c r="C378" s="1291"/>
      <c r="D378" s="1291"/>
      <c r="E378" s="1291"/>
      <c r="F378" s="1291"/>
      <c r="G378" s="1294"/>
      <c r="H378" s="1291"/>
      <c r="I378" s="1294"/>
      <c r="J378" s="1244"/>
      <c r="K378" s="1294"/>
      <c r="L378" s="1244"/>
      <c r="M378" s="1294"/>
      <c r="N378" s="1291"/>
      <c r="O378" s="1294"/>
      <c r="P378" s="1244"/>
      <c r="Q378" s="1294"/>
      <c r="R378" s="1244"/>
      <c r="S378" s="1294"/>
      <c r="T378" s="1291"/>
      <c r="U378" s="1294"/>
      <c r="V378" s="1244"/>
      <c r="W378" s="1294"/>
      <c r="X378" s="1244"/>
      <c r="Y378" s="1294"/>
      <c r="Z378" s="1291"/>
      <c r="AA378" s="1294"/>
      <c r="AB378" s="1244"/>
      <c r="AC378" s="1294"/>
      <c r="AD378" s="1244"/>
      <c r="AE378" s="1294"/>
      <c r="AF378" s="1294"/>
      <c r="AG378" s="1291"/>
    </row>
    <row r="379" spans="1:33" s="173" customFormat="1">
      <c r="A379" s="1291"/>
      <c r="B379" s="1291"/>
      <c r="C379" s="1291"/>
      <c r="D379" s="1291"/>
      <c r="E379" s="1291"/>
      <c r="F379" s="1291"/>
      <c r="G379" s="1294"/>
      <c r="H379" s="1291"/>
      <c r="I379" s="1294"/>
      <c r="J379" s="1244"/>
      <c r="K379" s="1294"/>
      <c r="L379" s="1244"/>
      <c r="M379" s="1294"/>
      <c r="N379" s="1291"/>
      <c r="O379" s="1294"/>
      <c r="P379" s="1244"/>
      <c r="Q379" s="1294"/>
      <c r="R379" s="1244"/>
      <c r="S379" s="1294"/>
      <c r="T379" s="1291"/>
      <c r="U379" s="1294"/>
      <c r="V379" s="1244"/>
      <c r="W379" s="1294"/>
      <c r="X379" s="1244"/>
      <c r="Y379" s="1294"/>
      <c r="Z379" s="1291"/>
      <c r="AA379" s="1294"/>
      <c r="AB379" s="1244"/>
      <c r="AC379" s="1294"/>
      <c r="AD379" s="1244"/>
      <c r="AE379" s="1294"/>
      <c r="AF379" s="1294"/>
      <c r="AG379" s="1291"/>
    </row>
    <row r="380" spans="1:33" s="173" customFormat="1">
      <c r="A380" s="1291"/>
      <c r="B380" s="1291"/>
      <c r="C380" s="1291"/>
      <c r="D380" s="1291"/>
      <c r="E380" s="1291"/>
      <c r="F380" s="1291"/>
      <c r="G380" s="1294"/>
      <c r="H380" s="1291"/>
      <c r="I380" s="1294"/>
      <c r="J380" s="1244"/>
      <c r="K380" s="1294"/>
      <c r="L380" s="1244"/>
      <c r="M380" s="1294"/>
      <c r="N380" s="1291"/>
      <c r="O380" s="1294"/>
      <c r="P380" s="1244"/>
      <c r="Q380" s="1294"/>
      <c r="R380" s="1244"/>
      <c r="S380" s="1294"/>
      <c r="T380" s="1291"/>
      <c r="U380" s="1294"/>
      <c r="V380" s="1244"/>
      <c r="W380" s="1294"/>
      <c r="X380" s="1244"/>
      <c r="Y380" s="1294"/>
      <c r="Z380" s="1291"/>
      <c r="AA380" s="1294"/>
      <c r="AB380" s="1244"/>
      <c r="AC380" s="1294"/>
      <c r="AD380" s="1244"/>
      <c r="AE380" s="1294"/>
      <c r="AF380" s="1294"/>
      <c r="AG380" s="1291"/>
    </row>
    <row r="381" spans="1:33" s="173" customFormat="1">
      <c r="A381" s="1291"/>
      <c r="B381" s="1291"/>
      <c r="C381" s="1291"/>
      <c r="D381" s="1291"/>
      <c r="E381" s="1291"/>
      <c r="F381" s="1291"/>
      <c r="G381" s="1294"/>
      <c r="H381" s="1291"/>
      <c r="I381" s="1294"/>
      <c r="J381" s="1244"/>
      <c r="K381" s="1294"/>
      <c r="L381" s="1244"/>
      <c r="M381" s="1294"/>
      <c r="N381" s="1291"/>
      <c r="O381" s="1294"/>
      <c r="P381" s="1244"/>
      <c r="Q381" s="1294"/>
      <c r="R381" s="1244"/>
      <c r="S381" s="1294"/>
      <c r="T381" s="1291"/>
      <c r="U381" s="1294"/>
      <c r="V381" s="1244"/>
      <c r="W381" s="1294"/>
      <c r="X381" s="1244"/>
      <c r="Y381" s="1294"/>
      <c r="Z381" s="1291"/>
      <c r="AA381" s="1294"/>
      <c r="AB381" s="1244"/>
      <c r="AC381" s="1294"/>
      <c r="AD381" s="1244"/>
      <c r="AE381" s="1294"/>
      <c r="AF381" s="1294"/>
      <c r="AG381" s="1291"/>
    </row>
    <row r="382" spans="1:33" s="173" customFormat="1">
      <c r="A382" s="1291"/>
      <c r="B382" s="1291"/>
      <c r="C382" s="1291"/>
      <c r="D382" s="1291"/>
      <c r="E382" s="1291"/>
      <c r="F382" s="1291"/>
      <c r="G382" s="1294"/>
      <c r="H382" s="1291"/>
      <c r="I382" s="1294"/>
      <c r="J382" s="1244"/>
      <c r="K382" s="1294"/>
      <c r="L382" s="1244"/>
      <c r="M382" s="1294"/>
      <c r="N382" s="1291"/>
      <c r="O382" s="1294"/>
      <c r="P382" s="1244"/>
      <c r="Q382" s="1294"/>
      <c r="R382" s="1244"/>
      <c r="S382" s="1294"/>
      <c r="T382" s="1291"/>
      <c r="U382" s="1294"/>
      <c r="V382" s="1244"/>
      <c r="W382" s="1294"/>
      <c r="X382" s="1244"/>
      <c r="Y382" s="1294"/>
      <c r="Z382" s="1291"/>
      <c r="AA382" s="1294"/>
      <c r="AB382" s="1244"/>
      <c r="AC382" s="1294"/>
      <c r="AD382" s="1244"/>
      <c r="AE382" s="1294"/>
      <c r="AF382" s="1294"/>
      <c r="AG382" s="1291"/>
    </row>
    <row r="383" spans="1:33" s="173" customFormat="1">
      <c r="A383" s="1291"/>
      <c r="B383" s="1291"/>
      <c r="C383" s="1291"/>
      <c r="D383" s="1291"/>
      <c r="E383" s="1291"/>
      <c r="F383" s="1291"/>
      <c r="G383" s="1294"/>
      <c r="H383" s="1291"/>
      <c r="I383" s="1294"/>
      <c r="J383" s="1244"/>
      <c r="K383" s="1294"/>
      <c r="L383" s="1244"/>
      <c r="M383" s="1294"/>
      <c r="N383" s="1291"/>
      <c r="O383" s="1294"/>
      <c r="P383" s="1244"/>
      <c r="Q383" s="1294"/>
      <c r="R383" s="1244"/>
      <c r="S383" s="1294"/>
      <c r="T383" s="1291"/>
      <c r="U383" s="1294"/>
      <c r="V383" s="1244"/>
      <c r="W383" s="1294"/>
      <c r="X383" s="1244"/>
      <c r="Y383" s="1294"/>
      <c r="Z383" s="1291"/>
      <c r="AA383" s="1294"/>
      <c r="AB383" s="1244"/>
      <c r="AC383" s="1294"/>
      <c r="AD383" s="1244"/>
      <c r="AE383" s="1294"/>
      <c r="AF383" s="1294"/>
      <c r="AG383" s="1291"/>
    </row>
    <row r="384" spans="1:33" s="173" customFormat="1">
      <c r="A384" s="1291"/>
      <c r="B384" s="1291"/>
      <c r="C384" s="1291"/>
      <c r="D384" s="1291"/>
      <c r="E384" s="1291"/>
      <c r="F384" s="1291"/>
      <c r="G384" s="1294"/>
      <c r="H384" s="1291"/>
      <c r="I384" s="1294"/>
      <c r="J384" s="1244"/>
      <c r="K384" s="1294"/>
      <c r="L384" s="1244"/>
      <c r="M384" s="1294"/>
      <c r="N384" s="1291"/>
      <c r="O384" s="1294"/>
      <c r="P384" s="1244"/>
      <c r="Q384" s="1294"/>
      <c r="R384" s="1244"/>
      <c r="S384" s="1294"/>
      <c r="T384" s="1291"/>
      <c r="U384" s="1294"/>
      <c r="V384" s="1244"/>
      <c r="W384" s="1294"/>
      <c r="X384" s="1244"/>
      <c r="Y384" s="1294"/>
      <c r="Z384" s="1291"/>
      <c r="AA384" s="1294"/>
      <c r="AB384" s="1244"/>
      <c r="AC384" s="1294"/>
      <c r="AD384" s="1244"/>
      <c r="AE384" s="1294"/>
      <c r="AF384" s="1294"/>
      <c r="AG384" s="1291"/>
    </row>
    <row r="385" spans="1:33" s="173" customFormat="1">
      <c r="A385" s="1291"/>
      <c r="B385" s="1291"/>
      <c r="C385" s="1291"/>
      <c r="D385" s="1291"/>
      <c r="E385" s="1291"/>
      <c r="F385" s="1291"/>
      <c r="G385" s="1294"/>
      <c r="H385" s="1291"/>
      <c r="I385" s="1294"/>
      <c r="J385" s="1244"/>
      <c r="K385" s="1294"/>
      <c r="L385" s="1244"/>
      <c r="M385" s="1294"/>
      <c r="N385" s="1291"/>
      <c r="O385" s="1294"/>
      <c r="P385" s="1244"/>
      <c r="Q385" s="1294"/>
      <c r="R385" s="1244"/>
      <c r="S385" s="1294"/>
      <c r="T385" s="1291"/>
      <c r="U385" s="1294"/>
      <c r="V385" s="1244"/>
      <c r="W385" s="1294"/>
      <c r="X385" s="1244"/>
      <c r="Y385" s="1294"/>
      <c r="Z385" s="1291"/>
      <c r="AA385" s="1294"/>
      <c r="AB385" s="1244"/>
      <c r="AC385" s="1294"/>
      <c r="AD385" s="1244"/>
      <c r="AE385" s="1294"/>
      <c r="AF385" s="1294"/>
      <c r="AG385" s="1291"/>
    </row>
    <row r="386" spans="1:33" s="173" customFormat="1">
      <c r="A386" s="1291"/>
      <c r="B386" s="1291"/>
      <c r="C386" s="1291"/>
      <c r="D386" s="1291"/>
      <c r="E386" s="1291"/>
      <c r="F386" s="1291"/>
      <c r="G386" s="1294"/>
      <c r="H386" s="1291"/>
      <c r="I386" s="1294"/>
      <c r="J386" s="1244"/>
      <c r="K386" s="1294"/>
      <c r="L386" s="1244"/>
      <c r="M386" s="1294"/>
      <c r="N386" s="1291"/>
      <c r="O386" s="1294"/>
      <c r="P386" s="1244"/>
      <c r="Q386" s="1294"/>
      <c r="R386" s="1244"/>
      <c r="S386" s="1294"/>
      <c r="T386" s="1291"/>
      <c r="U386" s="1294"/>
      <c r="V386" s="1244"/>
      <c r="W386" s="1294"/>
      <c r="X386" s="1244"/>
      <c r="Y386" s="1294"/>
      <c r="Z386" s="1291"/>
      <c r="AA386" s="1294"/>
      <c r="AB386" s="1244"/>
      <c r="AC386" s="1294"/>
      <c r="AD386" s="1244"/>
      <c r="AE386" s="1294"/>
      <c r="AF386" s="1294"/>
      <c r="AG386" s="1291"/>
    </row>
    <row r="387" spans="1:33" s="173" customFormat="1">
      <c r="A387" s="1291"/>
      <c r="B387" s="1291"/>
      <c r="C387" s="1291"/>
      <c r="D387" s="1291"/>
      <c r="E387" s="1291"/>
      <c r="F387" s="1291"/>
      <c r="G387" s="1294"/>
      <c r="H387" s="1291"/>
      <c r="I387" s="1294"/>
      <c r="J387" s="1244"/>
      <c r="K387" s="1294"/>
      <c r="L387" s="1244"/>
      <c r="M387" s="1294"/>
      <c r="N387" s="1291"/>
      <c r="O387" s="1294"/>
      <c r="P387" s="1244"/>
      <c r="Q387" s="1294"/>
      <c r="R387" s="1244"/>
      <c r="S387" s="1294"/>
      <c r="T387" s="1291"/>
      <c r="U387" s="1294"/>
      <c r="V387" s="1244"/>
      <c r="W387" s="1294"/>
      <c r="X387" s="1244"/>
      <c r="Y387" s="1294"/>
      <c r="Z387" s="1291"/>
      <c r="AA387" s="1294"/>
      <c r="AB387" s="1244"/>
      <c r="AC387" s="1294"/>
      <c r="AD387" s="1244"/>
      <c r="AE387" s="1294"/>
      <c r="AF387" s="1294"/>
      <c r="AG387" s="1291"/>
    </row>
    <row r="388" spans="1:33" s="173" customFormat="1">
      <c r="A388" s="1291"/>
      <c r="B388" s="1291"/>
      <c r="C388" s="1291"/>
      <c r="D388" s="1291"/>
      <c r="E388" s="1291"/>
      <c r="F388" s="1291"/>
      <c r="G388" s="1294"/>
      <c r="H388" s="1291"/>
      <c r="I388" s="1294"/>
      <c r="J388" s="1244"/>
      <c r="K388" s="1294"/>
      <c r="L388" s="1244"/>
      <c r="M388" s="1294"/>
      <c r="N388" s="1291"/>
      <c r="O388" s="1294"/>
      <c r="P388" s="1244"/>
      <c r="Q388" s="1294"/>
      <c r="R388" s="1244"/>
      <c r="S388" s="1294"/>
      <c r="T388" s="1291"/>
      <c r="U388" s="1294"/>
      <c r="V388" s="1244"/>
      <c r="W388" s="1294"/>
      <c r="X388" s="1244"/>
      <c r="Y388" s="1294"/>
      <c r="Z388" s="1291"/>
      <c r="AA388" s="1294"/>
      <c r="AB388" s="1244"/>
      <c r="AC388" s="1294"/>
      <c r="AD388" s="1244"/>
      <c r="AE388" s="1294"/>
      <c r="AF388" s="1294"/>
      <c r="AG388" s="1291"/>
    </row>
    <row r="389" spans="1:33" s="173" customFormat="1">
      <c r="A389" s="1291"/>
      <c r="B389" s="1291"/>
      <c r="C389" s="1291"/>
      <c r="D389" s="1291"/>
      <c r="E389" s="1291"/>
      <c r="F389" s="1291"/>
      <c r="G389" s="1294"/>
      <c r="H389" s="1291"/>
      <c r="I389" s="1294"/>
      <c r="J389" s="1244"/>
      <c r="K389" s="1294"/>
      <c r="L389" s="1244"/>
      <c r="M389" s="1294"/>
      <c r="N389" s="1291"/>
      <c r="O389" s="1294"/>
      <c r="P389" s="1244"/>
      <c r="Q389" s="1294"/>
      <c r="R389" s="1244"/>
      <c r="S389" s="1294"/>
      <c r="T389" s="1291"/>
      <c r="U389" s="1294"/>
      <c r="V389" s="1244"/>
      <c r="W389" s="1294"/>
      <c r="X389" s="1244"/>
      <c r="Y389" s="1294"/>
      <c r="Z389" s="1291"/>
      <c r="AA389" s="1294"/>
      <c r="AB389" s="1244"/>
      <c r="AC389" s="1294"/>
      <c r="AD389" s="1244"/>
      <c r="AE389" s="1294"/>
      <c r="AF389" s="1294"/>
      <c r="AG389" s="1291"/>
    </row>
    <row r="390" spans="1:33" s="173" customFormat="1">
      <c r="A390" s="1291"/>
      <c r="B390" s="1291"/>
      <c r="C390" s="1291"/>
      <c r="D390" s="1291"/>
      <c r="E390" s="1291"/>
      <c r="F390" s="1291"/>
      <c r="G390" s="1294"/>
      <c r="H390" s="1291"/>
      <c r="I390" s="1294"/>
      <c r="J390" s="1244"/>
      <c r="K390" s="1294"/>
      <c r="L390" s="1244"/>
      <c r="M390" s="1294"/>
      <c r="N390" s="1291"/>
      <c r="O390" s="1294"/>
      <c r="P390" s="1244"/>
      <c r="Q390" s="1294"/>
      <c r="R390" s="1244"/>
      <c r="S390" s="1294"/>
      <c r="T390" s="1291"/>
      <c r="U390" s="1294"/>
      <c r="V390" s="1244"/>
      <c r="W390" s="1294"/>
      <c r="X390" s="1244"/>
      <c r="Y390" s="1294"/>
      <c r="Z390" s="1291"/>
      <c r="AA390" s="1294"/>
      <c r="AB390" s="1244"/>
      <c r="AC390" s="1294"/>
      <c r="AD390" s="1244"/>
      <c r="AE390" s="1294"/>
      <c r="AF390" s="1294"/>
      <c r="AG390" s="1291"/>
    </row>
    <row r="391" spans="1:33" s="173" customFormat="1">
      <c r="A391" s="1291"/>
      <c r="B391" s="1291"/>
      <c r="C391" s="1291"/>
      <c r="D391" s="1291"/>
      <c r="E391" s="1291"/>
      <c r="F391" s="1291"/>
      <c r="G391" s="1294"/>
      <c r="H391" s="1291"/>
      <c r="I391" s="1294"/>
      <c r="J391" s="1244"/>
      <c r="K391" s="1294"/>
      <c r="L391" s="1244"/>
      <c r="M391" s="1294"/>
      <c r="N391" s="1291"/>
      <c r="O391" s="1294"/>
      <c r="P391" s="1244"/>
      <c r="Q391" s="1294"/>
      <c r="R391" s="1244"/>
      <c r="S391" s="1294"/>
      <c r="T391" s="1291"/>
      <c r="U391" s="1294"/>
      <c r="V391" s="1244"/>
      <c r="W391" s="1294"/>
      <c r="X391" s="1244"/>
      <c r="Y391" s="1294"/>
      <c r="Z391" s="1291"/>
      <c r="AA391" s="1294"/>
      <c r="AB391" s="1244"/>
      <c r="AC391" s="1294"/>
      <c r="AD391" s="1244"/>
      <c r="AE391" s="1294"/>
      <c r="AF391" s="1294"/>
      <c r="AG391" s="1291"/>
    </row>
    <row r="392" spans="1:33" s="173" customFormat="1">
      <c r="A392" s="1291"/>
      <c r="B392" s="1291"/>
      <c r="C392" s="1291"/>
      <c r="D392" s="1291"/>
      <c r="E392" s="1291"/>
      <c r="F392" s="1291"/>
      <c r="G392" s="1294"/>
      <c r="H392" s="1291"/>
      <c r="I392" s="1294"/>
      <c r="J392" s="1244"/>
      <c r="K392" s="1294"/>
      <c r="L392" s="1244"/>
      <c r="M392" s="1294"/>
      <c r="N392" s="1291"/>
      <c r="O392" s="1294"/>
      <c r="P392" s="1244"/>
      <c r="Q392" s="1294"/>
      <c r="R392" s="1244"/>
      <c r="S392" s="1294"/>
      <c r="T392" s="1291"/>
      <c r="U392" s="1294"/>
      <c r="V392" s="1244"/>
      <c r="W392" s="1294"/>
      <c r="X392" s="1244"/>
      <c r="Y392" s="1294"/>
      <c r="Z392" s="1291"/>
      <c r="AA392" s="1294"/>
      <c r="AB392" s="1244"/>
      <c r="AC392" s="1294"/>
      <c r="AD392" s="1244"/>
      <c r="AE392" s="1294"/>
      <c r="AF392" s="1294"/>
      <c r="AG392" s="1291"/>
    </row>
    <row r="393" spans="1:33" s="173" customFormat="1">
      <c r="A393" s="1291"/>
      <c r="B393" s="1291"/>
      <c r="C393" s="1291"/>
      <c r="D393" s="1291"/>
      <c r="E393" s="1291"/>
      <c r="F393" s="1291"/>
      <c r="G393" s="1294"/>
      <c r="H393" s="1291"/>
      <c r="I393" s="1294"/>
      <c r="J393" s="1244"/>
      <c r="K393" s="1294"/>
      <c r="L393" s="1244"/>
      <c r="M393" s="1294"/>
      <c r="N393" s="1291"/>
      <c r="O393" s="1294"/>
      <c r="P393" s="1244"/>
      <c r="Q393" s="1294"/>
      <c r="R393" s="1244"/>
      <c r="S393" s="1294"/>
      <c r="T393" s="1291"/>
      <c r="U393" s="1294"/>
      <c r="V393" s="1244"/>
      <c r="W393" s="1294"/>
      <c r="X393" s="1244"/>
      <c r="Y393" s="1294"/>
      <c r="Z393" s="1291"/>
      <c r="AA393" s="1294"/>
      <c r="AB393" s="1244"/>
      <c r="AC393" s="1294"/>
      <c r="AD393" s="1244"/>
      <c r="AE393" s="1294"/>
      <c r="AF393" s="1294"/>
      <c r="AG393" s="1291"/>
    </row>
    <row r="394" spans="1:33" s="173" customFormat="1">
      <c r="A394" s="1291"/>
      <c r="B394" s="1291"/>
      <c r="C394" s="1291"/>
      <c r="D394" s="1291"/>
      <c r="E394" s="1291"/>
      <c r="F394" s="1291"/>
      <c r="G394" s="1294"/>
      <c r="H394" s="1291"/>
      <c r="I394" s="1294"/>
      <c r="J394" s="1244"/>
      <c r="K394" s="1294"/>
      <c r="L394" s="1244"/>
      <c r="M394" s="1294"/>
      <c r="N394" s="1291"/>
      <c r="O394" s="1294"/>
      <c r="P394" s="1244"/>
      <c r="Q394" s="1294"/>
      <c r="R394" s="1244"/>
      <c r="S394" s="1294"/>
      <c r="T394" s="1291"/>
      <c r="U394" s="1294"/>
      <c r="V394" s="1244"/>
      <c r="W394" s="1294"/>
      <c r="X394" s="1244"/>
      <c r="Y394" s="1294"/>
      <c r="Z394" s="1291"/>
      <c r="AA394" s="1294"/>
      <c r="AB394" s="1244"/>
      <c r="AC394" s="1294"/>
      <c r="AD394" s="1244"/>
      <c r="AE394" s="1294"/>
      <c r="AF394" s="1294"/>
      <c r="AG394" s="1291"/>
    </row>
    <row r="395" spans="1:33" s="173" customFormat="1">
      <c r="A395" s="1291"/>
      <c r="B395" s="1291"/>
      <c r="C395" s="1291"/>
      <c r="D395" s="1291"/>
      <c r="E395" s="1291"/>
      <c r="F395" s="1291"/>
      <c r="G395" s="1294"/>
      <c r="H395" s="1291"/>
      <c r="I395" s="1294"/>
      <c r="J395" s="1244"/>
      <c r="K395" s="1294"/>
      <c r="L395" s="1244"/>
      <c r="M395" s="1294"/>
      <c r="N395" s="1291"/>
      <c r="O395" s="1294"/>
      <c r="P395" s="1244"/>
      <c r="Q395" s="1294"/>
      <c r="R395" s="1244"/>
      <c r="S395" s="1294"/>
      <c r="T395" s="1291"/>
      <c r="U395" s="1294"/>
      <c r="V395" s="1244"/>
      <c r="W395" s="1294"/>
      <c r="X395" s="1244"/>
      <c r="Y395" s="1294"/>
      <c r="Z395" s="1291"/>
      <c r="AA395" s="1294"/>
      <c r="AB395" s="1244"/>
      <c r="AC395" s="1294"/>
      <c r="AD395" s="1244"/>
      <c r="AE395" s="1294"/>
      <c r="AF395" s="1294"/>
      <c r="AG395" s="1291"/>
    </row>
    <row r="396" spans="1:33" s="173" customFormat="1">
      <c r="A396" s="1291"/>
      <c r="B396" s="1291"/>
      <c r="C396" s="1291"/>
      <c r="D396" s="1291"/>
      <c r="E396" s="1291"/>
      <c r="F396" s="1291"/>
      <c r="G396" s="1294"/>
      <c r="H396" s="1291"/>
      <c r="I396" s="1294"/>
      <c r="J396" s="1244"/>
      <c r="K396" s="1294"/>
      <c r="L396" s="1244"/>
      <c r="M396" s="1294"/>
      <c r="N396" s="1291"/>
      <c r="O396" s="1294"/>
      <c r="P396" s="1244"/>
      <c r="Q396" s="1294"/>
      <c r="R396" s="1244"/>
      <c r="S396" s="1294"/>
      <c r="T396" s="1291"/>
      <c r="U396" s="1294"/>
      <c r="V396" s="1244"/>
      <c r="W396" s="1294"/>
      <c r="X396" s="1244"/>
      <c r="Y396" s="1294"/>
      <c r="Z396" s="1291"/>
      <c r="AA396" s="1294"/>
      <c r="AB396" s="1244"/>
      <c r="AC396" s="1294"/>
      <c r="AD396" s="1244"/>
      <c r="AE396" s="1294"/>
      <c r="AF396" s="1294"/>
      <c r="AG396" s="1291"/>
    </row>
    <row r="397" spans="1:33" s="173" customFormat="1">
      <c r="A397" s="1291"/>
      <c r="B397" s="1291"/>
      <c r="C397" s="1291"/>
      <c r="D397" s="1291"/>
      <c r="E397" s="1291"/>
      <c r="F397" s="1291"/>
      <c r="G397" s="1294"/>
      <c r="H397" s="1291"/>
      <c r="I397" s="1294"/>
      <c r="J397" s="1244"/>
      <c r="K397" s="1294"/>
      <c r="L397" s="1244"/>
      <c r="M397" s="1294"/>
      <c r="N397" s="1291"/>
      <c r="O397" s="1294"/>
      <c r="P397" s="1244"/>
      <c r="Q397" s="1294"/>
      <c r="R397" s="1244"/>
      <c r="S397" s="1294"/>
      <c r="T397" s="1291"/>
      <c r="U397" s="1294"/>
      <c r="V397" s="1244"/>
      <c r="W397" s="1294"/>
      <c r="X397" s="1244"/>
      <c r="Y397" s="1294"/>
      <c r="Z397" s="1291"/>
      <c r="AA397" s="1294"/>
      <c r="AB397" s="1244"/>
      <c r="AC397" s="1294"/>
      <c r="AD397" s="1244"/>
      <c r="AE397" s="1294"/>
      <c r="AF397" s="1294"/>
      <c r="AG397" s="1291"/>
    </row>
    <row r="398" spans="1:33" s="173" customFormat="1">
      <c r="A398" s="1291"/>
      <c r="B398" s="1291"/>
      <c r="C398" s="1291"/>
      <c r="D398" s="1291"/>
      <c r="E398" s="1291"/>
      <c r="F398" s="1291"/>
      <c r="G398" s="1294"/>
      <c r="H398" s="1291"/>
      <c r="I398" s="1294"/>
      <c r="J398" s="1244"/>
      <c r="K398" s="1294"/>
      <c r="L398" s="1244"/>
      <c r="M398" s="1294"/>
      <c r="N398" s="1291"/>
      <c r="O398" s="1294"/>
      <c r="P398" s="1244"/>
      <c r="Q398" s="1294"/>
      <c r="R398" s="1244"/>
      <c r="S398" s="1294"/>
      <c r="T398" s="1291"/>
      <c r="U398" s="1294"/>
      <c r="V398" s="1244"/>
      <c r="W398" s="1294"/>
      <c r="X398" s="1244"/>
      <c r="Y398" s="1294"/>
      <c r="Z398" s="1291"/>
      <c r="AA398" s="1294"/>
      <c r="AB398" s="1244"/>
      <c r="AC398" s="1294"/>
      <c r="AD398" s="1244"/>
      <c r="AE398" s="1294"/>
      <c r="AF398" s="1294"/>
      <c r="AG398" s="1291"/>
    </row>
    <row r="399" spans="1:33" s="173" customFormat="1">
      <c r="A399" s="1291"/>
      <c r="B399" s="1291"/>
      <c r="C399" s="1291"/>
      <c r="D399" s="1291"/>
      <c r="E399" s="1291"/>
      <c r="F399" s="1291"/>
      <c r="G399" s="1294"/>
      <c r="H399" s="1291"/>
      <c r="I399" s="1294"/>
      <c r="J399" s="1244"/>
      <c r="K399" s="1294"/>
      <c r="L399" s="1244"/>
      <c r="M399" s="1294"/>
      <c r="N399" s="1291"/>
      <c r="O399" s="1294"/>
      <c r="P399" s="1244"/>
      <c r="Q399" s="1294"/>
      <c r="R399" s="1244"/>
      <c r="S399" s="1294"/>
      <c r="T399" s="1291"/>
      <c r="U399" s="1294"/>
      <c r="V399" s="1244"/>
      <c r="W399" s="1294"/>
      <c r="X399" s="1244"/>
      <c r="Y399" s="1294"/>
      <c r="Z399" s="1291"/>
      <c r="AA399" s="1294"/>
      <c r="AB399" s="1244"/>
      <c r="AC399" s="1294"/>
      <c r="AD399" s="1244"/>
      <c r="AE399" s="1294"/>
      <c r="AF399" s="1294"/>
      <c r="AG399" s="1291"/>
    </row>
    <row r="400" spans="1:33" s="173" customFormat="1">
      <c r="A400" s="1291"/>
      <c r="B400" s="1291"/>
      <c r="C400" s="1291"/>
      <c r="D400" s="1291"/>
      <c r="E400" s="1291"/>
      <c r="F400" s="1291"/>
      <c r="G400" s="1294"/>
      <c r="H400" s="1291"/>
      <c r="I400" s="1294"/>
      <c r="J400" s="1244"/>
      <c r="K400" s="1294"/>
      <c r="L400" s="1244"/>
      <c r="M400" s="1294"/>
      <c r="N400" s="1291"/>
      <c r="O400" s="1294"/>
      <c r="P400" s="1244"/>
      <c r="Q400" s="1294"/>
      <c r="R400" s="1244"/>
      <c r="S400" s="1294"/>
      <c r="T400" s="1291"/>
      <c r="U400" s="1294"/>
      <c r="V400" s="1244"/>
      <c r="W400" s="1294"/>
      <c r="X400" s="1244"/>
      <c r="Y400" s="1294"/>
      <c r="Z400" s="1291"/>
      <c r="AA400" s="1294"/>
      <c r="AB400" s="1244"/>
      <c r="AC400" s="1294"/>
      <c r="AD400" s="1244"/>
      <c r="AE400" s="1294"/>
      <c r="AF400" s="1294"/>
      <c r="AG400" s="1291"/>
    </row>
    <row r="401" spans="1:33" s="173" customFormat="1">
      <c r="A401" s="1291"/>
      <c r="B401" s="1291"/>
      <c r="C401" s="1291"/>
      <c r="D401" s="1291"/>
      <c r="E401" s="1291"/>
      <c r="F401" s="1291"/>
      <c r="G401" s="1294"/>
      <c r="H401" s="1291"/>
      <c r="I401" s="1294"/>
      <c r="J401" s="1244"/>
      <c r="K401" s="1294"/>
      <c r="L401" s="1244"/>
      <c r="M401" s="1294"/>
      <c r="N401" s="1291"/>
      <c r="O401" s="1294"/>
      <c r="P401" s="1244"/>
      <c r="Q401" s="1294"/>
      <c r="R401" s="1244"/>
      <c r="S401" s="1294"/>
      <c r="T401" s="1291"/>
      <c r="U401" s="1294"/>
      <c r="V401" s="1244"/>
      <c r="W401" s="1294"/>
      <c r="X401" s="1244"/>
      <c r="Y401" s="1294"/>
      <c r="Z401" s="1291"/>
      <c r="AA401" s="1294"/>
      <c r="AB401" s="1244"/>
      <c r="AC401" s="1294"/>
      <c r="AD401" s="1244"/>
      <c r="AE401" s="1294"/>
      <c r="AF401" s="1294"/>
      <c r="AG401" s="1291"/>
    </row>
    <row r="402" spans="1:33" s="173" customFormat="1">
      <c r="A402" s="1291"/>
      <c r="B402" s="1291"/>
      <c r="C402" s="1291"/>
      <c r="D402" s="1291"/>
      <c r="E402" s="1291"/>
      <c r="F402" s="1291"/>
      <c r="G402" s="1294"/>
      <c r="H402" s="1291"/>
      <c r="I402" s="1294"/>
      <c r="J402" s="1244"/>
      <c r="K402" s="1294"/>
      <c r="L402" s="1244"/>
      <c r="M402" s="1294"/>
      <c r="N402" s="1291"/>
      <c r="O402" s="1294"/>
      <c r="P402" s="1244"/>
      <c r="Q402" s="1294"/>
      <c r="R402" s="1244"/>
      <c r="S402" s="1294"/>
      <c r="T402" s="1291"/>
      <c r="U402" s="1294"/>
      <c r="V402" s="1244"/>
      <c r="W402" s="1294"/>
      <c r="X402" s="1244"/>
      <c r="Y402" s="1294"/>
      <c r="Z402" s="1291"/>
      <c r="AA402" s="1294"/>
      <c r="AB402" s="1244"/>
      <c r="AC402" s="1294"/>
      <c r="AD402" s="1244"/>
      <c r="AE402" s="1294"/>
      <c r="AF402" s="1294"/>
      <c r="AG402" s="1291"/>
    </row>
    <row r="403" spans="1:33" s="173" customFormat="1">
      <c r="A403" s="1291"/>
      <c r="B403" s="1291"/>
      <c r="C403" s="1291"/>
      <c r="D403" s="1291"/>
      <c r="E403" s="1291"/>
      <c r="F403" s="1291"/>
      <c r="G403" s="1294"/>
      <c r="H403" s="1291"/>
      <c r="I403" s="1294"/>
      <c r="J403" s="1244"/>
      <c r="K403" s="1294"/>
      <c r="L403" s="1244"/>
      <c r="M403" s="1294"/>
      <c r="N403" s="1291"/>
      <c r="O403" s="1294"/>
      <c r="P403" s="1244"/>
      <c r="Q403" s="1294"/>
      <c r="R403" s="1244"/>
      <c r="S403" s="1294"/>
      <c r="T403" s="1291"/>
      <c r="U403" s="1294"/>
      <c r="V403" s="1244"/>
      <c r="W403" s="1294"/>
      <c r="X403" s="1244"/>
      <c r="Y403" s="1294"/>
      <c r="Z403" s="1291"/>
      <c r="AA403" s="1294"/>
      <c r="AB403" s="1244"/>
      <c r="AC403" s="1294"/>
      <c r="AD403" s="1244"/>
      <c r="AE403" s="1294"/>
      <c r="AF403" s="1294"/>
      <c r="AG403" s="1291"/>
    </row>
    <row r="404" spans="1:33" s="173" customFormat="1">
      <c r="A404" s="1291"/>
      <c r="B404" s="1291"/>
      <c r="C404" s="1291"/>
      <c r="D404" s="1291"/>
      <c r="E404" s="1291"/>
      <c r="F404" s="1291"/>
      <c r="G404" s="1294"/>
      <c r="H404" s="1291"/>
      <c r="I404" s="1294"/>
      <c r="J404" s="1244"/>
      <c r="K404" s="1294"/>
      <c r="L404" s="1244"/>
      <c r="M404" s="1294"/>
      <c r="N404" s="1291"/>
      <c r="O404" s="1294"/>
      <c r="P404" s="1244"/>
      <c r="Q404" s="1294"/>
      <c r="R404" s="1244"/>
      <c r="S404" s="1294"/>
      <c r="T404" s="1291"/>
      <c r="U404" s="1294"/>
      <c r="V404" s="1244"/>
      <c r="W404" s="1294"/>
      <c r="X404" s="1244"/>
      <c r="Y404" s="1294"/>
      <c r="Z404" s="1291"/>
      <c r="AA404" s="1294"/>
      <c r="AB404" s="1244"/>
      <c r="AC404" s="1294"/>
      <c r="AD404" s="1244"/>
      <c r="AE404" s="1294"/>
      <c r="AF404" s="1294"/>
      <c r="AG404" s="1291"/>
    </row>
    <row r="405" spans="1:33" s="173" customFormat="1">
      <c r="A405" s="1291"/>
      <c r="B405" s="1291"/>
      <c r="C405" s="1291"/>
      <c r="D405" s="1291"/>
      <c r="E405" s="1291"/>
      <c r="F405" s="1291"/>
      <c r="G405" s="1294"/>
      <c r="H405" s="1291"/>
      <c r="I405" s="1294"/>
      <c r="J405" s="1244"/>
      <c r="K405" s="1294"/>
      <c r="L405" s="1244"/>
      <c r="M405" s="1294"/>
      <c r="N405" s="1291"/>
      <c r="O405" s="1294"/>
      <c r="P405" s="1244"/>
      <c r="Q405" s="1294"/>
      <c r="R405" s="1244"/>
      <c r="S405" s="1294"/>
      <c r="T405" s="1291"/>
      <c r="U405" s="1294"/>
      <c r="V405" s="1244"/>
      <c r="W405" s="1294"/>
      <c r="X405" s="1244"/>
      <c r="Y405" s="1294"/>
      <c r="Z405" s="1291"/>
      <c r="AA405" s="1294"/>
      <c r="AB405" s="1244"/>
      <c r="AC405" s="1294"/>
      <c r="AD405" s="1244"/>
      <c r="AE405" s="1294"/>
      <c r="AF405" s="1294"/>
      <c r="AG405" s="1291"/>
    </row>
    <row r="406" spans="1:33" s="173" customFormat="1">
      <c r="A406" s="1291"/>
      <c r="B406" s="1291"/>
      <c r="C406" s="1291"/>
      <c r="D406" s="1291"/>
      <c r="E406" s="1291"/>
      <c r="F406" s="1291"/>
      <c r="G406" s="1294"/>
      <c r="H406" s="1291"/>
      <c r="I406" s="1294"/>
      <c r="J406" s="1244"/>
      <c r="K406" s="1294"/>
      <c r="L406" s="1244"/>
      <c r="M406" s="1294"/>
      <c r="N406" s="1291"/>
      <c r="O406" s="1294"/>
      <c r="P406" s="1244"/>
      <c r="Q406" s="1294"/>
      <c r="R406" s="1244"/>
      <c r="S406" s="1294"/>
      <c r="T406" s="1291"/>
      <c r="U406" s="1294"/>
      <c r="V406" s="1244"/>
      <c r="W406" s="1294"/>
      <c r="X406" s="1244"/>
      <c r="Y406" s="1294"/>
      <c r="Z406" s="1291"/>
      <c r="AA406" s="1294"/>
      <c r="AB406" s="1244"/>
      <c r="AC406" s="1294"/>
      <c r="AD406" s="1244"/>
      <c r="AE406" s="1294"/>
      <c r="AF406" s="1294"/>
      <c r="AG406" s="1291"/>
    </row>
    <row r="407" spans="1:33" s="173" customFormat="1">
      <c r="A407" s="1291"/>
      <c r="B407" s="1291"/>
      <c r="C407" s="1291"/>
      <c r="D407" s="1291"/>
      <c r="E407" s="1291"/>
      <c r="F407" s="1291"/>
      <c r="G407" s="1294"/>
      <c r="H407" s="1291"/>
      <c r="I407" s="1294"/>
      <c r="J407" s="1244"/>
      <c r="K407" s="1294"/>
      <c r="L407" s="1244"/>
      <c r="M407" s="1294"/>
      <c r="N407" s="1291"/>
      <c r="O407" s="1294"/>
      <c r="P407" s="1244"/>
      <c r="Q407" s="1294"/>
      <c r="R407" s="1244"/>
      <c r="S407" s="1294"/>
      <c r="T407" s="1291"/>
      <c r="U407" s="1294"/>
      <c r="V407" s="1244"/>
      <c r="W407" s="1294"/>
      <c r="X407" s="1244"/>
      <c r="Y407" s="1294"/>
      <c r="Z407" s="1291"/>
      <c r="AA407" s="1294"/>
      <c r="AB407" s="1244"/>
      <c r="AC407" s="1294"/>
      <c r="AD407" s="1244"/>
      <c r="AE407" s="1294"/>
      <c r="AF407" s="1294"/>
      <c r="AG407" s="1291"/>
    </row>
    <row r="408" spans="1:33" s="173" customFormat="1">
      <c r="A408" s="1291"/>
      <c r="B408" s="1291"/>
      <c r="C408" s="1291"/>
      <c r="D408" s="1291"/>
      <c r="E408" s="1291"/>
      <c r="F408" s="1291"/>
      <c r="G408" s="1294"/>
      <c r="H408" s="1291"/>
      <c r="I408" s="1294"/>
      <c r="J408" s="1244"/>
      <c r="K408" s="1294"/>
      <c r="L408" s="1244"/>
      <c r="M408" s="1294"/>
      <c r="N408" s="1291"/>
      <c r="O408" s="1294"/>
      <c r="P408" s="1244"/>
      <c r="Q408" s="1294"/>
      <c r="R408" s="1244"/>
      <c r="S408" s="1294"/>
      <c r="T408" s="1291"/>
      <c r="U408" s="1294"/>
      <c r="V408" s="1244"/>
      <c r="W408" s="1294"/>
      <c r="X408" s="1244"/>
      <c r="Y408" s="1294"/>
      <c r="Z408" s="1291"/>
      <c r="AA408" s="1294"/>
      <c r="AB408" s="1244"/>
      <c r="AC408" s="1294"/>
      <c r="AD408" s="1244"/>
      <c r="AE408" s="1294"/>
      <c r="AF408" s="1294"/>
      <c r="AG408" s="1291"/>
    </row>
    <row r="409" spans="1:33" s="173" customFormat="1">
      <c r="A409" s="1291"/>
      <c r="B409" s="1291"/>
      <c r="C409" s="1291"/>
      <c r="D409" s="1291"/>
      <c r="E409" s="1291"/>
      <c r="F409" s="1291"/>
      <c r="G409" s="1294"/>
      <c r="H409" s="1291"/>
      <c r="I409" s="1294"/>
      <c r="J409" s="1244"/>
      <c r="K409" s="1294"/>
      <c r="L409" s="1244"/>
      <c r="M409" s="1294"/>
      <c r="N409" s="1291"/>
      <c r="O409" s="1294"/>
      <c r="P409" s="1244"/>
      <c r="Q409" s="1294"/>
      <c r="R409" s="1244"/>
      <c r="S409" s="1294"/>
      <c r="T409" s="1291"/>
      <c r="U409" s="1294"/>
      <c r="V409" s="1244"/>
      <c r="W409" s="1294"/>
      <c r="X409" s="1244"/>
      <c r="Y409" s="1294"/>
      <c r="Z409" s="1291"/>
      <c r="AA409" s="1294"/>
      <c r="AB409" s="1244"/>
      <c r="AC409" s="1294"/>
      <c r="AD409" s="1244"/>
      <c r="AE409" s="1294"/>
      <c r="AF409" s="1294"/>
      <c r="AG409" s="1291"/>
    </row>
    <row r="410" spans="1:33" s="173" customFormat="1">
      <c r="A410" s="1291"/>
      <c r="B410" s="1291"/>
      <c r="C410" s="1291"/>
      <c r="D410" s="1291"/>
      <c r="E410" s="1291"/>
      <c r="F410" s="1291"/>
      <c r="G410" s="1294"/>
      <c r="H410" s="1291"/>
      <c r="I410" s="1294"/>
      <c r="J410" s="1244"/>
      <c r="K410" s="1294"/>
      <c r="L410" s="1244"/>
      <c r="M410" s="1294"/>
      <c r="N410" s="1291"/>
      <c r="O410" s="1294"/>
      <c r="P410" s="1244"/>
      <c r="Q410" s="1294"/>
      <c r="R410" s="1244"/>
      <c r="S410" s="1294"/>
      <c r="T410" s="1291"/>
      <c r="U410" s="1294"/>
      <c r="V410" s="1244"/>
      <c r="W410" s="1294"/>
      <c r="X410" s="1244"/>
      <c r="Y410" s="1294"/>
      <c r="Z410" s="1291"/>
      <c r="AA410" s="1294"/>
      <c r="AB410" s="1244"/>
      <c r="AC410" s="1294"/>
      <c r="AD410" s="1244"/>
      <c r="AE410" s="1294"/>
      <c r="AF410" s="1294"/>
      <c r="AG410" s="1291"/>
    </row>
    <row r="411" spans="1:33" s="173" customFormat="1">
      <c r="A411" s="1291"/>
      <c r="B411" s="1291"/>
      <c r="C411" s="1291"/>
      <c r="D411" s="1291"/>
      <c r="E411" s="1291"/>
      <c r="F411" s="1291"/>
      <c r="G411" s="1294"/>
      <c r="H411" s="1291"/>
      <c r="I411" s="1294"/>
      <c r="J411" s="1244"/>
      <c r="K411" s="1294"/>
      <c r="L411" s="1244"/>
      <c r="M411" s="1294"/>
      <c r="N411" s="1291"/>
      <c r="O411" s="1294"/>
      <c r="P411" s="1244"/>
      <c r="Q411" s="1294"/>
      <c r="R411" s="1244"/>
      <c r="S411" s="1294"/>
      <c r="T411" s="1291"/>
      <c r="U411" s="1294"/>
      <c r="V411" s="1244"/>
      <c r="W411" s="1294"/>
      <c r="X411" s="1244"/>
      <c r="Y411" s="1294"/>
      <c r="Z411" s="1291"/>
      <c r="AA411" s="1294"/>
      <c r="AB411" s="1244"/>
      <c r="AC411" s="1294"/>
      <c r="AD411" s="1244"/>
      <c r="AE411" s="1294"/>
      <c r="AF411" s="1294"/>
      <c r="AG411" s="1291"/>
    </row>
    <row r="412" spans="1:33" s="173" customFormat="1">
      <c r="A412" s="1291"/>
      <c r="B412" s="1291"/>
      <c r="C412" s="1291"/>
      <c r="D412" s="1291"/>
      <c r="E412" s="1291"/>
      <c r="F412" s="1291"/>
      <c r="G412" s="1294"/>
      <c r="H412" s="1291"/>
      <c r="I412" s="1294"/>
      <c r="J412" s="1244"/>
      <c r="K412" s="1294"/>
      <c r="L412" s="1244"/>
      <c r="M412" s="1294"/>
      <c r="N412" s="1291"/>
      <c r="O412" s="1294"/>
      <c r="P412" s="1244"/>
      <c r="Q412" s="1294"/>
      <c r="R412" s="1244"/>
      <c r="S412" s="1294"/>
      <c r="T412" s="1291"/>
      <c r="U412" s="1294"/>
      <c r="V412" s="1244"/>
      <c r="W412" s="1294"/>
      <c r="X412" s="1244"/>
      <c r="Y412" s="1294"/>
      <c r="Z412" s="1291"/>
      <c r="AA412" s="1294"/>
      <c r="AB412" s="1244"/>
      <c r="AC412" s="1294"/>
      <c r="AD412" s="1244"/>
      <c r="AE412" s="1294"/>
      <c r="AF412" s="1294"/>
      <c r="AG412" s="1291"/>
    </row>
    <row r="413" spans="1:33" s="173" customFormat="1">
      <c r="A413" s="1291"/>
      <c r="B413" s="1291"/>
      <c r="C413" s="1291"/>
      <c r="D413" s="1291"/>
      <c r="E413" s="1291"/>
      <c r="F413" s="1291"/>
      <c r="G413" s="1294"/>
      <c r="H413" s="1291"/>
      <c r="I413" s="1294"/>
      <c r="J413" s="1244"/>
      <c r="K413" s="1294"/>
      <c r="L413" s="1244"/>
      <c r="M413" s="1294"/>
      <c r="N413" s="1291"/>
      <c r="O413" s="1294"/>
      <c r="P413" s="1244"/>
      <c r="Q413" s="1294"/>
      <c r="R413" s="1244"/>
      <c r="S413" s="1294"/>
      <c r="T413" s="1291"/>
      <c r="U413" s="1294"/>
      <c r="V413" s="1244"/>
      <c r="W413" s="1294"/>
      <c r="X413" s="1244"/>
      <c r="Y413" s="1294"/>
      <c r="Z413" s="1291"/>
      <c r="AA413" s="1294"/>
      <c r="AB413" s="1244"/>
      <c r="AC413" s="1294"/>
      <c r="AD413" s="1244"/>
      <c r="AE413" s="1294"/>
      <c r="AF413" s="1294"/>
      <c r="AG413" s="1291"/>
    </row>
    <row r="414" spans="1:33" s="173" customFormat="1">
      <c r="A414" s="1291"/>
      <c r="B414" s="1291"/>
      <c r="C414" s="1291"/>
      <c r="D414" s="1291"/>
      <c r="E414" s="1291"/>
      <c r="F414" s="1291"/>
      <c r="G414" s="1294"/>
      <c r="H414" s="1291"/>
      <c r="I414" s="1294"/>
      <c r="J414" s="1244"/>
      <c r="K414" s="1294"/>
      <c r="L414" s="1244"/>
      <c r="M414" s="1294"/>
      <c r="N414" s="1291"/>
      <c r="O414" s="1294"/>
      <c r="P414" s="1244"/>
      <c r="Q414" s="1294"/>
      <c r="R414" s="1244"/>
      <c r="S414" s="1294"/>
      <c r="T414" s="1291"/>
      <c r="U414" s="1294"/>
      <c r="V414" s="1244"/>
      <c r="W414" s="1294"/>
      <c r="X414" s="1244"/>
      <c r="Y414" s="1294"/>
      <c r="Z414" s="1291"/>
      <c r="AA414" s="1294"/>
      <c r="AB414" s="1244"/>
      <c r="AC414" s="1294"/>
      <c r="AD414" s="1244"/>
      <c r="AE414" s="1294"/>
      <c r="AF414" s="1294"/>
      <c r="AG414" s="1291"/>
    </row>
    <row r="415" spans="1:33" s="173" customFormat="1">
      <c r="A415" s="1291"/>
      <c r="B415" s="1291"/>
      <c r="C415" s="1291"/>
      <c r="D415" s="1291"/>
      <c r="E415" s="1291"/>
      <c r="F415" s="1291"/>
      <c r="G415" s="1294"/>
      <c r="H415" s="1291"/>
      <c r="I415" s="1294"/>
      <c r="J415" s="1244"/>
      <c r="K415" s="1294"/>
      <c r="L415" s="1244"/>
      <c r="M415" s="1294"/>
      <c r="N415" s="1291"/>
      <c r="O415" s="1294"/>
      <c r="P415" s="1244"/>
      <c r="Q415" s="1294"/>
      <c r="R415" s="1244"/>
      <c r="S415" s="1294"/>
      <c r="T415" s="1291"/>
      <c r="U415" s="1294"/>
      <c r="V415" s="1244"/>
      <c r="W415" s="1294"/>
      <c r="X415" s="1244"/>
      <c r="Y415" s="1294"/>
      <c r="Z415" s="1291"/>
      <c r="AA415" s="1294"/>
      <c r="AB415" s="1244"/>
      <c r="AC415" s="1294"/>
      <c r="AD415" s="1244"/>
      <c r="AE415" s="1294"/>
      <c r="AF415" s="1294"/>
      <c r="AG415" s="1291"/>
    </row>
    <row r="416" spans="1:33" s="173" customFormat="1">
      <c r="A416" s="1291"/>
      <c r="B416" s="1291"/>
      <c r="C416" s="1291"/>
      <c r="D416" s="1291"/>
      <c r="E416" s="1291"/>
      <c r="F416" s="1291"/>
      <c r="G416" s="1294"/>
      <c r="H416" s="1291"/>
      <c r="I416" s="1294"/>
      <c r="J416" s="1244"/>
      <c r="K416" s="1294"/>
      <c r="L416" s="1244"/>
      <c r="M416" s="1294"/>
      <c r="N416" s="1291"/>
      <c r="O416" s="1294"/>
      <c r="P416" s="1244"/>
      <c r="Q416" s="1294"/>
      <c r="R416" s="1244"/>
      <c r="S416" s="1294"/>
      <c r="T416" s="1291"/>
      <c r="U416" s="1294"/>
      <c r="V416" s="1244"/>
      <c r="W416" s="1294"/>
      <c r="X416" s="1244"/>
      <c r="Y416" s="1294"/>
      <c r="Z416" s="1291"/>
      <c r="AA416" s="1294"/>
      <c r="AB416" s="1244"/>
      <c r="AC416" s="1294"/>
      <c r="AD416" s="1244"/>
      <c r="AE416" s="1294"/>
      <c r="AF416" s="1294"/>
      <c r="AG416" s="1291"/>
    </row>
    <row r="417" spans="1:33" s="173" customFormat="1">
      <c r="A417" s="1291"/>
      <c r="B417" s="1291"/>
      <c r="C417" s="1291"/>
      <c r="D417" s="1291"/>
      <c r="E417" s="1291"/>
      <c r="F417" s="1291"/>
      <c r="G417" s="1294"/>
      <c r="H417" s="1291"/>
      <c r="I417" s="1294"/>
      <c r="J417" s="1244"/>
      <c r="K417" s="1294"/>
      <c r="L417" s="1244"/>
      <c r="M417" s="1294"/>
      <c r="N417" s="1291"/>
      <c r="O417" s="1294"/>
      <c r="P417" s="1244"/>
      <c r="Q417" s="1294"/>
      <c r="R417" s="1244"/>
      <c r="S417" s="1294"/>
      <c r="T417" s="1291"/>
      <c r="U417" s="1294"/>
      <c r="V417" s="1244"/>
      <c r="W417" s="1294"/>
      <c r="X417" s="1244"/>
      <c r="Y417" s="1294"/>
      <c r="Z417" s="1291"/>
      <c r="AA417" s="1294"/>
      <c r="AB417" s="1244"/>
      <c r="AC417" s="1294"/>
      <c r="AD417" s="1244"/>
      <c r="AE417" s="1294"/>
      <c r="AF417" s="1294"/>
      <c r="AG417" s="1291"/>
    </row>
    <row r="418" spans="1:33" s="173" customFormat="1">
      <c r="A418" s="1291"/>
      <c r="B418" s="1291"/>
      <c r="C418" s="1291"/>
      <c r="D418" s="1291"/>
      <c r="E418" s="1291"/>
      <c r="F418" s="1291"/>
      <c r="G418" s="1294"/>
      <c r="H418" s="1291"/>
      <c r="I418" s="1294"/>
      <c r="J418" s="1244"/>
      <c r="K418" s="1294"/>
      <c r="L418" s="1244"/>
      <c r="M418" s="1294"/>
      <c r="N418" s="1291"/>
      <c r="O418" s="1294"/>
      <c r="P418" s="1244"/>
      <c r="Q418" s="1294"/>
      <c r="R418" s="1244"/>
      <c r="S418" s="1294"/>
      <c r="T418" s="1291"/>
      <c r="U418" s="1294"/>
      <c r="V418" s="1244"/>
      <c r="W418" s="1294"/>
      <c r="X418" s="1244"/>
      <c r="Y418" s="1294"/>
      <c r="Z418" s="1291"/>
      <c r="AA418" s="1294"/>
      <c r="AB418" s="1244"/>
      <c r="AC418" s="1294"/>
      <c r="AD418" s="1244"/>
      <c r="AE418" s="1294"/>
      <c r="AF418" s="1294"/>
      <c r="AG418" s="1291"/>
    </row>
    <row r="419" spans="1:33" s="173" customFormat="1">
      <c r="A419" s="1291"/>
      <c r="B419" s="1291"/>
      <c r="C419" s="1291"/>
      <c r="D419" s="1291"/>
      <c r="E419" s="1291"/>
      <c r="F419" s="1291"/>
      <c r="G419" s="1294"/>
      <c r="H419" s="1291"/>
      <c r="I419" s="1294"/>
      <c r="J419" s="1244"/>
      <c r="K419" s="1294"/>
      <c r="L419" s="1244"/>
      <c r="M419" s="1294"/>
      <c r="N419" s="1291"/>
      <c r="O419" s="1294"/>
      <c r="P419" s="1244"/>
      <c r="Q419" s="1294"/>
      <c r="R419" s="1244"/>
      <c r="S419" s="1294"/>
      <c r="T419" s="1291"/>
      <c r="U419" s="1294"/>
      <c r="V419" s="1244"/>
      <c r="W419" s="1294"/>
      <c r="X419" s="1244"/>
      <c r="Y419" s="1294"/>
      <c r="Z419" s="1291"/>
      <c r="AA419" s="1294"/>
      <c r="AB419" s="1244"/>
      <c r="AC419" s="1294"/>
      <c r="AD419" s="1244"/>
      <c r="AE419" s="1294"/>
      <c r="AF419" s="1294"/>
      <c r="AG419" s="1291"/>
    </row>
    <row r="420" spans="1:33" s="173" customFormat="1">
      <c r="A420" s="1291"/>
      <c r="B420" s="1291"/>
      <c r="C420" s="1291"/>
      <c r="D420" s="1291"/>
      <c r="E420" s="1291"/>
      <c r="F420" s="1291"/>
      <c r="G420" s="1294"/>
      <c r="H420" s="1291"/>
      <c r="I420" s="1294"/>
      <c r="J420" s="1244"/>
      <c r="K420" s="1294"/>
      <c r="L420" s="1244"/>
      <c r="M420" s="1294"/>
      <c r="N420" s="1291"/>
      <c r="O420" s="1294"/>
      <c r="P420" s="1244"/>
      <c r="Q420" s="1294"/>
      <c r="R420" s="1244"/>
      <c r="S420" s="1294"/>
      <c r="T420" s="1291"/>
      <c r="U420" s="1294"/>
      <c r="V420" s="1244"/>
      <c r="W420" s="1294"/>
      <c r="X420" s="1244"/>
      <c r="Y420" s="1294"/>
      <c r="Z420" s="1291"/>
      <c r="AA420" s="1294"/>
      <c r="AB420" s="1244"/>
      <c r="AC420" s="1294"/>
      <c r="AD420" s="1244"/>
      <c r="AE420" s="1294"/>
      <c r="AF420" s="1294"/>
      <c r="AG420" s="1291"/>
    </row>
    <row r="421" spans="1:33" s="173" customFormat="1">
      <c r="A421" s="1291"/>
      <c r="B421" s="1291"/>
      <c r="C421" s="1291"/>
      <c r="D421" s="1291"/>
      <c r="E421" s="1291"/>
      <c r="F421" s="1291"/>
      <c r="G421" s="1294"/>
      <c r="H421" s="1291"/>
      <c r="I421" s="1294"/>
      <c r="J421" s="1244"/>
      <c r="K421" s="1294"/>
      <c r="L421" s="1244"/>
      <c r="M421" s="1294"/>
      <c r="N421" s="1291"/>
      <c r="O421" s="1294"/>
      <c r="P421" s="1244"/>
      <c r="Q421" s="1294"/>
      <c r="R421" s="1244"/>
      <c r="S421" s="1294"/>
      <c r="T421" s="1291"/>
      <c r="U421" s="1294"/>
      <c r="V421" s="1244"/>
      <c r="W421" s="1294"/>
      <c r="X421" s="1244"/>
      <c r="Y421" s="1294"/>
      <c r="Z421" s="1291"/>
      <c r="AA421" s="1294"/>
      <c r="AB421" s="1244"/>
      <c r="AC421" s="1294"/>
      <c r="AD421" s="1244"/>
      <c r="AE421" s="1294"/>
      <c r="AF421" s="1294"/>
      <c r="AG421" s="1291"/>
    </row>
    <row r="422" spans="1:33" s="173" customFormat="1">
      <c r="A422" s="1291"/>
      <c r="B422" s="1291"/>
      <c r="C422" s="1291"/>
      <c r="D422" s="1291"/>
      <c r="E422" s="1291"/>
      <c r="F422" s="1291"/>
      <c r="G422" s="1294"/>
      <c r="H422" s="1291"/>
      <c r="I422" s="1294"/>
      <c r="J422" s="1244"/>
      <c r="K422" s="1294"/>
      <c r="L422" s="1244"/>
      <c r="M422" s="1294"/>
      <c r="N422" s="1291"/>
      <c r="O422" s="1294"/>
      <c r="P422" s="1244"/>
      <c r="Q422" s="1294"/>
      <c r="R422" s="1244"/>
      <c r="S422" s="1294"/>
      <c r="T422" s="1291"/>
      <c r="U422" s="1294"/>
      <c r="V422" s="1244"/>
      <c r="W422" s="1294"/>
      <c r="X422" s="1244"/>
      <c r="Y422" s="1294"/>
      <c r="Z422" s="1291"/>
      <c r="AA422" s="1294"/>
      <c r="AB422" s="1244"/>
      <c r="AC422" s="1294"/>
      <c r="AD422" s="1244"/>
      <c r="AE422" s="1294"/>
      <c r="AF422" s="1294"/>
      <c r="AG422" s="1291"/>
    </row>
    <row r="423" spans="1:33" s="173" customFormat="1">
      <c r="A423" s="1291"/>
      <c r="B423" s="1291"/>
      <c r="C423" s="1291"/>
      <c r="D423" s="1291"/>
      <c r="E423" s="1291"/>
      <c r="F423" s="1291"/>
      <c r="G423" s="1294"/>
      <c r="H423" s="1291"/>
      <c r="I423" s="1294"/>
      <c r="J423" s="1244"/>
      <c r="K423" s="1294"/>
      <c r="L423" s="1244"/>
      <c r="M423" s="1294"/>
      <c r="N423" s="1291"/>
      <c r="O423" s="1294"/>
      <c r="P423" s="1244"/>
      <c r="Q423" s="1294"/>
      <c r="R423" s="1244"/>
      <c r="S423" s="1294"/>
      <c r="T423" s="1291"/>
      <c r="U423" s="1294"/>
      <c r="V423" s="1244"/>
      <c r="W423" s="1294"/>
      <c r="X423" s="1244"/>
      <c r="Y423" s="1294"/>
      <c r="Z423" s="1291"/>
      <c r="AA423" s="1294"/>
      <c r="AB423" s="1244"/>
      <c r="AC423" s="1294"/>
      <c r="AD423" s="1244"/>
      <c r="AE423" s="1294"/>
      <c r="AF423" s="1294"/>
      <c r="AG423" s="1291"/>
    </row>
    <row r="424" spans="1:33" s="173" customFormat="1">
      <c r="A424" s="1291"/>
      <c r="B424" s="1291"/>
      <c r="C424" s="1291"/>
      <c r="D424" s="1291"/>
      <c r="E424" s="1291"/>
      <c r="F424" s="1291"/>
      <c r="G424" s="1294"/>
      <c r="H424" s="1291"/>
      <c r="I424" s="1294"/>
      <c r="J424" s="1244"/>
      <c r="K424" s="1294"/>
      <c r="L424" s="1244"/>
      <c r="M424" s="1294"/>
      <c r="N424" s="1291"/>
      <c r="O424" s="1294"/>
      <c r="P424" s="1244"/>
      <c r="Q424" s="1294"/>
      <c r="R424" s="1244"/>
      <c r="S424" s="1294"/>
      <c r="T424" s="1291"/>
      <c r="U424" s="1294"/>
      <c r="V424" s="1244"/>
      <c r="W424" s="1294"/>
      <c r="X424" s="1244"/>
      <c r="Y424" s="1294"/>
      <c r="Z424" s="1291"/>
      <c r="AA424" s="1294"/>
      <c r="AB424" s="1244"/>
      <c r="AC424" s="1294"/>
      <c r="AD424" s="1244"/>
      <c r="AE424" s="1294"/>
      <c r="AF424" s="1294"/>
      <c r="AG424" s="1291"/>
    </row>
    <row r="425" spans="1:33" s="173" customFormat="1">
      <c r="A425" s="1291"/>
      <c r="B425" s="1291"/>
      <c r="C425" s="1291"/>
      <c r="D425" s="1291"/>
      <c r="E425" s="1291"/>
      <c r="F425" s="1291"/>
      <c r="G425" s="1294"/>
      <c r="H425" s="1291"/>
      <c r="I425" s="1294"/>
      <c r="J425" s="1244"/>
      <c r="K425" s="1294"/>
      <c r="L425" s="1244"/>
      <c r="M425" s="1294"/>
      <c r="N425" s="1291"/>
      <c r="O425" s="1294"/>
      <c r="P425" s="1244"/>
      <c r="Q425" s="1294"/>
      <c r="R425" s="1244"/>
      <c r="S425" s="1294"/>
      <c r="T425" s="1291"/>
      <c r="U425" s="1294"/>
      <c r="V425" s="1244"/>
      <c r="W425" s="1294"/>
      <c r="X425" s="1244"/>
      <c r="Y425" s="1294"/>
      <c r="Z425" s="1291"/>
      <c r="AA425" s="1294"/>
      <c r="AB425" s="1244"/>
      <c r="AC425" s="1294"/>
      <c r="AD425" s="1244"/>
      <c r="AE425" s="1294"/>
      <c r="AF425" s="1294"/>
      <c r="AG425" s="1291"/>
    </row>
    <row r="426" spans="1:33" s="173" customFormat="1">
      <c r="A426" s="1291"/>
      <c r="B426" s="1291"/>
      <c r="C426" s="1291"/>
      <c r="D426" s="1291"/>
      <c r="E426" s="1291"/>
      <c r="F426" s="1291"/>
      <c r="G426" s="1294"/>
      <c r="H426" s="1291"/>
      <c r="I426" s="1294"/>
      <c r="J426" s="1244"/>
      <c r="K426" s="1294"/>
      <c r="L426" s="1244"/>
      <c r="M426" s="1294"/>
      <c r="N426" s="1291"/>
      <c r="O426" s="1294"/>
      <c r="P426" s="1244"/>
      <c r="Q426" s="1294"/>
      <c r="R426" s="1244"/>
      <c r="S426" s="1294"/>
      <c r="T426" s="1291"/>
      <c r="U426" s="1294"/>
      <c r="V426" s="1244"/>
      <c r="W426" s="1294"/>
      <c r="X426" s="1244"/>
      <c r="Y426" s="1294"/>
      <c r="Z426" s="1291"/>
      <c r="AA426" s="1294"/>
      <c r="AB426" s="1244"/>
      <c r="AC426" s="1294"/>
      <c r="AD426" s="1244"/>
      <c r="AE426" s="1294"/>
      <c r="AF426" s="1294"/>
      <c r="AG426" s="1291"/>
    </row>
    <row r="427" spans="1:33" s="173" customFormat="1">
      <c r="A427" s="1291"/>
      <c r="B427" s="1291"/>
      <c r="C427" s="1291"/>
      <c r="D427" s="1291"/>
      <c r="E427" s="1291"/>
      <c r="F427" s="1291"/>
      <c r="G427" s="1294"/>
      <c r="H427" s="1291"/>
      <c r="I427" s="1294"/>
      <c r="J427" s="1244"/>
      <c r="K427" s="1294"/>
      <c r="L427" s="1244"/>
      <c r="M427" s="1294"/>
      <c r="N427" s="1291"/>
      <c r="O427" s="1294"/>
      <c r="P427" s="1244"/>
      <c r="Q427" s="1294"/>
      <c r="R427" s="1244"/>
      <c r="S427" s="1294"/>
      <c r="T427" s="1291"/>
      <c r="U427" s="1294"/>
      <c r="V427" s="1244"/>
      <c r="W427" s="1294"/>
      <c r="X427" s="1244"/>
      <c r="Y427" s="1294"/>
      <c r="Z427" s="1291"/>
      <c r="AA427" s="1294"/>
      <c r="AB427" s="1244"/>
      <c r="AC427" s="1294"/>
      <c r="AD427" s="1244"/>
      <c r="AE427" s="1294"/>
      <c r="AF427" s="1294"/>
      <c r="AG427" s="1291"/>
    </row>
    <row r="428" spans="1:33" s="173" customFormat="1">
      <c r="A428" s="1291"/>
      <c r="B428" s="1291"/>
      <c r="C428" s="1291"/>
      <c r="D428" s="1291"/>
      <c r="E428" s="1291"/>
      <c r="F428" s="1291"/>
      <c r="G428" s="1294"/>
      <c r="H428" s="1291"/>
      <c r="I428" s="1294"/>
      <c r="J428" s="1244"/>
      <c r="K428" s="1294"/>
      <c r="L428" s="1244"/>
      <c r="M428" s="1294"/>
      <c r="N428" s="1291"/>
      <c r="O428" s="1294"/>
      <c r="P428" s="1244"/>
      <c r="Q428" s="1294"/>
      <c r="R428" s="1244"/>
      <c r="S428" s="1294"/>
      <c r="T428" s="1291"/>
      <c r="U428" s="1294"/>
      <c r="V428" s="1244"/>
      <c r="W428" s="1294"/>
      <c r="X428" s="1244"/>
      <c r="Y428" s="1294"/>
      <c r="Z428" s="1291"/>
      <c r="AA428" s="1294"/>
      <c r="AB428" s="1244"/>
      <c r="AC428" s="1294"/>
      <c r="AD428" s="1244"/>
      <c r="AE428" s="1294"/>
      <c r="AF428" s="1294"/>
      <c r="AG428" s="1291"/>
    </row>
    <row r="429" spans="1:33" s="173" customFormat="1">
      <c r="A429" s="1291"/>
      <c r="B429" s="1291"/>
      <c r="C429" s="1291"/>
      <c r="D429" s="1291"/>
      <c r="E429" s="1291"/>
      <c r="F429" s="1291"/>
      <c r="G429" s="1294"/>
      <c r="H429" s="1291"/>
      <c r="I429" s="1294"/>
      <c r="J429" s="1244"/>
      <c r="K429" s="1294"/>
      <c r="L429" s="1244"/>
      <c r="M429" s="1294"/>
      <c r="N429" s="1291"/>
      <c r="O429" s="1294"/>
      <c r="P429" s="1244"/>
      <c r="Q429" s="1294"/>
      <c r="R429" s="1244"/>
      <c r="S429" s="1294"/>
      <c r="T429" s="1291"/>
      <c r="U429" s="1294"/>
      <c r="V429" s="1244"/>
      <c r="W429" s="1294"/>
      <c r="X429" s="1244"/>
      <c r="Y429" s="1294"/>
      <c r="Z429" s="1291"/>
      <c r="AA429" s="1294"/>
      <c r="AB429" s="1244"/>
      <c r="AC429" s="1294"/>
      <c r="AD429" s="1244"/>
      <c r="AE429" s="1294"/>
      <c r="AF429" s="1294"/>
      <c r="AG429" s="1291"/>
    </row>
    <row r="430" spans="1:33" s="173" customFormat="1">
      <c r="A430" s="1291"/>
      <c r="B430" s="1291"/>
      <c r="C430" s="1291"/>
      <c r="D430" s="1291"/>
      <c r="E430" s="1291"/>
      <c r="F430" s="1291"/>
      <c r="G430" s="1294"/>
      <c r="H430" s="1291"/>
      <c r="I430" s="1294"/>
      <c r="J430" s="1244"/>
      <c r="K430" s="1294"/>
      <c r="L430" s="1244"/>
      <c r="M430" s="1294"/>
      <c r="N430" s="1291"/>
      <c r="O430" s="1294"/>
      <c r="P430" s="1244"/>
      <c r="Q430" s="1294"/>
      <c r="R430" s="1244"/>
      <c r="S430" s="1294"/>
      <c r="T430" s="1291"/>
      <c r="U430" s="1294"/>
      <c r="V430" s="1244"/>
      <c r="W430" s="1294"/>
      <c r="X430" s="1244"/>
      <c r="Y430" s="1294"/>
      <c r="Z430" s="1291"/>
      <c r="AA430" s="1294"/>
      <c r="AB430" s="1244"/>
      <c r="AC430" s="1294"/>
      <c r="AD430" s="1244"/>
      <c r="AE430" s="1294"/>
      <c r="AF430" s="1294"/>
      <c r="AG430" s="1291"/>
    </row>
    <row r="431" spans="1:33" s="173" customFormat="1">
      <c r="A431" s="1291"/>
      <c r="B431" s="1291"/>
      <c r="C431" s="1291"/>
      <c r="D431" s="1291"/>
      <c r="E431" s="1291"/>
      <c r="F431" s="1291"/>
      <c r="G431" s="1294"/>
      <c r="H431" s="1291"/>
      <c r="I431" s="1294"/>
      <c r="J431" s="1244"/>
      <c r="K431" s="1294"/>
      <c r="L431" s="1244"/>
      <c r="M431" s="1294"/>
      <c r="N431" s="1291"/>
      <c r="O431" s="1294"/>
      <c r="P431" s="1244"/>
      <c r="Q431" s="1294"/>
      <c r="R431" s="1244"/>
      <c r="S431" s="1294"/>
      <c r="T431" s="1291"/>
      <c r="U431" s="1294"/>
      <c r="V431" s="1244"/>
      <c r="W431" s="1294"/>
      <c r="X431" s="1244"/>
      <c r="Y431" s="1294"/>
      <c r="Z431" s="1291"/>
      <c r="AA431" s="1294"/>
      <c r="AB431" s="1244"/>
      <c r="AC431" s="1294"/>
      <c r="AD431" s="1244"/>
      <c r="AE431" s="1294"/>
      <c r="AF431" s="1294"/>
      <c r="AG431" s="1291"/>
    </row>
    <row r="432" spans="1:33" s="173" customFormat="1">
      <c r="A432" s="1291"/>
      <c r="B432" s="1291"/>
      <c r="C432" s="1291"/>
      <c r="D432" s="1291"/>
      <c r="E432" s="1291"/>
      <c r="F432" s="1291"/>
      <c r="G432" s="1294"/>
      <c r="H432" s="1291"/>
      <c r="I432" s="1294"/>
      <c r="J432" s="1244"/>
      <c r="K432" s="1294"/>
      <c r="L432" s="1244"/>
      <c r="M432" s="1294"/>
      <c r="N432" s="1291"/>
      <c r="O432" s="1294"/>
      <c r="P432" s="1244"/>
      <c r="Q432" s="1294"/>
      <c r="R432" s="1244"/>
      <c r="S432" s="1294"/>
      <c r="T432" s="1291"/>
      <c r="U432" s="1294"/>
      <c r="V432" s="1244"/>
      <c r="W432" s="1294"/>
      <c r="X432" s="1244"/>
      <c r="Y432" s="1294"/>
      <c r="Z432" s="1291"/>
      <c r="AA432" s="1294"/>
      <c r="AB432" s="1244"/>
      <c r="AC432" s="1294"/>
      <c r="AD432" s="1244"/>
      <c r="AE432" s="1294"/>
      <c r="AF432" s="1294"/>
      <c r="AG432" s="1291"/>
    </row>
    <row r="433" spans="1:33" s="173" customFormat="1">
      <c r="A433" s="1291"/>
      <c r="B433" s="1291"/>
      <c r="C433" s="1291"/>
      <c r="D433" s="1291"/>
      <c r="E433" s="1291"/>
      <c r="F433" s="1291"/>
      <c r="G433" s="1294"/>
      <c r="H433" s="1291"/>
      <c r="I433" s="1294"/>
      <c r="J433" s="1244"/>
      <c r="K433" s="1294"/>
      <c r="L433" s="1244"/>
      <c r="M433" s="1294"/>
      <c r="N433" s="1291"/>
      <c r="O433" s="1294"/>
      <c r="P433" s="1244"/>
      <c r="Q433" s="1294"/>
      <c r="R433" s="1244"/>
      <c r="S433" s="1294"/>
      <c r="T433" s="1291"/>
      <c r="U433" s="1294"/>
      <c r="V433" s="1244"/>
      <c r="W433" s="1294"/>
      <c r="X433" s="1244"/>
      <c r="Y433" s="1294"/>
      <c r="Z433" s="1291"/>
      <c r="AA433" s="1294"/>
      <c r="AB433" s="1244"/>
      <c r="AC433" s="1294"/>
      <c r="AD433" s="1244"/>
      <c r="AE433" s="1294"/>
      <c r="AF433" s="1294"/>
      <c r="AG433" s="1291"/>
    </row>
    <row r="434" spans="1:33" s="173" customFormat="1">
      <c r="A434" s="1291"/>
      <c r="B434" s="1291"/>
      <c r="C434" s="1291"/>
      <c r="D434" s="1291"/>
      <c r="E434" s="1291"/>
      <c r="F434" s="1291"/>
      <c r="G434" s="1294"/>
      <c r="H434" s="1291"/>
      <c r="I434" s="1294"/>
      <c r="J434" s="1244"/>
      <c r="K434" s="1294"/>
      <c r="L434" s="1244"/>
      <c r="M434" s="1294"/>
      <c r="N434" s="1291"/>
      <c r="O434" s="1294"/>
      <c r="P434" s="1244"/>
      <c r="Q434" s="1294"/>
      <c r="R434" s="1244"/>
      <c r="S434" s="1294"/>
      <c r="T434" s="1291"/>
      <c r="U434" s="1294"/>
      <c r="V434" s="1244"/>
      <c r="W434" s="1294"/>
      <c r="X434" s="1244"/>
      <c r="Y434" s="1294"/>
      <c r="Z434" s="1291"/>
      <c r="AA434" s="1294"/>
      <c r="AB434" s="1244"/>
      <c r="AC434" s="1294"/>
      <c r="AD434" s="1244"/>
      <c r="AE434" s="1294"/>
      <c r="AF434" s="1294"/>
      <c r="AG434" s="1291"/>
    </row>
    <row r="435" spans="1:33" s="173" customFormat="1">
      <c r="A435" s="1291"/>
      <c r="B435" s="1291"/>
      <c r="C435" s="1291"/>
      <c r="D435" s="1291"/>
      <c r="E435" s="1291"/>
      <c r="F435" s="1291"/>
      <c r="G435" s="1294"/>
      <c r="H435" s="1291"/>
      <c r="I435" s="1294"/>
      <c r="J435" s="1244"/>
      <c r="K435" s="1294"/>
      <c r="L435" s="1244"/>
      <c r="M435" s="1294"/>
      <c r="N435" s="1291"/>
      <c r="O435" s="1294"/>
      <c r="P435" s="1244"/>
      <c r="Q435" s="1294"/>
      <c r="R435" s="1244"/>
      <c r="S435" s="1294"/>
      <c r="T435" s="1291"/>
      <c r="U435" s="1294"/>
      <c r="V435" s="1244"/>
      <c r="W435" s="1294"/>
      <c r="X435" s="1244"/>
      <c r="Y435" s="1294"/>
      <c r="Z435" s="1291"/>
      <c r="AA435" s="1294"/>
      <c r="AB435" s="1244"/>
      <c r="AC435" s="1294"/>
      <c r="AD435" s="1244"/>
      <c r="AE435" s="1294"/>
      <c r="AF435" s="1294"/>
      <c r="AG435" s="1291"/>
    </row>
    <row r="436" spans="1:33" s="173" customFormat="1">
      <c r="A436" s="1291"/>
      <c r="B436" s="1291"/>
      <c r="C436" s="1291"/>
      <c r="D436" s="1291"/>
      <c r="E436" s="1291"/>
      <c r="F436" s="1291"/>
      <c r="G436" s="1294"/>
      <c r="H436" s="1291"/>
      <c r="I436" s="1294"/>
      <c r="J436" s="1244"/>
      <c r="K436" s="1294"/>
      <c r="L436" s="1244"/>
      <c r="M436" s="1294"/>
      <c r="N436" s="1291"/>
      <c r="O436" s="1294"/>
      <c r="P436" s="1244"/>
      <c r="Q436" s="1294"/>
      <c r="R436" s="1244"/>
      <c r="S436" s="1294"/>
      <c r="T436" s="1291"/>
      <c r="U436" s="1294"/>
      <c r="V436" s="1244"/>
      <c r="W436" s="1294"/>
      <c r="X436" s="1244"/>
      <c r="Y436" s="1294"/>
      <c r="Z436" s="1291"/>
      <c r="AA436" s="1294"/>
      <c r="AB436" s="1244"/>
      <c r="AC436" s="1294"/>
      <c r="AD436" s="1244"/>
      <c r="AE436" s="1294"/>
      <c r="AF436" s="1294"/>
      <c r="AG436" s="1291"/>
    </row>
    <row r="437" spans="1:33" s="173" customFormat="1">
      <c r="A437" s="1291"/>
      <c r="B437" s="1291"/>
      <c r="C437" s="1291"/>
      <c r="D437" s="1291"/>
      <c r="E437" s="1291"/>
      <c r="F437" s="1291"/>
      <c r="G437" s="1294"/>
      <c r="H437" s="1291"/>
      <c r="I437" s="1294"/>
      <c r="J437" s="1244"/>
      <c r="K437" s="1294"/>
      <c r="L437" s="1244"/>
      <c r="M437" s="1294"/>
      <c r="N437" s="1291"/>
      <c r="O437" s="1294"/>
      <c r="P437" s="1244"/>
      <c r="Q437" s="1294"/>
      <c r="R437" s="1244"/>
      <c r="S437" s="1294"/>
      <c r="T437" s="1291"/>
      <c r="U437" s="1294"/>
      <c r="V437" s="1244"/>
      <c r="W437" s="1294"/>
      <c r="X437" s="1244"/>
      <c r="Y437" s="1294"/>
      <c r="Z437" s="1291"/>
      <c r="AA437" s="1294"/>
      <c r="AB437" s="1244"/>
      <c r="AC437" s="1294"/>
      <c r="AD437" s="1244"/>
      <c r="AE437" s="1294"/>
      <c r="AF437" s="1294"/>
      <c r="AG437" s="1291"/>
    </row>
    <row r="438" spans="1:33" s="173" customFormat="1">
      <c r="A438" s="1291"/>
      <c r="B438" s="1291"/>
      <c r="C438" s="1291"/>
      <c r="D438" s="1291"/>
      <c r="E438" s="1291"/>
      <c r="F438" s="1291"/>
      <c r="G438" s="1294"/>
      <c r="H438" s="1291"/>
      <c r="I438" s="1294"/>
      <c r="J438" s="1244"/>
      <c r="K438" s="1294"/>
      <c r="L438" s="1244"/>
      <c r="M438" s="1294"/>
      <c r="N438" s="1291"/>
      <c r="O438" s="1294"/>
      <c r="P438" s="1244"/>
      <c r="Q438" s="1294"/>
      <c r="R438" s="1244"/>
      <c r="S438" s="1294"/>
      <c r="T438" s="1291"/>
      <c r="U438" s="1294"/>
      <c r="V438" s="1244"/>
      <c r="W438" s="1294"/>
      <c r="X438" s="1244"/>
      <c r="Y438" s="1294"/>
      <c r="Z438" s="1291"/>
      <c r="AA438" s="1294"/>
      <c r="AB438" s="1244"/>
      <c r="AC438" s="1294"/>
      <c r="AD438" s="1244"/>
      <c r="AE438" s="1294"/>
      <c r="AF438" s="1294"/>
      <c r="AG438" s="1291"/>
    </row>
    <row r="439" spans="1:33" s="173" customFormat="1">
      <c r="A439" s="1291"/>
      <c r="B439" s="1291"/>
      <c r="C439" s="1291"/>
      <c r="D439" s="1291"/>
      <c r="E439" s="1291"/>
      <c r="F439" s="1291"/>
      <c r="G439" s="1294"/>
      <c r="H439" s="1291"/>
      <c r="I439" s="1294"/>
      <c r="J439" s="1244"/>
      <c r="K439" s="1294"/>
      <c r="L439" s="1244"/>
      <c r="M439" s="1294"/>
      <c r="N439" s="1291"/>
      <c r="O439" s="1294"/>
      <c r="P439" s="1244"/>
      <c r="Q439" s="1294"/>
      <c r="R439" s="1244"/>
      <c r="S439" s="1294"/>
      <c r="T439" s="1291"/>
      <c r="U439" s="1294"/>
      <c r="V439" s="1244"/>
      <c r="W439" s="1294"/>
      <c r="X439" s="1244"/>
      <c r="Y439" s="1294"/>
      <c r="Z439" s="1291"/>
      <c r="AA439" s="1294"/>
      <c r="AB439" s="1244"/>
      <c r="AC439" s="1294"/>
      <c r="AD439" s="1244"/>
      <c r="AE439" s="1294"/>
      <c r="AF439" s="1294"/>
      <c r="AG439" s="1291"/>
    </row>
    <row r="440" spans="1:33" s="173" customFormat="1">
      <c r="A440" s="1291"/>
      <c r="B440" s="1291"/>
      <c r="C440" s="1291"/>
      <c r="D440" s="1291"/>
      <c r="E440" s="1291"/>
      <c r="F440" s="1291"/>
      <c r="G440" s="1294"/>
      <c r="H440" s="1291"/>
      <c r="I440" s="1294"/>
      <c r="J440" s="1244"/>
      <c r="K440" s="1294"/>
      <c r="L440" s="1244"/>
      <c r="M440" s="1294"/>
      <c r="N440" s="1291"/>
      <c r="O440" s="1294"/>
      <c r="P440" s="1244"/>
      <c r="Q440" s="1294"/>
      <c r="R440" s="1244"/>
      <c r="S440" s="1294"/>
      <c r="T440" s="1291"/>
      <c r="U440" s="1294"/>
      <c r="V440" s="1244"/>
      <c r="W440" s="1294"/>
      <c r="X440" s="1244"/>
      <c r="Y440" s="1294"/>
      <c r="Z440" s="1291"/>
      <c r="AA440" s="1294"/>
      <c r="AB440" s="1244"/>
      <c r="AC440" s="1294"/>
      <c r="AD440" s="1244"/>
      <c r="AE440" s="1294"/>
      <c r="AF440" s="1294"/>
      <c r="AG440" s="1291"/>
    </row>
    <row r="441" spans="1:33" s="173" customFormat="1">
      <c r="A441" s="1291"/>
      <c r="B441" s="1291"/>
      <c r="C441" s="1291"/>
      <c r="D441" s="1291"/>
      <c r="E441" s="1291"/>
      <c r="F441" s="1291"/>
      <c r="G441" s="1294"/>
      <c r="H441" s="1291"/>
      <c r="I441" s="1294"/>
      <c r="J441" s="1244"/>
      <c r="K441" s="1294"/>
      <c r="L441" s="1244"/>
      <c r="M441" s="1294"/>
      <c r="N441" s="1291"/>
      <c r="O441" s="1294"/>
      <c r="P441" s="1244"/>
      <c r="Q441" s="1294"/>
      <c r="R441" s="1244"/>
      <c r="S441" s="1294"/>
      <c r="T441" s="1291"/>
      <c r="U441" s="1294"/>
      <c r="V441" s="1244"/>
      <c r="W441" s="1294"/>
      <c r="X441" s="1244"/>
      <c r="Y441" s="1294"/>
      <c r="Z441" s="1291"/>
      <c r="AA441" s="1294"/>
      <c r="AB441" s="1244"/>
      <c r="AC441" s="1294"/>
      <c r="AD441" s="1244"/>
      <c r="AE441" s="1294"/>
      <c r="AF441" s="1294"/>
      <c r="AG441" s="1291"/>
    </row>
    <row r="442" spans="1:33" s="173" customFormat="1">
      <c r="A442" s="1291"/>
      <c r="B442" s="1291"/>
      <c r="C442" s="1291"/>
      <c r="D442" s="1291"/>
      <c r="E442" s="1291"/>
      <c r="F442" s="1291"/>
      <c r="G442" s="1294"/>
      <c r="H442" s="1291"/>
      <c r="I442" s="1294"/>
      <c r="J442" s="1244"/>
      <c r="K442" s="1294"/>
      <c r="L442" s="1244"/>
      <c r="M442" s="1294"/>
      <c r="N442" s="1291"/>
      <c r="O442" s="1294"/>
      <c r="P442" s="1244"/>
      <c r="Q442" s="1294"/>
      <c r="R442" s="1244"/>
      <c r="S442" s="1294"/>
      <c r="T442" s="1291"/>
      <c r="U442" s="1294"/>
      <c r="V442" s="1244"/>
      <c r="W442" s="1294"/>
      <c r="X442" s="1244"/>
      <c r="Y442" s="1294"/>
      <c r="Z442" s="1291"/>
      <c r="AA442" s="1294"/>
      <c r="AB442" s="1244"/>
      <c r="AC442" s="1294"/>
      <c r="AD442" s="1244"/>
      <c r="AE442" s="1294"/>
      <c r="AF442" s="1294"/>
      <c r="AG442" s="1291"/>
    </row>
    <row r="443" spans="1:33" s="173" customFormat="1">
      <c r="A443" s="1291"/>
      <c r="B443" s="1291"/>
      <c r="C443" s="1291"/>
      <c r="D443" s="1291"/>
      <c r="E443" s="1291"/>
      <c r="F443" s="1291"/>
      <c r="G443" s="1294"/>
      <c r="H443" s="1291"/>
      <c r="I443" s="1294"/>
      <c r="J443" s="1244"/>
      <c r="K443" s="1294"/>
      <c r="L443" s="1244"/>
      <c r="M443" s="1294"/>
      <c r="N443" s="1291"/>
      <c r="O443" s="1294"/>
      <c r="P443" s="1244"/>
      <c r="Q443" s="1294"/>
      <c r="R443" s="1244"/>
      <c r="S443" s="1294"/>
      <c r="T443" s="1291"/>
      <c r="U443" s="1294"/>
      <c r="V443" s="1244"/>
      <c r="W443" s="1294"/>
      <c r="X443" s="1244"/>
      <c r="Y443" s="1294"/>
      <c r="Z443" s="1291"/>
      <c r="AA443" s="1294"/>
      <c r="AB443" s="1244"/>
      <c r="AC443" s="1294"/>
      <c r="AD443" s="1244"/>
      <c r="AE443" s="1294"/>
      <c r="AF443" s="1294"/>
      <c r="AG443" s="1291"/>
    </row>
    <row r="444" spans="1:33" s="173" customFormat="1">
      <c r="A444" s="1291"/>
      <c r="B444" s="1291"/>
      <c r="C444" s="1291"/>
      <c r="D444" s="1291"/>
      <c r="E444" s="1291"/>
      <c r="F444" s="1291"/>
      <c r="G444" s="1294"/>
      <c r="H444" s="1291"/>
      <c r="I444" s="1294"/>
      <c r="J444" s="1244"/>
      <c r="K444" s="1294"/>
      <c r="L444" s="1244"/>
      <c r="M444" s="1294"/>
      <c r="N444" s="1291"/>
      <c r="O444" s="1294"/>
      <c r="P444" s="1244"/>
      <c r="Q444" s="1294"/>
      <c r="R444" s="1244"/>
      <c r="S444" s="1294"/>
      <c r="T444" s="1291"/>
      <c r="U444" s="1294"/>
      <c r="V444" s="1244"/>
      <c r="W444" s="1294"/>
      <c r="X444" s="1244"/>
      <c r="Y444" s="1294"/>
      <c r="Z444" s="1291"/>
      <c r="AA444" s="1294"/>
      <c r="AB444" s="1244"/>
      <c r="AC444" s="1294"/>
      <c r="AD444" s="1244"/>
      <c r="AE444" s="1294"/>
      <c r="AF444" s="1294"/>
      <c r="AG444" s="1291"/>
    </row>
    <row r="445" spans="1:33" s="173" customFormat="1">
      <c r="A445" s="1291"/>
      <c r="B445" s="1291"/>
      <c r="C445" s="1291"/>
      <c r="D445" s="1291"/>
      <c r="E445" s="1291"/>
      <c r="F445" s="1291"/>
      <c r="G445" s="1294"/>
      <c r="H445" s="1291"/>
      <c r="I445" s="1294"/>
      <c r="J445" s="1244"/>
      <c r="K445" s="1294"/>
      <c r="L445" s="1244"/>
      <c r="M445" s="1294"/>
      <c r="N445" s="1291"/>
      <c r="O445" s="1294"/>
      <c r="P445" s="1244"/>
      <c r="Q445" s="1294"/>
      <c r="R445" s="1244"/>
      <c r="S445" s="1294"/>
      <c r="T445" s="1291"/>
      <c r="U445" s="1294"/>
      <c r="V445" s="1244"/>
      <c r="W445" s="1294"/>
      <c r="X445" s="1244"/>
      <c r="Y445" s="1294"/>
      <c r="Z445" s="1291"/>
      <c r="AA445" s="1294"/>
      <c r="AB445" s="1244"/>
      <c r="AC445" s="1294"/>
      <c r="AD445" s="1244"/>
      <c r="AE445" s="1294"/>
      <c r="AF445" s="1294"/>
      <c r="AG445" s="1291"/>
    </row>
    <row r="446" spans="1:33" s="173" customFormat="1">
      <c r="A446" s="1291"/>
      <c r="B446" s="1291"/>
      <c r="C446" s="1291"/>
      <c r="D446" s="1291"/>
      <c r="E446" s="1291"/>
      <c r="F446" s="1291"/>
      <c r="G446" s="1294"/>
      <c r="H446" s="1291"/>
      <c r="I446" s="1294"/>
      <c r="J446" s="1244"/>
      <c r="K446" s="1294"/>
      <c r="L446" s="1244"/>
      <c r="M446" s="1294"/>
      <c r="N446" s="1291"/>
      <c r="O446" s="1294"/>
      <c r="P446" s="1244"/>
      <c r="Q446" s="1294"/>
      <c r="R446" s="1244"/>
      <c r="S446" s="1294"/>
      <c r="T446" s="1291"/>
      <c r="U446" s="1294"/>
      <c r="V446" s="1244"/>
      <c r="W446" s="1294"/>
      <c r="X446" s="1244"/>
      <c r="Y446" s="1294"/>
      <c r="Z446" s="1291"/>
      <c r="AA446" s="1294"/>
      <c r="AB446" s="1244"/>
      <c r="AC446" s="1294"/>
      <c r="AD446" s="1244"/>
      <c r="AE446" s="1294"/>
      <c r="AF446" s="1294"/>
      <c r="AG446" s="1291"/>
    </row>
    <row r="447" spans="1:33" s="173" customFormat="1">
      <c r="A447" s="1291"/>
      <c r="B447" s="1291"/>
      <c r="C447" s="1291"/>
      <c r="D447" s="1291"/>
      <c r="E447" s="1291"/>
      <c r="F447" s="1291"/>
      <c r="G447" s="1294"/>
      <c r="H447" s="1291"/>
      <c r="I447" s="1294"/>
      <c r="J447" s="1244"/>
      <c r="K447" s="1294"/>
      <c r="L447" s="1244"/>
      <c r="M447" s="1294"/>
      <c r="N447" s="1291"/>
      <c r="O447" s="1294"/>
      <c r="P447" s="1244"/>
      <c r="Q447" s="1294"/>
      <c r="R447" s="1244"/>
      <c r="S447" s="1294"/>
      <c r="T447" s="1291"/>
      <c r="U447" s="1294"/>
      <c r="V447" s="1244"/>
      <c r="W447" s="1294"/>
      <c r="X447" s="1244"/>
      <c r="Y447" s="1294"/>
      <c r="Z447" s="1291"/>
      <c r="AA447" s="1294"/>
      <c r="AB447" s="1244"/>
      <c r="AC447" s="1294"/>
      <c r="AD447" s="1244"/>
      <c r="AE447" s="1294"/>
      <c r="AF447" s="1294"/>
      <c r="AG447" s="1291"/>
    </row>
    <row r="448" spans="1:33" s="173" customFormat="1">
      <c r="A448" s="1291"/>
      <c r="B448" s="1291"/>
      <c r="C448" s="1291"/>
      <c r="D448" s="1291"/>
      <c r="E448" s="1291"/>
      <c r="F448" s="1291"/>
      <c r="G448" s="1294"/>
      <c r="H448" s="1291"/>
      <c r="I448" s="1294"/>
      <c r="J448" s="1244"/>
      <c r="K448" s="1294"/>
      <c r="L448" s="1244"/>
      <c r="M448" s="1294"/>
      <c r="N448" s="1291"/>
      <c r="O448" s="1294"/>
      <c r="P448" s="1244"/>
      <c r="Q448" s="1294"/>
      <c r="R448" s="1244"/>
      <c r="S448" s="1294"/>
      <c r="T448" s="1291"/>
      <c r="U448" s="1294"/>
      <c r="V448" s="1244"/>
      <c r="W448" s="1294"/>
      <c r="X448" s="1244"/>
      <c r="Y448" s="1294"/>
      <c r="Z448" s="1291"/>
      <c r="AA448" s="1294"/>
      <c r="AB448" s="1244"/>
      <c r="AC448" s="1294"/>
      <c r="AD448" s="1244"/>
      <c r="AE448" s="1294"/>
      <c r="AF448" s="1294"/>
      <c r="AG448" s="1291"/>
    </row>
    <row r="449" spans="1:33" s="173" customFormat="1">
      <c r="A449" s="1291"/>
      <c r="B449" s="1291"/>
      <c r="C449" s="1291"/>
      <c r="D449" s="1291"/>
      <c r="E449" s="1291"/>
      <c r="F449" s="1291"/>
      <c r="G449" s="1294"/>
      <c r="H449" s="1291"/>
      <c r="I449" s="1294"/>
      <c r="J449" s="1244"/>
      <c r="K449" s="1294"/>
      <c r="L449" s="1244"/>
      <c r="M449" s="1294"/>
      <c r="N449" s="1291"/>
      <c r="O449" s="1294"/>
      <c r="P449" s="1244"/>
      <c r="Q449" s="1294"/>
      <c r="R449" s="1244"/>
      <c r="S449" s="1294"/>
      <c r="T449" s="1291"/>
      <c r="U449" s="1294"/>
      <c r="V449" s="1244"/>
      <c r="W449" s="1294"/>
      <c r="X449" s="1244"/>
      <c r="Y449" s="1294"/>
      <c r="Z449" s="1291"/>
      <c r="AA449" s="1294"/>
      <c r="AB449" s="1244"/>
      <c r="AC449" s="1294"/>
      <c r="AD449" s="1244"/>
      <c r="AE449" s="1294"/>
      <c r="AF449" s="1294"/>
      <c r="AG449" s="1291"/>
    </row>
    <row r="450" spans="1:33" s="173" customFormat="1">
      <c r="A450" s="1291"/>
      <c r="B450" s="1291"/>
      <c r="C450" s="1291"/>
      <c r="D450" s="1291"/>
      <c r="E450" s="1291"/>
      <c r="F450" s="1291"/>
      <c r="G450" s="1294"/>
      <c r="H450" s="1291"/>
      <c r="I450" s="1294"/>
      <c r="J450" s="1244"/>
      <c r="K450" s="1294"/>
      <c r="L450" s="1244"/>
      <c r="M450" s="1294"/>
      <c r="N450" s="1291"/>
      <c r="O450" s="1294"/>
      <c r="P450" s="1244"/>
      <c r="Q450" s="1294"/>
      <c r="R450" s="1244"/>
      <c r="S450" s="1294"/>
      <c r="T450" s="1291"/>
      <c r="U450" s="1294"/>
      <c r="V450" s="1244"/>
      <c r="W450" s="1294"/>
      <c r="X450" s="1244"/>
      <c r="Y450" s="1294"/>
      <c r="Z450" s="1291"/>
      <c r="AA450" s="1294"/>
      <c r="AB450" s="1244"/>
      <c r="AC450" s="1294"/>
      <c r="AD450" s="1244"/>
      <c r="AE450" s="1294"/>
      <c r="AF450" s="1294"/>
      <c r="AG450" s="1291"/>
    </row>
    <row r="451" spans="1:33" s="173" customFormat="1">
      <c r="A451" s="1291"/>
      <c r="B451" s="1291"/>
      <c r="C451" s="1291"/>
      <c r="D451" s="1291"/>
      <c r="E451" s="1291"/>
      <c r="F451" s="1291"/>
      <c r="G451" s="1294"/>
      <c r="H451" s="1291"/>
      <c r="I451" s="1294"/>
      <c r="J451" s="1244"/>
      <c r="K451" s="1294"/>
      <c r="L451" s="1244"/>
      <c r="M451" s="1294"/>
      <c r="N451" s="1291"/>
      <c r="O451" s="1294"/>
      <c r="P451" s="1244"/>
      <c r="Q451" s="1294"/>
      <c r="R451" s="1244"/>
      <c r="S451" s="1294"/>
      <c r="T451" s="1291"/>
      <c r="U451" s="1294"/>
      <c r="V451" s="1244"/>
      <c r="W451" s="1294"/>
      <c r="X451" s="1244"/>
      <c r="Y451" s="1294"/>
      <c r="Z451" s="1291"/>
      <c r="AA451" s="1294"/>
      <c r="AB451" s="1244"/>
      <c r="AC451" s="1294"/>
      <c r="AD451" s="1244"/>
      <c r="AE451" s="1294"/>
      <c r="AF451" s="1294"/>
      <c r="AG451" s="1291"/>
    </row>
    <row r="452" spans="1:33" s="173" customFormat="1">
      <c r="A452" s="1291"/>
      <c r="B452" s="1291"/>
      <c r="C452" s="1291"/>
      <c r="D452" s="1291"/>
      <c r="E452" s="1291"/>
      <c r="F452" s="1291"/>
      <c r="G452" s="1294"/>
      <c r="H452" s="1291"/>
      <c r="I452" s="1294"/>
      <c r="J452" s="1244"/>
      <c r="K452" s="1294"/>
      <c r="L452" s="1244"/>
      <c r="M452" s="1294"/>
      <c r="N452" s="1291"/>
      <c r="O452" s="1294"/>
      <c r="P452" s="1244"/>
      <c r="Q452" s="1294"/>
      <c r="R452" s="1244"/>
      <c r="S452" s="1294"/>
      <c r="T452" s="1291"/>
      <c r="U452" s="1294"/>
      <c r="V452" s="1244"/>
      <c r="W452" s="1294"/>
      <c r="X452" s="1244"/>
      <c r="Y452" s="1294"/>
      <c r="Z452" s="1291"/>
      <c r="AA452" s="1294"/>
      <c r="AB452" s="1244"/>
      <c r="AC452" s="1294"/>
      <c r="AD452" s="1244"/>
      <c r="AE452" s="1294"/>
      <c r="AF452" s="1294"/>
      <c r="AG452" s="1291"/>
    </row>
    <row r="453" spans="1:33" s="173" customFormat="1">
      <c r="A453" s="1291"/>
      <c r="B453" s="1291"/>
      <c r="C453" s="1291"/>
      <c r="D453" s="1291"/>
      <c r="E453" s="1291"/>
      <c r="F453" s="1291"/>
      <c r="G453" s="1294"/>
      <c r="H453" s="1291"/>
      <c r="I453" s="1294"/>
      <c r="J453" s="1244"/>
      <c r="K453" s="1294"/>
      <c r="L453" s="1244"/>
      <c r="M453" s="1294"/>
      <c r="N453" s="1291"/>
      <c r="O453" s="1294"/>
      <c r="P453" s="1244"/>
      <c r="Q453" s="1294"/>
      <c r="R453" s="1244"/>
      <c r="S453" s="1294"/>
      <c r="T453" s="1291"/>
      <c r="U453" s="1294"/>
      <c r="V453" s="1244"/>
      <c r="W453" s="1294"/>
      <c r="X453" s="1244"/>
      <c r="Y453" s="1294"/>
      <c r="Z453" s="1291"/>
      <c r="AA453" s="1294"/>
      <c r="AB453" s="1244"/>
      <c r="AC453" s="1294"/>
      <c r="AD453" s="1244"/>
      <c r="AE453" s="1294"/>
      <c r="AF453" s="1294"/>
      <c r="AG453" s="1291"/>
    </row>
    <row r="454" spans="1:33" s="173" customFormat="1">
      <c r="A454" s="1291"/>
      <c r="B454" s="1291"/>
      <c r="C454" s="1291"/>
      <c r="D454" s="1291"/>
      <c r="E454" s="1291"/>
      <c r="F454" s="1291"/>
      <c r="G454" s="1294"/>
      <c r="H454" s="1291"/>
      <c r="I454" s="1294"/>
      <c r="J454" s="1244"/>
      <c r="K454" s="1294"/>
      <c r="L454" s="1244"/>
      <c r="M454" s="1294"/>
      <c r="N454" s="1291"/>
      <c r="O454" s="1294"/>
      <c r="P454" s="1244"/>
      <c r="Q454" s="1294"/>
      <c r="R454" s="1244"/>
      <c r="S454" s="1294"/>
      <c r="T454" s="1291"/>
      <c r="U454" s="1294"/>
      <c r="V454" s="1244"/>
      <c r="W454" s="1294"/>
      <c r="X454" s="1244"/>
      <c r="Y454" s="1294"/>
      <c r="Z454" s="1291"/>
      <c r="AA454" s="1294"/>
      <c r="AB454" s="1244"/>
      <c r="AC454" s="1294"/>
      <c r="AD454" s="1244"/>
      <c r="AE454" s="1294"/>
      <c r="AF454" s="1294"/>
      <c r="AG454" s="1291"/>
    </row>
    <row r="455" spans="1:33" s="173" customFormat="1">
      <c r="A455" s="1291"/>
      <c r="B455" s="1291"/>
      <c r="C455" s="1291"/>
      <c r="D455" s="1291"/>
      <c r="E455" s="1291"/>
      <c r="F455" s="1291"/>
      <c r="G455" s="1294"/>
      <c r="H455" s="1291"/>
      <c r="I455" s="1294"/>
      <c r="J455" s="1244"/>
      <c r="K455" s="1294"/>
      <c r="L455" s="1244"/>
      <c r="M455" s="1294"/>
      <c r="N455" s="1291"/>
      <c r="O455" s="1294"/>
      <c r="P455" s="1244"/>
      <c r="Q455" s="1294"/>
      <c r="R455" s="1244"/>
      <c r="S455" s="1294"/>
      <c r="T455" s="1291"/>
      <c r="U455" s="1294"/>
      <c r="V455" s="1244"/>
      <c r="W455" s="1294"/>
      <c r="X455" s="1244"/>
      <c r="Y455" s="1294"/>
      <c r="Z455" s="1291"/>
      <c r="AA455" s="1294"/>
      <c r="AB455" s="1244"/>
      <c r="AC455" s="1294"/>
      <c r="AD455" s="1244"/>
      <c r="AE455" s="1294"/>
      <c r="AF455" s="1294"/>
      <c r="AG455" s="1291"/>
    </row>
    <row r="456" spans="1:33" s="173" customFormat="1">
      <c r="A456" s="1291"/>
      <c r="B456" s="1291"/>
      <c r="C456" s="1291"/>
      <c r="D456" s="1291"/>
      <c r="E456" s="1291"/>
      <c r="F456" s="1291"/>
      <c r="G456" s="1294"/>
      <c r="H456" s="1291"/>
      <c r="I456" s="1294"/>
      <c r="J456" s="1244"/>
      <c r="K456" s="1294"/>
      <c r="L456" s="1244"/>
      <c r="M456" s="1294"/>
      <c r="N456" s="1291"/>
      <c r="O456" s="1294"/>
      <c r="P456" s="1244"/>
      <c r="Q456" s="1294"/>
      <c r="R456" s="1244"/>
      <c r="S456" s="1294"/>
      <c r="T456" s="1291"/>
      <c r="U456" s="1294"/>
      <c r="V456" s="1244"/>
      <c r="W456" s="1294"/>
      <c r="X456" s="1244"/>
      <c r="Y456" s="1294"/>
      <c r="Z456" s="1291"/>
      <c r="AA456" s="1294"/>
      <c r="AB456" s="1244"/>
      <c r="AC456" s="1294"/>
      <c r="AD456" s="1244"/>
      <c r="AE456" s="1294"/>
      <c r="AF456" s="1294"/>
      <c r="AG456" s="1291"/>
    </row>
    <row r="457" spans="1:33" s="173" customFormat="1">
      <c r="A457" s="1291"/>
      <c r="B457" s="1291"/>
      <c r="C457" s="1291"/>
      <c r="D457" s="1291"/>
      <c r="E457" s="1291"/>
      <c r="F457" s="1291"/>
      <c r="G457" s="1294"/>
      <c r="H457" s="1291"/>
      <c r="I457" s="1294"/>
      <c r="J457" s="1244"/>
      <c r="K457" s="1294"/>
      <c r="L457" s="1244"/>
      <c r="M457" s="1294"/>
      <c r="N457" s="1291"/>
      <c r="O457" s="1294"/>
      <c r="P457" s="1244"/>
      <c r="Q457" s="1294"/>
      <c r="R457" s="1244"/>
      <c r="S457" s="1294"/>
      <c r="T457" s="1291"/>
      <c r="U457" s="1294"/>
      <c r="V457" s="1244"/>
      <c r="W457" s="1294"/>
      <c r="X457" s="1244"/>
      <c r="Y457" s="1294"/>
      <c r="Z457" s="1291"/>
      <c r="AA457" s="1294"/>
      <c r="AB457" s="1244"/>
      <c r="AC457" s="1294"/>
      <c r="AD457" s="1244"/>
      <c r="AE457" s="1294"/>
      <c r="AF457" s="1294"/>
      <c r="AG457" s="1291"/>
    </row>
    <row r="458" spans="1:33" s="173" customFormat="1">
      <c r="A458" s="1291"/>
      <c r="B458" s="1291"/>
      <c r="C458" s="1291"/>
      <c r="D458" s="1291"/>
      <c r="E458" s="1291"/>
      <c r="F458" s="1291"/>
      <c r="G458" s="1294"/>
      <c r="H458" s="1291"/>
      <c r="I458" s="1294"/>
      <c r="J458" s="1244"/>
      <c r="K458" s="1294"/>
      <c r="L458" s="1244"/>
      <c r="M458" s="1294"/>
      <c r="N458" s="1291"/>
      <c r="O458" s="1294"/>
      <c r="P458" s="1244"/>
      <c r="Q458" s="1294"/>
      <c r="R458" s="1244"/>
      <c r="S458" s="1294"/>
      <c r="T458" s="1291"/>
      <c r="U458" s="1294"/>
      <c r="V458" s="1244"/>
      <c r="W458" s="1294"/>
      <c r="X458" s="1244"/>
      <c r="Y458" s="1294"/>
      <c r="Z458" s="1291"/>
      <c r="AA458" s="1294"/>
      <c r="AB458" s="1244"/>
      <c r="AC458" s="1294"/>
      <c r="AD458" s="1244"/>
      <c r="AE458" s="1294"/>
      <c r="AF458" s="1294"/>
      <c r="AG458" s="1291"/>
    </row>
    <row r="459" spans="1:33" s="173" customFormat="1">
      <c r="A459" s="1291"/>
      <c r="B459" s="1291"/>
      <c r="C459" s="1291"/>
      <c r="D459" s="1291"/>
      <c r="E459" s="1291"/>
      <c r="F459" s="1291"/>
      <c r="G459" s="1294"/>
      <c r="H459" s="1291"/>
      <c r="I459" s="1294"/>
      <c r="J459" s="1244"/>
      <c r="K459" s="1294"/>
      <c r="L459" s="1244"/>
      <c r="M459" s="1294"/>
      <c r="N459" s="1291"/>
      <c r="O459" s="1294"/>
      <c r="P459" s="1244"/>
      <c r="Q459" s="1294"/>
      <c r="R459" s="1244"/>
      <c r="S459" s="1294"/>
      <c r="T459" s="1291"/>
      <c r="U459" s="1294"/>
      <c r="V459" s="1244"/>
      <c r="W459" s="1294"/>
      <c r="X459" s="1244"/>
      <c r="Y459" s="1294"/>
      <c r="Z459" s="1291"/>
      <c r="AA459" s="1294"/>
      <c r="AB459" s="1244"/>
      <c r="AC459" s="1294"/>
      <c r="AD459" s="1244"/>
      <c r="AE459" s="1294"/>
      <c r="AF459" s="1294"/>
      <c r="AG459" s="1291"/>
    </row>
    <row r="460" spans="1:33" s="173" customFormat="1">
      <c r="A460" s="1291"/>
      <c r="B460" s="1291"/>
      <c r="C460" s="1291"/>
      <c r="D460" s="1291"/>
      <c r="E460" s="1291"/>
      <c r="F460" s="1291"/>
      <c r="G460" s="1294"/>
      <c r="H460" s="1291"/>
      <c r="I460" s="1294"/>
      <c r="J460" s="1244"/>
      <c r="K460" s="1294"/>
      <c r="L460" s="1244"/>
      <c r="M460" s="1294"/>
      <c r="N460" s="1291"/>
      <c r="O460" s="1294"/>
      <c r="P460" s="1244"/>
      <c r="Q460" s="1294"/>
      <c r="R460" s="1244"/>
      <c r="S460" s="1294"/>
      <c r="T460" s="1291"/>
      <c r="U460" s="1294"/>
      <c r="V460" s="1244"/>
      <c r="W460" s="1294"/>
      <c r="X460" s="1244"/>
      <c r="Y460" s="1294"/>
      <c r="Z460" s="1291"/>
      <c r="AA460" s="1294"/>
      <c r="AB460" s="1244"/>
      <c r="AC460" s="1294"/>
      <c r="AD460" s="1244"/>
      <c r="AE460" s="1294"/>
      <c r="AF460" s="1294"/>
      <c r="AG460" s="1291"/>
    </row>
    <row r="461" spans="1:33" s="173" customFormat="1">
      <c r="A461" s="1291"/>
      <c r="B461" s="1291"/>
      <c r="C461" s="1291"/>
      <c r="D461" s="1291"/>
      <c r="E461" s="1291"/>
      <c r="F461" s="1291"/>
      <c r="G461" s="1294"/>
      <c r="H461" s="1291"/>
      <c r="I461" s="1294"/>
      <c r="J461" s="1244"/>
      <c r="K461" s="1294"/>
      <c r="L461" s="1244"/>
      <c r="M461" s="1294"/>
      <c r="N461" s="1291"/>
      <c r="O461" s="1294"/>
      <c r="P461" s="1244"/>
      <c r="Q461" s="1294"/>
      <c r="R461" s="1244"/>
      <c r="S461" s="1294"/>
      <c r="T461" s="1291"/>
      <c r="U461" s="1294"/>
      <c r="V461" s="1244"/>
      <c r="W461" s="1294"/>
      <c r="X461" s="1244"/>
      <c r="Y461" s="1294"/>
      <c r="Z461" s="1291"/>
      <c r="AA461" s="1294"/>
      <c r="AB461" s="1244"/>
      <c r="AC461" s="1294"/>
      <c r="AD461" s="1244"/>
      <c r="AE461" s="1294"/>
      <c r="AF461" s="1294"/>
      <c r="AG461" s="1291"/>
    </row>
    <row r="462" spans="1:33" s="173" customFormat="1">
      <c r="A462" s="1291"/>
      <c r="B462" s="1291"/>
      <c r="C462" s="1291"/>
      <c r="D462" s="1291"/>
      <c r="E462" s="1291"/>
      <c r="F462" s="1291"/>
      <c r="G462" s="1294"/>
      <c r="H462" s="1291"/>
      <c r="I462" s="1294"/>
      <c r="J462" s="1244"/>
      <c r="K462" s="1294"/>
      <c r="L462" s="1244"/>
      <c r="M462" s="1294"/>
      <c r="N462" s="1291"/>
      <c r="O462" s="1294"/>
      <c r="P462" s="1244"/>
      <c r="Q462" s="1294"/>
      <c r="R462" s="1244"/>
      <c r="S462" s="1294"/>
      <c r="T462" s="1291"/>
      <c r="U462" s="1294"/>
      <c r="V462" s="1244"/>
      <c r="W462" s="1294"/>
      <c r="X462" s="1244"/>
      <c r="Y462" s="1294"/>
      <c r="Z462" s="1291"/>
      <c r="AA462" s="1294"/>
      <c r="AB462" s="1244"/>
      <c r="AC462" s="1294"/>
      <c r="AD462" s="1244"/>
      <c r="AE462" s="1294"/>
      <c r="AF462" s="1294"/>
      <c r="AG462" s="1291"/>
    </row>
    <row r="463" spans="1:33" s="173" customFormat="1">
      <c r="A463" s="1291"/>
      <c r="B463" s="1291"/>
      <c r="C463" s="1291"/>
      <c r="D463" s="1291"/>
      <c r="E463" s="1291"/>
      <c r="F463" s="1291"/>
      <c r="G463" s="1294"/>
      <c r="H463" s="1291"/>
      <c r="I463" s="1294"/>
      <c r="J463" s="1244"/>
      <c r="K463" s="1294"/>
      <c r="L463" s="1244"/>
      <c r="M463" s="1294"/>
      <c r="N463" s="1291"/>
      <c r="O463" s="1294"/>
      <c r="P463" s="1244"/>
      <c r="Q463" s="1294"/>
      <c r="R463" s="1244"/>
      <c r="S463" s="1294"/>
      <c r="T463" s="1291"/>
      <c r="U463" s="1294"/>
      <c r="V463" s="1244"/>
      <c r="W463" s="1294"/>
      <c r="X463" s="1244"/>
      <c r="Y463" s="1294"/>
      <c r="Z463" s="1291"/>
      <c r="AA463" s="1294"/>
      <c r="AB463" s="1244"/>
      <c r="AC463" s="1294"/>
      <c r="AD463" s="1244"/>
      <c r="AE463" s="1294"/>
      <c r="AF463" s="1294"/>
      <c r="AG463" s="1291"/>
    </row>
    <row r="464" spans="1:33" s="173" customFormat="1">
      <c r="A464" s="1291"/>
      <c r="B464" s="1291"/>
      <c r="C464" s="1291"/>
      <c r="D464" s="1291"/>
      <c r="E464" s="1291"/>
      <c r="F464" s="1291"/>
      <c r="G464" s="1294"/>
      <c r="H464" s="1291"/>
      <c r="I464" s="1294"/>
      <c r="J464" s="1244"/>
      <c r="K464" s="1294"/>
      <c r="L464" s="1244"/>
      <c r="M464" s="1294"/>
      <c r="N464" s="1291"/>
      <c r="O464" s="1294"/>
      <c r="P464" s="1244"/>
      <c r="Q464" s="1294"/>
      <c r="R464" s="1244"/>
      <c r="S464" s="1294"/>
      <c r="T464" s="1291"/>
      <c r="U464" s="1294"/>
      <c r="V464" s="1244"/>
      <c r="W464" s="1294"/>
      <c r="X464" s="1244"/>
      <c r="Y464" s="1294"/>
      <c r="Z464" s="1291"/>
      <c r="AA464" s="1294"/>
      <c r="AB464" s="1244"/>
      <c r="AC464" s="1294"/>
      <c r="AD464" s="1244"/>
      <c r="AE464" s="1294"/>
      <c r="AF464" s="1294"/>
      <c r="AG464" s="1291"/>
    </row>
    <row r="465" spans="1:33" s="173" customFormat="1">
      <c r="A465" s="1291"/>
      <c r="B465" s="1291"/>
      <c r="C465" s="1291"/>
      <c r="D465" s="1291"/>
      <c r="E465" s="1291"/>
      <c r="F465" s="1291"/>
      <c r="G465" s="1294"/>
      <c r="H465" s="1291"/>
      <c r="I465" s="1294"/>
      <c r="J465" s="1244"/>
      <c r="K465" s="1294"/>
      <c r="L465" s="1244"/>
      <c r="M465" s="1294"/>
      <c r="N465" s="1291"/>
      <c r="O465" s="1294"/>
      <c r="P465" s="1244"/>
      <c r="Q465" s="1294"/>
      <c r="R465" s="1244"/>
      <c r="S465" s="1294"/>
      <c r="T465" s="1291"/>
      <c r="U465" s="1294"/>
      <c r="V465" s="1244"/>
      <c r="W465" s="1294"/>
      <c r="X465" s="1244"/>
      <c r="Y465" s="1294"/>
      <c r="Z465" s="1291"/>
      <c r="AA465" s="1294"/>
      <c r="AB465" s="1244"/>
      <c r="AC465" s="1294"/>
      <c r="AD465" s="1244"/>
      <c r="AE465" s="1294"/>
      <c r="AF465" s="1294"/>
      <c r="AG465" s="1291"/>
    </row>
    <row r="466" spans="1:33" s="173" customFormat="1">
      <c r="A466" s="1291"/>
      <c r="B466" s="1291"/>
      <c r="C466" s="1291"/>
      <c r="D466" s="1291"/>
      <c r="E466" s="1291"/>
      <c r="F466" s="1291"/>
      <c r="G466" s="1294"/>
      <c r="H466" s="1291"/>
      <c r="I466" s="1294"/>
      <c r="J466" s="1291"/>
      <c r="K466" s="1294"/>
      <c r="L466" s="1291"/>
      <c r="M466" s="1294"/>
      <c r="N466" s="1291"/>
      <c r="O466" s="1294"/>
      <c r="P466" s="1291"/>
      <c r="Q466" s="1294"/>
      <c r="R466" s="1291"/>
      <c r="S466" s="1294"/>
      <c r="T466" s="1291"/>
      <c r="U466" s="1294"/>
      <c r="V466" s="1291"/>
      <c r="W466" s="1294"/>
      <c r="X466" s="1291"/>
      <c r="Y466" s="1294"/>
      <c r="Z466" s="1291"/>
      <c r="AA466" s="1294"/>
      <c r="AB466" s="1291"/>
      <c r="AC466" s="1294"/>
      <c r="AD466" s="1291"/>
      <c r="AE466" s="1294"/>
      <c r="AF466" s="1291"/>
      <c r="AG466" s="1291"/>
    </row>
    <row r="467" spans="1:33" s="173" customFormat="1">
      <c r="A467" s="1291"/>
      <c r="B467" s="1291"/>
      <c r="C467" s="1291"/>
      <c r="D467" s="1291"/>
      <c r="E467" s="1291"/>
      <c r="F467" s="1291"/>
      <c r="G467" s="1294"/>
      <c r="H467" s="1291"/>
      <c r="I467" s="1294"/>
      <c r="J467" s="1291"/>
      <c r="K467" s="1294"/>
      <c r="L467" s="1291"/>
      <c r="M467" s="1294"/>
      <c r="N467" s="1291"/>
      <c r="O467" s="1294"/>
      <c r="P467" s="1291"/>
      <c r="Q467" s="1294"/>
      <c r="R467" s="1291"/>
      <c r="S467" s="1294"/>
      <c r="T467" s="1291"/>
      <c r="U467" s="1294"/>
      <c r="V467" s="1291"/>
      <c r="W467" s="1294"/>
      <c r="X467" s="1291"/>
      <c r="Y467" s="1294"/>
      <c r="Z467" s="1291"/>
      <c r="AA467" s="1294"/>
      <c r="AB467" s="1291"/>
      <c r="AC467" s="1294"/>
      <c r="AD467" s="1291"/>
      <c r="AE467" s="1294"/>
      <c r="AF467" s="1291"/>
      <c r="AG467" s="1291"/>
    </row>
    <row r="468" spans="1:33" s="173" customFormat="1">
      <c r="A468" s="1291"/>
      <c r="B468" s="1291"/>
      <c r="C468" s="1291"/>
      <c r="D468" s="1291"/>
      <c r="E468" s="1291"/>
      <c r="F468" s="1291"/>
      <c r="G468" s="1294"/>
      <c r="H468" s="1291"/>
      <c r="I468" s="1294"/>
      <c r="J468" s="1291"/>
      <c r="K468" s="1294"/>
      <c r="L468" s="1291"/>
      <c r="M468" s="1294"/>
      <c r="N468" s="1291"/>
      <c r="O468" s="1294"/>
      <c r="P468" s="1291"/>
      <c r="Q468" s="1294"/>
      <c r="R468" s="1291"/>
      <c r="S468" s="1294"/>
      <c r="T468" s="1291"/>
      <c r="U468" s="1294"/>
      <c r="V468" s="1291"/>
      <c r="W468" s="1294"/>
      <c r="X468" s="1291"/>
      <c r="Y468" s="1294"/>
      <c r="Z468" s="1291"/>
      <c r="AA468" s="1294"/>
      <c r="AB468" s="1291"/>
      <c r="AC468" s="1294"/>
      <c r="AD468" s="1291"/>
      <c r="AE468" s="1294"/>
      <c r="AF468" s="1291"/>
      <c r="AG468" s="1291"/>
    </row>
    <row r="469" spans="1:33" s="173" customFormat="1">
      <c r="A469" s="1291"/>
      <c r="B469" s="1291"/>
      <c r="C469" s="1291"/>
      <c r="D469" s="1291"/>
      <c r="E469" s="1291"/>
      <c r="F469" s="1291"/>
      <c r="G469" s="1294"/>
      <c r="H469" s="1291"/>
      <c r="I469" s="1294"/>
      <c r="J469" s="1291"/>
      <c r="K469" s="1294"/>
      <c r="L469" s="1291"/>
      <c r="M469" s="1294"/>
      <c r="N469" s="1291"/>
      <c r="O469" s="1294"/>
      <c r="P469" s="1291"/>
      <c r="Q469" s="1294"/>
      <c r="R469" s="1291"/>
      <c r="S469" s="1294"/>
      <c r="T469" s="1291"/>
      <c r="U469" s="1294"/>
      <c r="V469" s="1291"/>
      <c r="W469" s="1294"/>
      <c r="X469" s="1291"/>
      <c r="Y469" s="1294"/>
      <c r="Z469" s="1291"/>
      <c r="AA469" s="1294"/>
      <c r="AB469" s="1291"/>
      <c r="AC469" s="1294"/>
      <c r="AD469" s="1291"/>
      <c r="AE469" s="1294"/>
      <c r="AF469" s="1291"/>
      <c r="AG469" s="1291"/>
    </row>
    <row r="470" spans="1:33" s="173" customFormat="1">
      <c r="A470" s="1291"/>
      <c r="B470" s="1291"/>
      <c r="C470" s="1291"/>
      <c r="D470" s="1291"/>
      <c r="E470" s="1291"/>
      <c r="F470" s="1291"/>
      <c r="G470" s="1294"/>
      <c r="H470" s="1291"/>
      <c r="I470" s="1294"/>
      <c r="J470" s="1291"/>
      <c r="K470" s="1294"/>
      <c r="L470" s="1291"/>
      <c r="M470" s="1294"/>
      <c r="N470" s="1291"/>
      <c r="O470" s="1294"/>
      <c r="P470" s="1291"/>
      <c r="Q470" s="1294"/>
      <c r="R470" s="1291"/>
      <c r="S470" s="1294"/>
      <c r="T470" s="1291"/>
      <c r="U470" s="1294"/>
      <c r="V470" s="1291"/>
      <c r="W470" s="1294"/>
      <c r="X470" s="1291"/>
      <c r="Y470" s="1294"/>
      <c r="Z470" s="1291"/>
      <c r="AA470" s="1294"/>
      <c r="AB470" s="1291"/>
      <c r="AC470" s="1294"/>
      <c r="AD470" s="1291"/>
      <c r="AE470" s="1294"/>
      <c r="AF470" s="1291"/>
      <c r="AG470" s="1291"/>
    </row>
    <row r="471" spans="1:33" s="173" customFormat="1">
      <c r="A471" s="1291"/>
      <c r="B471" s="1291"/>
      <c r="C471" s="1291"/>
      <c r="D471" s="1291"/>
      <c r="E471" s="1291"/>
      <c r="F471" s="1291"/>
      <c r="G471" s="1294"/>
      <c r="H471" s="1291"/>
      <c r="I471" s="1294"/>
      <c r="J471" s="1291"/>
      <c r="K471" s="1294"/>
      <c r="L471" s="1291"/>
      <c r="M471" s="1294"/>
      <c r="N471" s="1291"/>
      <c r="O471" s="1294"/>
      <c r="P471" s="1291"/>
      <c r="Q471" s="1294"/>
      <c r="R471" s="1291"/>
      <c r="S471" s="1294"/>
      <c r="T471" s="1291"/>
      <c r="U471" s="1294"/>
      <c r="V471" s="1291"/>
      <c r="W471" s="1294"/>
      <c r="X471" s="1291"/>
      <c r="Y471" s="1294"/>
      <c r="Z471" s="1291"/>
      <c r="AA471" s="1294"/>
      <c r="AB471" s="1291"/>
      <c r="AC471" s="1294"/>
      <c r="AD471" s="1291"/>
      <c r="AE471" s="1294"/>
      <c r="AF471" s="1291"/>
      <c r="AG471" s="1291"/>
    </row>
    <row r="472" spans="1:33" s="173" customFormat="1">
      <c r="A472" s="1291"/>
      <c r="B472" s="1291"/>
      <c r="C472" s="1291"/>
      <c r="D472" s="1291"/>
      <c r="E472" s="1291"/>
      <c r="F472" s="1291"/>
      <c r="G472" s="1294"/>
      <c r="H472" s="1291"/>
      <c r="I472" s="1294"/>
      <c r="J472" s="1291"/>
      <c r="K472" s="1294"/>
      <c r="L472" s="1291"/>
      <c r="M472" s="1294"/>
      <c r="N472" s="1291"/>
      <c r="O472" s="1294"/>
      <c r="P472" s="1291"/>
      <c r="Q472" s="1294"/>
      <c r="R472" s="1291"/>
      <c r="S472" s="1294"/>
      <c r="T472" s="1291"/>
      <c r="U472" s="1294"/>
      <c r="V472" s="1291"/>
      <c r="W472" s="1294"/>
      <c r="X472" s="1291"/>
      <c r="Y472" s="1294"/>
      <c r="Z472" s="1291"/>
      <c r="AA472" s="1294"/>
      <c r="AB472" s="1291"/>
      <c r="AC472" s="1294"/>
      <c r="AD472" s="1291"/>
      <c r="AE472" s="1294"/>
      <c r="AF472" s="1291"/>
      <c r="AG472" s="1291"/>
    </row>
    <row r="473" spans="1:33" s="173" customFormat="1">
      <c r="A473" s="1291"/>
      <c r="B473" s="1291"/>
      <c r="C473" s="1291"/>
      <c r="D473" s="1291"/>
      <c r="E473" s="1291"/>
      <c r="F473" s="1291"/>
      <c r="G473" s="1294"/>
      <c r="H473" s="1291"/>
      <c r="I473" s="1294"/>
      <c r="J473" s="1291"/>
      <c r="K473" s="1294"/>
      <c r="L473" s="1291"/>
      <c r="M473" s="1294"/>
      <c r="N473" s="1291"/>
      <c r="O473" s="1294"/>
      <c r="P473" s="1291"/>
      <c r="Q473" s="1294"/>
      <c r="R473" s="1291"/>
      <c r="S473" s="1294"/>
      <c r="T473" s="1291"/>
      <c r="U473" s="1294"/>
      <c r="V473" s="1291"/>
      <c r="W473" s="1294"/>
      <c r="X473" s="1291"/>
      <c r="Y473" s="1294"/>
      <c r="Z473" s="1291"/>
      <c r="AA473" s="1294"/>
      <c r="AB473" s="1291"/>
      <c r="AC473" s="1294"/>
      <c r="AD473" s="1291"/>
      <c r="AE473" s="1294"/>
      <c r="AF473" s="1291"/>
      <c r="AG473" s="1291"/>
    </row>
    <row r="474" spans="1:33" s="173" customFormat="1">
      <c r="A474" s="1291"/>
      <c r="B474" s="1291"/>
      <c r="C474" s="1291"/>
      <c r="D474" s="1291"/>
      <c r="E474" s="1291"/>
      <c r="F474" s="1291"/>
      <c r="G474" s="1294"/>
      <c r="H474" s="1291"/>
      <c r="I474" s="1294"/>
      <c r="J474" s="1291"/>
      <c r="K474" s="1294"/>
      <c r="L474" s="1291"/>
      <c r="M474" s="1294"/>
      <c r="N474" s="1291"/>
      <c r="O474" s="1294"/>
      <c r="P474" s="1291"/>
      <c r="Q474" s="1294"/>
      <c r="R474" s="1291"/>
      <c r="S474" s="1294"/>
      <c r="T474" s="1291"/>
      <c r="U474" s="1294"/>
      <c r="V474" s="1291"/>
      <c r="W474" s="1294"/>
      <c r="X474" s="1291"/>
      <c r="Y474" s="1294"/>
      <c r="Z474" s="1291"/>
      <c r="AA474" s="1294"/>
      <c r="AB474" s="1291"/>
      <c r="AC474" s="1294"/>
      <c r="AD474" s="1291"/>
      <c r="AE474" s="1294"/>
      <c r="AF474" s="1291"/>
      <c r="AG474" s="1291"/>
    </row>
    <row r="475" spans="1:33" s="173" customFormat="1">
      <c r="A475" s="1291"/>
      <c r="B475" s="1291"/>
      <c r="C475" s="1291"/>
      <c r="D475" s="1291"/>
      <c r="E475" s="1291"/>
      <c r="F475" s="1291"/>
      <c r="G475" s="1294"/>
      <c r="H475" s="1291"/>
      <c r="I475" s="1294"/>
      <c r="J475" s="1291"/>
      <c r="K475" s="1294"/>
      <c r="L475" s="1291"/>
      <c r="M475" s="1294"/>
      <c r="N475" s="1291"/>
      <c r="O475" s="1294"/>
      <c r="P475" s="1291"/>
      <c r="Q475" s="1294"/>
      <c r="R475" s="1291"/>
      <c r="S475" s="1294"/>
      <c r="T475" s="1291"/>
      <c r="U475" s="1294"/>
      <c r="V475" s="1291"/>
      <c r="W475" s="1294"/>
      <c r="X475" s="1291"/>
      <c r="Y475" s="1294"/>
      <c r="Z475" s="1291"/>
      <c r="AA475" s="1294"/>
      <c r="AB475" s="1291"/>
      <c r="AC475" s="1294"/>
      <c r="AD475" s="1291"/>
      <c r="AE475" s="1294"/>
      <c r="AF475" s="1291"/>
      <c r="AG475" s="1291"/>
    </row>
    <row r="476" spans="1:33" s="173" customFormat="1">
      <c r="A476" s="1291"/>
      <c r="B476" s="1291"/>
      <c r="C476" s="1291"/>
      <c r="D476" s="1291"/>
      <c r="E476" s="1291"/>
      <c r="F476" s="1291"/>
      <c r="G476" s="1294"/>
      <c r="H476" s="1291"/>
      <c r="I476" s="1294"/>
      <c r="J476" s="1291"/>
      <c r="K476" s="1294"/>
      <c r="L476" s="1291"/>
      <c r="M476" s="1294"/>
      <c r="N476" s="1291"/>
      <c r="O476" s="1294"/>
      <c r="P476" s="1291"/>
      <c r="Q476" s="1294"/>
      <c r="R476" s="1291"/>
      <c r="S476" s="1294"/>
      <c r="T476" s="1291"/>
      <c r="U476" s="1294"/>
      <c r="V476" s="1291"/>
      <c r="W476" s="1294"/>
      <c r="X476" s="1291"/>
      <c r="Y476" s="1294"/>
      <c r="Z476" s="1291"/>
      <c r="AA476" s="1294"/>
      <c r="AB476" s="1291"/>
      <c r="AC476" s="1294"/>
      <c r="AD476" s="1291"/>
      <c r="AE476" s="1294"/>
      <c r="AF476" s="1291"/>
      <c r="AG476" s="1291"/>
    </row>
    <row r="477" spans="1:33" s="173" customFormat="1">
      <c r="A477" s="1291"/>
      <c r="B477" s="1291"/>
      <c r="C477" s="1291"/>
      <c r="D477" s="1291"/>
      <c r="E477" s="1291"/>
      <c r="F477" s="1291"/>
      <c r="G477" s="1294"/>
      <c r="H477" s="1291"/>
      <c r="I477" s="1294"/>
      <c r="J477" s="1291"/>
      <c r="K477" s="1294"/>
      <c r="L477" s="1291"/>
      <c r="M477" s="1294"/>
      <c r="N477" s="1291"/>
      <c r="O477" s="1294"/>
      <c r="P477" s="1291"/>
      <c r="Q477" s="1294"/>
      <c r="R477" s="1291"/>
      <c r="S477" s="1294"/>
      <c r="T477" s="1291"/>
      <c r="U477" s="1294"/>
      <c r="V477" s="1291"/>
      <c r="W477" s="1294"/>
      <c r="X477" s="1291"/>
      <c r="Y477" s="1294"/>
      <c r="Z477" s="1291"/>
      <c r="AA477" s="1294"/>
      <c r="AB477" s="1291"/>
      <c r="AC477" s="1294"/>
      <c r="AD477" s="1291"/>
      <c r="AE477" s="1294"/>
      <c r="AF477" s="1291"/>
      <c r="AG477" s="1291"/>
    </row>
    <row r="478" spans="1:33" s="173" customFormat="1">
      <c r="A478" s="1291"/>
      <c r="B478" s="1291"/>
      <c r="C478" s="1291"/>
      <c r="D478" s="1291"/>
      <c r="E478" s="1291"/>
      <c r="F478" s="1291"/>
      <c r="G478" s="1294"/>
      <c r="H478" s="1291"/>
      <c r="I478" s="1294"/>
      <c r="J478" s="1291"/>
      <c r="K478" s="1294"/>
      <c r="L478" s="1291"/>
      <c r="M478" s="1294"/>
      <c r="N478" s="1291"/>
      <c r="O478" s="1294"/>
      <c r="P478" s="1291"/>
      <c r="Q478" s="1294"/>
      <c r="R478" s="1291"/>
      <c r="S478" s="1294"/>
      <c r="T478" s="1291"/>
      <c r="U478" s="1294"/>
      <c r="V478" s="1291"/>
      <c r="W478" s="1294"/>
      <c r="X478" s="1291"/>
      <c r="Y478" s="1294"/>
      <c r="Z478" s="1291"/>
      <c r="AA478" s="1294"/>
      <c r="AB478" s="1291"/>
      <c r="AC478" s="1294"/>
      <c r="AD478" s="1291"/>
      <c r="AE478" s="1294"/>
      <c r="AF478" s="1291"/>
      <c r="AG478" s="1291"/>
    </row>
    <row r="479" spans="1:33" s="173" customFormat="1">
      <c r="A479" s="1291"/>
      <c r="B479" s="1291"/>
      <c r="C479" s="1291"/>
      <c r="D479" s="1291"/>
      <c r="E479" s="1291"/>
      <c r="F479" s="1291"/>
      <c r="G479" s="1294"/>
      <c r="H479" s="1291"/>
      <c r="I479" s="1294"/>
      <c r="J479" s="1291"/>
      <c r="K479" s="1294"/>
      <c r="L479" s="1291"/>
      <c r="M479" s="1294"/>
      <c r="N479" s="1291"/>
      <c r="O479" s="1294"/>
      <c r="P479" s="1291"/>
      <c r="Q479" s="1294"/>
      <c r="R479" s="1291"/>
      <c r="S479" s="1294"/>
      <c r="T479" s="1291"/>
      <c r="U479" s="1294"/>
      <c r="V479" s="1291"/>
      <c r="W479" s="1294"/>
      <c r="X479" s="1291"/>
      <c r="Y479" s="1294"/>
      <c r="Z479" s="1291"/>
      <c r="AA479" s="1294"/>
      <c r="AB479" s="1291"/>
      <c r="AC479" s="1294"/>
      <c r="AD479" s="1291"/>
      <c r="AE479" s="1294"/>
      <c r="AF479" s="1291"/>
      <c r="AG479" s="1291"/>
    </row>
    <row r="480" spans="1:33" s="173" customFormat="1">
      <c r="A480" s="1291"/>
      <c r="B480" s="1291"/>
      <c r="C480" s="1291"/>
      <c r="D480" s="1291"/>
      <c r="E480" s="1291"/>
      <c r="F480" s="1291"/>
      <c r="G480" s="1294"/>
      <c r="H480" s="1291"/>
      <c r="I480" s="1294"/>
      <c r="J480" s="1291"/>
      <c r="K480" s="1294"/>
      <c r="L480" s="1291"/>
      <c r="M480" s="1294"/>
      <c r="N480" s="1291"/>
      <c r="O480" s="1294"/>
      <c r="P480" s="1291"/>
      <c r="Q480" s="1294"/>
      <c r="R480" s="1291"/>
      <c r="S480" s="1294"/>
      <c r="T480" s="1291"/>
      <c r="U480" s="1294"/>
      <c r="V480" s="1291"/>
      <c r="W480" s="1294"/>
      <c r="X480" s="1291"/>
      <c r="Y480" s="1294"/>
      <c r="Z480" s="1291"/>
      <c r="AA480" s="1294"/>
      <c r="AB480" s="1291"/>
      <c r="AC480" s="1294"/>
      <c r="AD480" s="1291"/>
      <c r="AE480" s="1294"/>
      <c r="AF480" s="1291"/>
      <c r="AG480" s="1291"/>
    </row>
  </sheetData>
  <pageMargins left="0.25" right="0.25" top="0.27" bottom="0.4" header="0.18" footer="0.25"/>
  <pageSetup scale="43" fitToHeight="4" orientation="landscape" errors="blank" horizontalDpi="4294967292" r:id="rId1"/>
  <headerFooter alignWithMargins="0">
    <oddFooter>&amp;L&amp;F - &amp;A&amp;CPrinted &amp;D - &amp;T&amp;RPage &amp;P of &amp;N</oddFooter>
  </headerFooter>
  <rowBreaks count="1" manualBreakCount="1">
    <brk id="149" max="32"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A261"/>
  <sheetViews>
    <sheetView showGridLines="0" zoomScaleNormal="100" zoomScaleSheetLayoutView="110" workbookViewId="0">
      <pane xSplit="2" ySplit="9" topLeftCell="C10" activePane="bottomRight" state="frozen"/>
      <selection activeCell="M18" sqref="M18"/>
      <selection pane="topRight" activeCell="M18" sqref="M18"/>
      <selection pane="bottomLeft" activeCell="M18" sqref="M18"/>
      <selection pane="bottomRight" activeCell="J62" sqref="J62"/>
    </sheetView>
  </sheetViews>
  <sheetFormatPr defaultRowHeight="11.25" outlineLevelCol="1"/>
  <cols>
    <col min="1" max="1" width="5.5703125" style="39" customWidth="1"/>
    <col min="2" max="2" width="27.28515625" style="7" customWidth="1"/>
    <col min="3" max="3" width="11.140625" style="3" customWidth="1"/>
    <col min="4" max="4" width="10.85546875" style="4" customWidth="1"/>
    <col min="5" max="5" width="10.5703125" style="4" customWidth="1"/>
    <col min="6" max="6" width="8.42578125" style="5" customWidth="1" outlineLevel="1"/>
    <col min="7" max="7" width="12.28515625" style="4" customWidth="1"/>
    <col min="8" max="8" width="10.85546875" style="4" customWidth="1"/>
    <col min="9" max="9" width="5.28515625" style="852" customWidth="1"/>
    <col min="10" max="11" width="10.28515625" style="6" customWidth="1"/>
    <col min="12" max="12" width="8" style="7" customWidth="1" outlineLevel="1"/>
    <col min="13" max="13" width="6.7109375" style="7" customWidth="1"/>
    <col min="14" max="14" width="9.140625" style="7"/>
    <col min="15" max="17" width="13.42578125" style="7" customWidth="1"/>
    <col min="18" max="231" width="9.140625" style="7"/>
    <col min="232" max="232" width="6.28515625" style="7" customWidth="1"/>
    <col min="233" max="233" width="20.7109375" style="7" customWidth="1"/>
    <col min="234" max="234" width="10" style="7" customWidth="1"/>
    <col min="235" max="235" width="1" style="7" customWidth="1"/>
    <col min="236" max="236" width="10" style="7" customWidth="1"/>
    <col min="237" max="237" width="1.28515625" style="7" customWidth="1"/>
    <col min="238" max="238" width="9.7109375" style="7" customWidth="1"/>
    <col min="239" max="239" width="1.140625" style="7" customWidth="1"/>
    <col min="240" max="240" width="12.5703125" style="7" customWidth="1"/>
    <col min="241" max="241" width="4.7109375" style="7" customWidth="1"/>
    <col min="242" max="242" width="10.7109375" style="7" customWidth="1"/>
    <col min="243" max="243" width="4.5703125" style="7" customWidth="1"/>
    <col min="244" max="244" width="12.28515625" style="7" customWidth="1"/>
    <col min="245" max="245" width="1.42578125" style="7" customWidth="1"/>
    <col min="246" max="246" width="14.140625" style="7" customWidth="1"/>
    <col min="247" max="247" width="13.7109375" style="7" customWidth="1"/>
    <col min="248" max="248" width="8" style="7" customWidth="1"/>
    <col min="249" max="249" width="1.42578125" style="7" customWidth="1"/>
    <col min="250" max="250" width="11.28515625" style="7" customWidth="1"/>
    <col min="251" max="251" width="12.85546875" style="7" customWidth="1"/>
    <col min="252" max="252" width="10.5703125" style="7" customWidth="1"/>
    <col min="253" max="253" width="12" style="7" customWidth="1"/>
    <col min="254" max="254" width="11.140625" style="7" customWidth="1"/>
    <col min="255" max="255" width="9.28515625" style="7" customWidth="1"/>
    <col min="256" max="256" width="1.42578125" style="7" customWidth="1"/>
    <col min="257" max="257" width="17.28515625" style="7" customWidth="1"/>
    <col min="258" max="258" width="11.140625" style="7" customWidth="1"/>
    <col min="259" max="259" width="12.42578125" style="7" customWidth="1"/>
    <col min="260" max="261" width="11.28515625" style="7" customWidth="1"/>
    <col min="262" max="262" width="10.5703125" style="7" customWidth="1"/>
    <col min="263" max="263" width="16.42578125" style="7" customWidth="1"/>
    <col min="264" max="264" width="12.140625" style="7" customWidth="1"/>
    <col min="265" max="265" width="10.85546875" style="7" customWidth="1"/>
    <col min="266" max="266" width="11.7109375" style="7" customWidth="1"/>
    <col min="267" max="487" width="9.140625" style="7"/>
    <col min="488" max="488" width="6.28515625" style="7" customWidth="1"/>
    <col min="489" max="489" width="20.7109375" style="7" customWidth="1"/>
    <col min="490" max="490" width="10" style="7" customWidth="1"/>
    <col min="491" max="491" width="1" style="7" customWidth="1"/>
    <col min="492" max="492" width="10" style="7" customWidth="1"/>
    <col min="493" max="493" width="1.28515625" style="7" customWidth="1"/>
    <col min="494" max="494" width="9.7109375" style="7" customWidth="1"/>
    <col min="495" max="495" width="1.140625" style="7" customWidth="1"/>
    <col min="496" max="496" width="12.5703125" style="7" customWidth="1"/>
    <col min="497" max="497" width="4.7109375" style="7" customWidth="1"/>
    <col min="498" max="498" width="10.7109375" style="7" customWidth="1"/>
    <col min="499" max="499" width="4.5703125" style="7" customWidth="1"/>
    <col min="500" max="500" width="12.28515625" style="7" customWidth="1"/>
    <col min="501" max="501" width="1.42578125" style="7" customWidth="1"/>
    <col min="502" max="502" width="14.140625" style="7" customWidth="1"/>
    <col min="503" max="503" width="13.7109375" style="7" customWidth="1"/>
    <col min="504" max="504" width="8" style="7" customWidth="1"/>
    <col min="505" max="505" width="1.42578125" style="7" customWidth="1"/>
    <col min="506" max="506" width="11.28515625" style="7" customWidth="1"/>
    <col min="507" max="507" width="12.85546875" style="7" customWidth="1"/>
    <col min="508" max="508" width="10.5703125" style="7" customWidth="1"/>
    <col min="509" max="509" width="12" style="7" customWidth="1"/>
    <col min="510" max="510" width="11.140625" style="7" customWidth="1"/>
    <col min="511" max="511" width="9.28515625" style="7" customWidth="1"/>
    <col min="512" max="512" width="1.42578125" style="7" customWidth="1"/>
    <col min="513" max="513" width="17.28515625" style="7" customWidth="1"/>
    <col min="514" max="514" width="11.140625" style="7" customWidth="1"/>
    <col min="515" max="515" width="12.42578125" style="7" customWidth="1"/>
    <col min="516" max="517" width="11.28515625" style="7" customWidth="1"/>
    <col min="518" max="518" width="10.5703125" style="7" customWidth="1"/>
    <col min="519" max="519" width="16.42578125" style="7" customWidth="1"/>
    <col min="520" max="520" width="12.140625" style="7" customWidth="1"/>
    <col min="521" max="521" width="10.85546875" style="7" customWidth="1"/>
    <col min="522" max="522" width="11.7109375" style="7" customWidth="1"/>
    <col min="523" max="743" width="9.140625" style="7"/>
    <col min="744" max="744" width="6.28515625" style="7" customWidth="1"/>
    <col min="745" max="745" width="20.7109375" style="7" customWidth="1"/>
    <col min="746" max="746" width="10" style="7" customWidth="1"/>
    <col min="747" max="747" width="1" style="7" customWidth="1"/>
    <col min="748" max="748" width="10" style="7" customWidth="1"/>
    <col min="749" max="749" width="1.28515625" style="7" customWidth="1"/>
    <col min="750" max="750" width="9.7109375" style="7" customWidth="1"/>
    <col min="751" max="751" width="1.140625" style="7" customWidth="1"/>
    <col min="752" max="752" width="12.5703125" style="7" customWidth="1"/>
    <col min="753" max="753" width="4.7109375" style="7" customWidth="1"/>
    <col min="754" max="754" width="10.7109375" style="7" customWidth="1"/>
    <col min="755" max="755" width="4.5703125" style="7" customWidth="1"/>
    <col min="756" max="756" width="12.28515625" style="7" customWidth="1"/>
    <col min="757" max="757" width="1.42578125" style="7" customWidth="1"/>
    <col min="758" max="758" width="14.140625" style="7" customWidth="1"/>
    <col min="759" max="759" width="13.7109375" style="7" customWidth="1"/>
    <col min="760" max="760" width="8" style="7" customWidth="1"/>
    <col min="761" max="761" width="1.42578125" style="7" customWidth="1"/>
    <col min="762" max="762" width="11.28515625" style="7" customWidth="1"/>
    <col min="763" max="763" width="12.85546875" style="7" customWidth="1"/>
    <col min="764" max="764" width="10.5703125" style="7" customWidth="1"/>
    <col min="765" max="765" width="12" style="7" customWidth="1"/>
    <col min="766" max="766" width="11.140625" style="7" customWidth="1"/>
    <col min="767" max="767" width="9.28515625" style="7" customWidth="1"/>
    <col min="768" max="768" width="1.42578125" style="7" customWidth="1"/>
    <col min="769" max="769" width="17.28515625" style="7" customWidth="1"/>
    <col min="770" max="770" width="11.140625" style="7" customWidth="1"/>
    <col min="771" max="771" width="12.42578125" style="7" customWidth="1"/>
    <col min="772" max="773" width="11.28515625" style="7" customWidth="1"/>
    <col min="774" max="774" width="10.5703125" style="7" customWidth="1"/>
    <col min="775" max="775" width="16.42578125" style="7" customWidth="1"/>
    <col min="776" max="776" width="12.140625" style="7" customWidth="1"/>
    <col min="777" max="777" width="10.85546875" style="7" customWidth="1"/>
    <col min="778" max="778" width="11.7109375" style="7" customWidth="1"/>
    <col min="779" max="999" width="9.140625" style="7"/>
    <col min="1000" max="1000" width="6.28515625" style="7" customWidth="1"/>
    <col min="1001" max="1001" width="20.7109375" style="7" customWidth="1"/>
    <col min="1002" max="1002" width="10" style="7" customWidth="1"/>
    <col min="1003" max="1003" width="1" style="7" customWidth="1"/>
    <col min="1004" max="1004" width="10" style="7" customWidth="1"/>
    <col min="1005" max="1005" width="1.28515625" style="7" customWidth="1"/>
    <col min="1006" max="1006" width="9.7109375" style="7" customWidth="1"/>
    <col min="1007" max="1007" width="1.140625" style="7" customWidth="1"/>
    <col min="1008" max="1008" width="12.5703125" style="7" customWidth="1"/>
    <col min="1009" max="1009" width="4.7109375" style="7" customWidth="1"/>
    <col min="1010" max="1010" width="10.7109375" style="7" customWidth="1"/>
    <col min="1011" max="1011" width="4.5703125" style="7" customWidth="1"/>
    <col min="1012" max="1012" width="12.28515625" style="7" customWidth="1"/>
    <col min="1013" max="1013" width="1.42578125" style="7" customWidth="1"/>
    <col min="1014" max="1014" width="14.140625" style="7" customWidth="1"/>
    <col min="1015" max="1015" width="13.7109375" style="7" customWidth="1"/>
    <col min="1016" max="1016" width="8" style="7" customWidth="1"/>
    <col min="1017" max="1017" width="1.42578125" style="7" customWidth="1"/>
    <col min="1018" max="1018" width="11.28515625" style="7" customWidth="1"/>
    <col min="1019" max="1019" width="12.85546875" style="7" customWidth="1"/>
    <col min="1020" max="1020" width="10.5703125" style="7" customWidth="1"/>
    <col min="1021" max="1021" width="12" style="7" customWidth="1"/>
    <col min="1022" max="1022" width="11.140625" style="7" customWidth="1"/>
    <col min="1023" max="1023" width="9.28515625" style="7" customWidth="1"/>
    <col min="1024" max="1024" width="1.42578125" style="7" customWidth="1"/>
    <col min="1025" max="1025" width="17.28515625" style="7" customWidth="1"/>
    <col min="1026" max="1026" width="11.140625" style="7" customWidth="1"/>
    <col min="1027" max="1027" width="12.42578125" style="7" customWidth="1"/>
    <col min="1028" max="1029" width="11.28515625" style="7" customWidth="1"/>
    <col min="1030" max="1030" width="10.5703125" style="7" customWidth="1"/>
    <col min="1031" max="1031" width="16.42578125" style="7" customWidth="1"/>
    <col min="1032" max="1032" width="12.140625" style="7" customWidth="1"/>
    <col min="1033" max="1033" width="10.85546875" style="7" customWidth="1"/>
    <col min="1034" max="1034" width="11.7109375" style="7" customWidth="1"/>
    <col min="1035" max="1255" width="9.140625" style="7"/>
    <col min="1256" max="1256" width="6.28515625" style="7" customWidth="1"/>
    <col min="1257" max="1257" width="20.7109375" style="7" customWidth="1"/>
    <col min="1258" max="1258" width="10" style="7" customWidth="1"/>
    <col min="1259" max="1259" width="1" style="7" customWidth="1"/>
    <col min="1260" max="1260" width="10" style="7" customWidth="1"/>
    <col min="1261" max="1261" width="1.28515625" style="7" customWidth="1"/>
    <col min="1262" max="1262" width="9.7109375" style="7" customWidth="1"/>
    <col min="1263" max="1263" width="1.140625" style="7" customWidth="1"/>
    <col min="1264" max="1264" width="12.5703125" style="7" customWidth="1"/>
    <col min="1265" max="1265" width="4.7109375" style="7" customWidth="1"/>
    <col min="1266" max="1266" width="10.7109375" style="7" customWidth="1"/>
    <col min="1267" max="1267" width="4.5703125" style="7" customWidth="1"/>
    <col min="1268" max="1268" width="12.28515625" style="7" customWidth="1"/>
    <col min="1269" max="1269" width="1.42578125" style="7" customWidth="1"/>
    <col min="1270" max="1270" width="14.140625" style="7" customWidth="1"/>
    <col min="1271" max="1271" width="13.7109375" style="7" customWidth="1"/>
    <col min="1272" max="1272" width="8" style="7" customWidth="1"/>
    <col min="1273" max="1273" width="1.42578125" style="7" customWidth="1"/>
    <col min="1274" max="1274" width="11.28515625" style="7" customWidth="1"/>
    <col min="1275" max="1275" width="12.85546875" style="7" customWidth="1"/>
    <col min="1276" max="1276" width="10.5703125" style="7" customWidth="1"/>
    <col min="1277" max="1277" width="12" style="7" customWidth="1"/>
    <col min="1278" max="1278" width="11.140625" style="7" customWidth="1"/>
    <col min="1279" max="1279" width="9.28515625" style="7" customWidth="1"/>
    <col min="1280" max="1280" width="1.42578125" style="7" customWidth="1"/>
    <col min="1281" max="1281" width="17.28515625" style="7" customWidth="1"/>
    <col min="1282" max="1282" width="11.140625" style="7" customWidth="1"/>
    <col min="1283" max="1283" width="12.42578125" style="7" customWidth="1"/>
    <col min="1284" max="1285" width="11.28515625" style="7" customWidth="1"/>
    <col min="1286" max="1286" width="10.5703125" style="7" customWidth="1"/>
    <col min="1287" max="1287" width="16.42578125" style="7" customWidth="1"/>
    <col min="1288" max="1288" width="12.140625" style="7" customWidth="1"/>
    <col min="1289" max="1289" width="10.85546875" style="7" customWidth="1"/>
    <col min="1290" max="1290" width="11.7109375" style="7" customWidth="1"/>
    <col min="1291" max="1511" width="9.140625" style="7"/>
    <col min="1512" max="1512" width="6.28515625" style="7" customWidth="1"/>
    <col min="1513" max="1513" width="20.7109375" style="7" customWidth="1"/>
    <col min="1514" max="1514" width="10" style="7" customWidth="1"/>
    <col min="1515" max="1515" width="1" style="7" customWidth="1"/>
    <col min="1516" max="1516" width="10" style="7" customWidth="1"/>
    <col min="1517" max="1517" width="1.28515625" style="7" customWidth="1"/>
    <col min="1518" max="1518" width="9.7109375" style="7" customWidth="1"/>
    <col min="1519" max="1519" width="1.140625" style="7" customWidth="1"/>
    <col min="1520" max="1520" width="12.5703125" style="7" customWidth="1"/>
    <col min="1521" max="1521" width="4.7109375" style="7" customWidth="1"/>
    <col min="1522" max="1522" width="10.7109375" style="7" customWidth="1"/>
    <col min="1523" max="1523" width="4.5703125" style="7" customWidth="1"/>
    <col min="1524" max="1524" width="12.28515625" style="7" customWidth="1"/>
    <col min="1525" max="1525" width="1.42578125" style="7" customWidth="1"/>
    <col min="1526" max="1526" width="14.140625" style="7" customWidth="1"/>
    <col min="1527" max="1527" width="13.7109375" style="7" customWidth="1"/>
    <col min="1528" max="1528" width="8" style="7" customWidth="1"/>
    <col min="1529" max="1529" width="1.42578125" style="7" customWidth="1"/>
    <col min="1530" max="1530" width="11.28515625" style="7" customWidth="1"/>
    <col min="1531" max="1531" width="12.85546875" style="7" customWidth="1"/>
    <col min="1532" max="1532" width="10.5703125" style="7" customWidth="1"/>
    <col min="1533" max="1533" width="12" style="7" customWidth="1"/>
    <col min="1534" max="1534" width="11.140625" style="7" customWidth="1"/>
    <col min="1535" max="1535" width="9.28515625" style="7" customWidth="1"/>
    <col min="1536" max="1536" width="1.42578125" style="7" customWidth="1"/>
    <col min="1537" max="1537" width="17.28515625" style="7" customWidth="1"/>
    <col min="1538" max="1538" width="11.140625" style="7" customWidth="1"/>
    <col min="1539" max="1539" width="12.42578125" style="7" customWidth="1"/>
    <col min="1540" max="1541" width="11.28515625" style="7" customWidth="1"/>
    <col min="1542" max="1542" width="10.5703125" style="7" customWidth="1"/>
    <col min="1543" max="1543" width="16.42578125" style="7" customWidth="1"/>
    <col min="1544" max="1544" width="12.140625" style="7" customWidth="1"/>
    <col min="1545" max="1545" width="10.85546875" style="7" customWidth="1"/>
    <col min="1546" max="1546" width="11.7109375" style="7" customWidth="1"/>
    <col min="1547" max="1767" width="9.140625" style="7"/>
    <col min="1768" max="1768" width="6.28515625" style="7" customWidth="1"/>
    <col min="1769" max="1769" width="20.7109375" style="7" customWidth="1"/>
    <col min="1770" max="1770" width="10" style="7" customWidth="1"/>
    <col min="1771" max="1771" width="1" style="7" customWidth="1"/>
    <col min="1772" max="1772" width="10" style="7" customWidth="1"/>
    <col min="1773" max="1773" width="1.28515625" style="7" customWidth="1"/>
    <col min="1774" max="1774" width="9.7109375" style="7" customWidth="1"/>
    <col min="1775" max="1775" width="1.140625" style="7" customWidth="1"/>
    <col min="1776" max="1776" width="12.5703125" style="7" customWidth="1"/>
    <col min="1777" max="1777" width="4.7109375" style="7" customWidth="1"/>
    <col min="1778" max="1778" width="10.7109375" style="7" customWidth="1"/>
    <col min="1779" max="1779" width="4.5703125" style="7" customWidth="1"/>
    <col min="1780" max="1780" width="12.28515625" style="7" customWidth="1"/>
    <col min="1781" max="1781" width="1.42578125" style="7" customWidth="1"/>
    <col min="1782" max="1782" width="14.140625" style="7" customWidth="1"/>
    <col min="1783" max="1783" width="13.7109375" style="7" customWidth="1"/>
    <col min="1784" max="1784" width="8" style="7" customWidth="1"/>
    <col min="1785" max="1785" width="1.42578125" style="7" customWidth="1"/>
    <col min="1786" max="1786" width="11.28515625" style="7" customWidth="1"/>
    <col min="1787" max="1787" width="12.85546875" style="7" customWidth="1"/>
    <col min="1788" max="1788" width="10.5703125" style="7" customWidth="1"/>
    <col min="1789" max="1789" width="12" style="7" customWidth="1"/>
    <col min="1790" max="1790" width="11.140625" style="7" customWidth="1"/>
    <col min="1791" max="1791" width="9.28515625" style="7" customWidth="1"/>
    <col min="1792" max="1792" width="1.42578125" style="7" customWidth="1"/>
    <col min="1793" max="1793" width="17.28515625" style="7" customWidth="1"/>
    <col min="1794" max="1794" width="11.140625" style="7" customWidth="1"/>
    <col min="1795" max="1795" width="12.42578125" style="7" customWidth="1"/>
    <col min="1796" max="1797" width="11.28515625" style="7" customWidth="1"/>
    <col min="1798" max="1798" width="10.5703125" style="7" customWidth="1"/>
    <col min="1799" max="1799" width="16.42578125" style="7" customWidth="1"/>
    <col min="1800" max="1800" width="12.140625" style="7" customWidth="1"/>
    <col min="1801" max="1801" width="10.85546875" style="7" customWidth="1"/>
    <col min="1802" max="1802" width="11.7109375" style="7" customWidth="1"/>
    <col min="1803" max="2023" width="9.140625" style="7"/>
    <col min="2024" max="2024" width="6.28515625" style="7" customWidth="1"/>
    <col min="2025" max="2025" width="20.7109375" style="7" customWidth="1"/>
    <col min="2026" max="2026" width="10" style="7" customWidth="1"/>
    <col min="2027" max="2027" width="1" style="7" customWidth="1"/>
    <col min="2028" max="2028" width="10" style="7" customWidth="1"/>
    <col min="2029" max="2029" width="1.28515625" style="7" customWidth="1"/>
    <col min="2030" max="2030" width="9.7109375" style="7" customWidth="1"/>
    <col min="2031" max="2031" width="1.140625" style="7" customWidth="1"/>
    <col min="2032" max="2032" width="12.5703125" style="7" customWidth="1"/>
    <col min="2033" max="2033" width="4.7109375" style="7" customWidth="1"/>
    <col min="2034" max="2034" width="10.7109375" style="7" customWidth="1"/>
    <col min="2035" max="2035" width="4.5703125" style="7" customWidth="1"/>
    <col min="2036" max="2036" width="12.28515625" style="7" customWidth="1"/>
    <col min="2037" max="2037" width="1.42578125" style="7" customWidth="1"/>
    <col min="2038" max="2038" width="14.140625" style="7" customWidth="1"/>
    <col min="2039" max="2039" width="13.7109375" style="7" customWidth="1"/>
    <col min="2040" max="2040" width="8" style="7" customWidth="1"/>
    <col min="2041" max="2041" width="1.42578125" style="7" customWidth="1"/>
    <col min="2042" max="2042" width="11.28515625" style="7" customWidth="1"/>
    <col min="2043" max="2043" width="12.85546875" style="7" customWidth="1"/>
    <col min="2044" max="2044" width="10.5703125" style="7" customWidth="1"/>
    <col min="2045" max="2045" width="12" style="7" customWidth="1"/>
    <col min="2046" max="2046" width="11.140625" style="7" customWidth="1"/>
    <col min="2047" max="2047" width="9.28515625" style="7" customWidth="1"/>
    <col min="2048" max="2048" width="1.42578125" style="7" customWidth="1"/>
    <col min="2049" max="2049" width="17.28515625" style="7" customWidth="1"/>
    <col min="2050" max="2050" width="11.140625" style="7" customWidth="1"/>
    <col min="2051" max="2051" width="12.42578125" style="7" customWidth="1"/>
    <col min="2052" max="2053" width="11.28515625" style="7" customWidth="1"/>
    <col min="2054" max="2054" width="10.5703125" style="7" customWidth="1"/>
    <col min="2055" max="2055" width="16.42578125" style="7" customWidth="1"/>
    <col min="2056" max="2056" width="12.140625" style="7" customWidth="1"/>
    <col min="2057" max="2057" width="10.85546875" style="7" customWidth="1"/>
    <col min="2058" max="2058" width="11.7109375" style="7" customWidth="1"/>
    <col min="2059" max="2279" width="9.140625" style="7"/>
    <col min="2280" max="2280" width="6.28515625" style="7" customWidth="1"/>
    <col min="2281" max="2281" width="20.7109375" style="7" customWidth="1"/>
    <col min="2282" max="2282" width="10" style="7" customWidth="1"/>
    <col min="2283" max="2283" width="1" style="7" customWidth="1"/>
    <col min="2284" max="2284" width="10" style="7" customWidth="1"/>
    <col min="2285" max="2285" width="1.28515625" style="7" customWidth="1"/>
    <col min="2286" max="2286" width="9.7109375" style="7" customWidth="1"/>
    <col min="2287" max="2287" width="1.140625" style="7" customWidth="1"/>
    <col min="2288" max="2288" width="12.5703125" style="7" customWidth="1"/>
    <col min="2289" max="2289" width="4.7109375" style="7" customWidth="1"/>
    <col min="2290" max="2290" width="10.7109375" style="7" customWidth="1"/>
    <col min="2291" max="2291" width="4.5703125" style="7" customWidth="1"/>
    <col min="2292" max="2292" width="12.28515625" style="7" customWidth="1"/>
    <col min="2293" max="2293" width="1.42578125" style="7" customWidth="1"/>
    <col min="2294" max="2294" width="14.140625" style="7" customWidth="1"/>
    <col min="2295" max="2295" width="13.7109375" style="7" customWidth="1"/>
    <col min="2296" max="2296" width="8" style="7" customWidth="1"/>
    <col min="2297" max="2297" width="1.42578125" style="7" customWidth="1"/>
    <col min="2298" max="2298" width="11.28515625" style="7" customWidth="1"/>
    <col min="2299" max="2299" width="12.85546875" style="7" customWidth="1"/>
    <col min="2300" max="2300" width="10.5703125" style="7" customWidth="1"/>
    <col min="2301" max="2301" width="12" style="7" customWidth="1"/>
    <col min="2302" max="2302" width="11.140625" style="7" customWidth="1"/>
    <col min="2303" max="2303" width="9.28515625" style="7" customWidth="1"/>
    <col min="2304" max="2304" width="1.42578125" style="7" customWidth="1"/>
    <col min="2305" max="2305" width="17.28515625" style="7" customWidth="1"/>
    <col min="2306" max="2306" width="11.140625" style="7" customWidth="1"/>
    <col min="2307" max="2307" width="12.42578125" style="7" customWidth="1"/>
    <col min="2308" max="2309" width="11.28515625" style="7" customWidth="1"/>
    <col min="2310" max="2310" width="10.5703125" style="7" customWidth="1"/>
    <col min="2311" max="2311" width="16.42578125" style="7" customWidth="1"/>
    <col min="2312" max="2312" width="12.140625" style="7" customWidth="1"/>
    <col min="2313" max="2313" width="10.85546875" style="7" customWidth="1"/>
    <col min="2314" max="2314" width="11.7109375" style="7" customWidth="1"/>
    <col min="2315" max="2535" width="9.140625" style="7"/>
    <col min="2536" max="2536" width="6.28515625" style="7" customWidth="1"/>
    <col min="2537" max="2537" width="20.7109375" style="7" customWidth="1"/>
    <col min="2538" max="2538" width="10" style="7" customWidth="1"/>
    <col min="2539" max="2539" width="1" style="7" customWidth="1"/>
    <col min="2540" max="2540" width="10" style="7" customWidth="1"/>
    <col min="2541" max="2541" width="1.28515625" style="7" customWidth="1"/>
    <col min="2542" max="2542" width="9.7109375" style="7" customWidth="1"/>
    <col min="2543" max="2543" width="1.140625" style="7" customWidth="1"/>
    <col min="2544" max="2544" width="12.5703125" style="7" customWidth="1"/>
    <col min="2545" max="2545" width="4.7109375" style="7" customWidth="1"/>
    <col min="2546" max="2546" width="10.7109375" style="7" customWidth="1"/>
    <col min="2547" max="2547" width="4.5703125" style="7" customWidth="1"/>
    <col min="2548" max="2548" width="12.28515625" style="7" customWidth="1"/>
    <col min="2549" max="2549" width="1.42578125" style="7" customWidth="1"/>
    <col min="2550" max="2550" width="14.140625" style="7" customWidth="1"/>
    <col min="2551" max="2551" width="13.7109375" style="7" customWidth="1"/>
    <col min="2552" max="2552" width="8" style="7" customWidth="1"/>
    <col min="2553" max="2553" width="1.42578125" style="7" customWidth="1"/>
    <col min="2554" max="2554" width="11.28515625" style="7" customWidth="1"/>
    <col min="2555" max="2555" width="12.85546875" style="7" customWidth="1"/>
    <col min="2556" max="2556" width="10.5703125" style="7" customWidth="1"/>
    <col min="2557" max="2557" width="12" style="7" customWidth="1"/>
    <col min="2558" max="2558" width="11.140625" style="7" customWidth="1"/>
    <col min="2559" max="2559" width="9.28515625" style="7" customWidth="1"/>
    <col min="2560" max="2560" width="1.42578125" style="7" customWidth="1"/>
    <col min="2561" max="2561" width="17.28515625" style="7" customWidth="1"/>
    <col min="2562" max="2562" width="11.140625" style="7" customWidth="1"/>
    <col min="2563" max="2563" width="12.42578125" style="7" customWidth="1"/>
    <col min="2564" max="2565" width="11.28515625" style="7" customWidth="1"/>
    <col min="2566" max="2566" width="10.5703125" style="7" customWidth="1"/>
    <col min="2567" max="2567" width="16.42578125" style="7" customWidth="1"/>
    <col min="2568" max="2568" width="12.140625" style="7" customWidth="1"/>
    <col min="2569" max="2569" width="10.85546875" style="7" customWidth="1"/>
    <col min="2570" max="2570" width="11.7109375" style="7" customWidth="1"/>
    <col min="2571" max="2791" width="9.140625" style="7"/>
    <col min="2792" max="2792" width="6.28515625" style="7" customWidth="1"/>
    <col min="2793" max="2793" width="20.7109375" style="7" customWidth="1"/>
    <col min="2794" max="2794" width="10" style="7" customWidth="1"/>
    <col min="2795" max="2795" width="1" style="7" customWidth="1"/>
    <col min="2796" max="2796" width="10" style="7" customWidth="1"/>
    <col min="2797" max="2797" width="1.28515625" style="7" customWidth="1"/>
    <col min="2798" max="2798" width="9.7109375" style="7" customWidth="1"/>
    <col min="2799" max="2799" width="1.140625" style="7" customWidth="1"/>
    <col min="2800" max="2800" width="12.5703125" style="7" customWidth="1"/>
    <col min="2801" max="2801" width="4.7109375" style="7" customWidth="1"/>
    <col min="2802" max="2802" width="10.7109375" style="7" customWidth="1"/>
    <col min="2803" max="2803" width="4.5703125" style="7" customWidth="1"/>
    <col min="2804" max="2804" width="12.28515625" style="7" customWidth="1"/>
    <col min="2805" max="2805" width="1.42578125" style="7" customWidth="1"/>
    <col min="2806" max="2806" width="14.140625" style="7" customWidth="1"/>
    <col min="2807" max="2807" width="13.7109375" style="7" customWidth="1"/>
    <col min="2808" max="2808" width="8" style="7" customWidth="1"/>
    <col min="2809" max="2809" width="1.42578125" style="7" customWidth="1"/>
    <col min="2810" max="2810" width="11.28515625" style="7" customWidth="1"/>
    <col min="2811" max="2811" width="12.85546875" style="7" customWidth="1"/>
    <col min="2812" max="2812" width="10.5703125" style="7" customWidth="1"/>
    <col min="2813" max="2813" width="12" style="7" customWidth="1"/>
    <col min="2814" max="2814" width="11.140625" style="7" customWidth="1"/>
    <col min="2815" max="2815" width="9.28515625" style="7" customWidth="1"/>
    <col min="2816" max="2816" width="1.42578125" style="7" customWidth="1"/>
    <col min="2817" max="2817" width="17.28515625" style="7" customWidth="1"/>
    <col min="2818" max="2818" width="11.140625" style="7" customWidth="1"/>
    <col min="2819" max="2819" width="12.42578125" style="7" customWidth="1"/>
    <col min="2820" max="2821" width="11.28515625" style="7" customWidth="1"/>
    <col min="2822" max="2822" width="10.5703125" style="7" customWidth="1"/>
    <col min="2823" max="2823" width="16.42578125" style="7" customWidth="1"/>
    <col min="2824" max="2824" width="12.140625" style="7" customWidth="1"/>
    <col min="2825" max="2825" width="10.85546875" style="7" customWidth="1"/>
    <col min="2826" max="2826" width="11.7109375" style="7" customWidth="1"/>
    <col min="2827" max="3047" width="9.140625" style="7"/>
    <col min="3048" max="3048" width="6.28515625" style="7" customWidth="1"/>
    <col min="3049" max="3049" width="20.7109375" style="7" customWidth="1"/>
    <col min="3050" max="3050" width="10" style="7" customWidth="1"/>
    <col min="3051" max="3051" width="1" style="7" customWidth="1"/>
    <col min="3052" max="3052" width="10" style="7" customWidth="1"/>
    <col min="3053" max="3053" width="1.28515625" style="7" customWidth="1"/>
    <col min="3054" max="3054" width="9.7109375" style="7" customWidth="1"/>
    <col min="3055" max="3055" width="1.140625" style="7" customWidth="1"/>
    <col min="3056" max="3056" width="12.5703125" style="7" customWidth="1"/>
    <col min="3057" max="3057" width="4.7109375" style="7" customWidth="1"/>
    <col min="3058" max="3058" width="10.7109375" style="7" customWidth="1"/>
    <col min="3059" max="3059" width="4.5703125" style="7" customWidth="1"/>
    <col min="3060" max="3060" width="12.28515625" style="7" customWidth="1"/>
    <col min="3061" max="3061" width="1.42578125" style="7" customWidth="1"/>
    <col min="3062" max="3062" width="14.140625" style="7" customWidth="1"/>
    <col min="3063" max="3063" width="13.7109375" style="7" customWidth="1"/>
    <col min="3064" max="3064" width="8" style="7" customWidth="1"/>
    <col min="3065" max="3065" width="1.42578125" style="7" customWidth="1"/>
    <col min="3066" max="3066" width="11.28515625" style="7" customWidth="1"/>
    <col min="3067" max="3067" width="12.85546875" style="7" customWidth="1"/>
    <col min="3068" max="3068" width="10.5703125" style="7" customWidth="1"/>
    <col min="3069" max="3069" width="12" style="7" customWidth="1"/>
    <col min="3070" max="3070" width="11.140625" style="7" customWidth="1"/>
    <col min="3071" max="3071" width="9.28515625" style="7" customWidth="1"/>
    <col min="3072" max="3072" width="1.42578125" style="7" customWidth="1"/>
    <col min="3073" max="3073" width="17.28515625" style="7" customWidth="1"/>
    <col min="3074" max="3074" width="11.140625" style="7" customWidth="1"/>
    <col min="3075" max="3075" width="12.42578125" style="7" customWidth="1"/>
    <col min="3076" max="3077" width="11.28515625" style="7" customWidth="1"/>
    <col min="3078" max="3078" width="10.5703125" style="7" customWidth="1"/>
    <col min="3079" max="3079" width="16.42578125" style="7" customWidth="1"/>
    <col min="3080" max="3080" width="12.140625" style="7" customWidth="1"/>
    <col min="3081" max="3081" width="10.85546875" style="7" customWidth="1"/>
    <col min="3082" max="3082" width="11.7109375" style="7" customWidth="1"/>
    <col min="3083" max="3303" width="9.140625" style="7"/>
    <col min="3304" max="3304" width="6.28515625" style="7" customWidth="1"/>
    <col min="3305" max="3305" width="20.7109375" style="7" customWidth="1"/>
    <col min="3306" max="3306" width="10" style="7" customWidth="1"/>
    <col min="3307" max="3307" width="1" style="7" customWidth="1"/>
    <col min="3308" max="3308" width="10" style="7" customWidth="1"/>
    <col min="3309" max="3309" width="1.28515625" style="7" customWidth="1"/>
    <col min="3310" max="3310" width="9.7109375" style="7" customWidth="1"/>
    <col min="3311" max="3311" width="1.140625" style="7" customWidth="1"/>
    <col min="3312" max="3312" width="12.5703125" style="7" customWidth="1"/>
    <col min="3313" max="3313" width="4.7109375" style="7" customWidth="1"/>
    <col min="3314" max="3314" width="10.7109375" style="7" customWidth="1"/>
    <col min="3315" max="3315" width="4.5703125" style="7" customWidth="1"/>
    <col min="3316" max="3316" width="12.28515625" style="7" customWidth="1"/>
    <col min="3317" max="3317" width="1.42578125" style="7" customWidth="1"/>
    <col min="3318" max="3318" width="14.140625" style="7" customWidth="1"/>
    <col min="3319" max="3319" width="13.7109375" style="7" customWidth="1"/>
    <col min="3320" max="3320" width="8" style="7" customWidth="1"/>
    <col min="3321" max="3321" width="1.42578125" style="7" customWidth="1"/>
    <col min="3322" max="3322" width="11.28515625" style="7" customWidth="1"/>
    <col min="3323" max="3323" width="12.85546875" style="7" customWidth="1"/>
    <col min="3324" max="3324" width="10.5703125" style="7" customWidth="1"/>
    <col min="3325" max="3325" width="12" style="7" customWidth="1"/>
    <col min="3326" max="3326" width="11.140625" style="7" customWidth="1"/>
    <col min="3327" max="3327" width="9.28515625" style="7" customWidth="1"/>
    <col min="3328" max="3328" width="1.42578125" style="7" customWidth="1"/>
    <col min="3329" max="3329" width="17.28515625" style="7" customWidth="1"/>
    <col min="3330" max="3330" width="11.140625" style="7" customWidth="1"/>
    <col min="3331" max="3331" width="12.42578125" style="7" customWidth="1"/>
    <col min="3332" max="3333" width="11.28515625" style="7" customWidth="1"/>
    <col min="3334" max="3334" width="10.5703125" style="7" customWidth="1"/>
    <col min="3335" max="3335" width="16.42578125" style="7" customWidth="1"/>
    <col min="3336" max="3336" width="12.140625" style="7" customWidth="1"/>
    <col min="3337" max="3337" width="10.85546875" style="7" customWidth="1"/>
    <col min="3338" max="3338" width="11.7109375" style="7" customWidth="1"/>
    <col min="3339" max="3559" width="9.140625" style="7"/>
    <col min="3560" max="3560" width="6.28515625" style="7" customWidth="1"/>
    <col min="3561" max="3561" width="20.7109375" style="7" customWidth="1"/>
    <col min="3562" max="3562" width="10" style="7" customWidth="1"/>
    <col min="3563" max="3563" width="1" style="7" customWidth="1"/>
    <col min="3564" max="3564" width="10" style="7" customWidth="1"/>
    <col min="3565" max="3565" width="1.28515625" style="7" customWidth="1"/>
    <col min="3566" max="3566" width="9.7109375" style="7" customWidth="1"/>
    <col min="3567" max="3567" width="1.140625" style="7" customWidth="1"/>
    <col min="3568" max="3568" width="12.5703125" style="7" customWidth="1"/>
    <col min="3569" max="3569" width="4.7109375" style="7" customWidth="1"/>
    <col min="3570" max="3570" width="10.7109375" style="7" customWidth="1"/>
    <col min="3571" max="3571" width="4.5703125" style="7" customWidth="1"/>
    <col min="3572" max="3572" width="12.28515625" style="7" customWidth="1"/>
    <col min="3573" max="3573" width="1.42578125" style="7" customWidth="1"/>
    <col min="3574" max="3574" width="14.140625" style="7" customWidth="1"/>
    <col min="3575" max="3575" width="13.7109375" style="7" customWidth="1"/>
    <col min="3576" max="3576" width="8" style="7" customWidth="1"/>
    <col min="3577" max="3577" width="1.42578125" style="7" customWidth="1"/>
    <col min="3578" max="3578" width="11.28515625" style="7" customWidth="1"/>
    <col min="3579" max="3579" width="12.85546875" style="7" customWidth="1"/>
    <col min="3580" max="3580" width="10.5703125" style="7" customWidth="1"/>
    <col min="3581" max="3581" width="12" style="7" customWidth="1"/>
    <col min="3582" max="3582" width="11.140625" style="7" customWidth="1"/>
    <col min="3583" max="3583" width="9.28515625" style="7" customWidth="1"/>
    <col min="3584" max="3584" width="1.42578125" style="7" customWidth="1"/>
    <col min="3585" max="3585" width="17.28515625" style="7" customWidth="1"/>
    <col min="3586" max="3586" width="11.140625" style="7" customWidth="1"/>
    <col min="3587" max="3587" width="12.42578125" style="7" customWidth="1"/>
    <col min="3588" max="3589" width="11.28515625" style="7" customWidth="1"/>
    <col min="3590" max="3590" width="10.5703125" style="7" customWidth="1"/>
    <col min="3591" max="3591" width="16.42578125" style="7" customWidth="1"/>
    <col min="3592" max="3592" width="12.140625" style="7" customWidth="1"/>
    <col min="3593" max="3593" width="10.85546875" style="7" customWidth="1"/>
    <col min="3594" max="3594" width="11.7109375" style="7" customWidth="1"/>
    <col min="3595" max="3815" width="9.140625" style="7"/>
    <col min="3816" max="3816" width="6.28515625" style="7" customWidth="1"/>
    <col min="3817" max="3817" width="20.7109375" style="7" customWidth="1"/>
    <col min="3818" max="3818" width="10" style="7" customWidth="1"/>
    <col min="3819" max="3819" width="1" style="7" customWidth="1"/>
    <col min="3820" max="3820" width="10" style="7" customWidth="1"/>
    <col min="3821" max="3821" width="1.28515625" style="7" customWidth="1"/>
    <col min="3822" max="3822" width="9.7109375" style="7" customWidth="1"/>
    <col min="3823" max="3823" width="1.140625" style="7" customWidth="1"/>
    <col min="3824" max="3824" width="12.5703125" style="7" customWidth="1"/>
    <col min="3825" max="3825" width="4.7109375" style="7" customWidth="1"/>
    <col min="3826" max="3826" width="10.7109375" style="7" customWidth="1"/>
    <col min="3827" max="3827" width="4.5703125" style="7" customWidth="1"/>
    <col min="3828" max="3828" width="12.28515625" style="7" customWidth="1"/>
    <col min="3829" max="3829" width="1.42578125" style="7" customWidth="1"/>
    <col min="3830" max="3830" width="14.140625" style="7" customWidth="1"/>
    <col min="3831" max="3831" width="13.7109375" style="7" customWidth="1"/>
    <col min="3832" max="3832" width="8" style="7" customWidth="1"/>
    <col min="3833" max="3833" width="1.42578125" style="7" customWidth="1"/>
    <col min="3834" max="3834" width="11.28515625" style="7" customWidth="1"/>
    <col min="3835" max="3835" width="12.85546875" style="7" customWidth="1"/>
    <col min="3836" max="3836" width="10.5703125" style="7" customWidth="1"/>
    <col min="3837" max="3837" width="12" style="7" customWidth="1"/>
    <col min="3838" max="3838" width="11.140625" style="7" customWidth="1"/>
    <col min="3839" max="3839" width="9.28515625" style="7" customWidth="1"/>
    <col min="3840" max="3840" width="1.42578125" style="7" customWidth="1"/>
    <col min="3841" max="3841" width="17.28515625" style="7" customWidth="1"/>
    <col min="3842" max="3842" width="11.140625" style="7" customWidth="1"/>
    <col min="3843" max="3843" width="12.42578125" style="7" customWidth="1"/>
    <col min="3844" max="3845" width="11.28515625" style="7" customWidth="1"/>
    <col min="3846" max="3846" width="10.5703125" style="7" customWidth="1"/>
    <col min="3847" max="3847" width="16.42578125" style="7" customWidth="1"/>
    <col min="3848" max="3848" width="12.140625" style="7" customWidth="1"/>
    <col min="3849" max="3849" width="10.85546875" style="7" customWidth="1"/>
    <col min="3850" max="3850" width="11.7109375" style="7" customWidth="1"/>
    <col min="3851" max="4071" width="9.140625" style="7"/>
    <col min="4072" max="4072" width="6.28515625" style="7" customWidth="1"/>
    <col min="4073" max="4073" width="20.7109375" style="7" customWidth="1"/>
    <col min="4074" max="4074" width="10" style="7" customWidth="1"/>
    <col min="4075" max="4075" width="1" style="7" customWidth="1"/>
    <col min="4076" max="4076" width="10" style="7" customWidth="1"/>
    <col min="4077" max="4077" width="1.28515625" style="7" customWidth="1"/>
    <col min="4078" max="4078" width="9.7109375" style="7" customWidth="1"/>
    <col min="4079" max="4079" width="1.140625" style="7" customWidth="1"/>
    <col min="4080" max="4080" width="12.5703125" style="7" customWidth="1"/>
    <col min="4081" max="4081" width="4.7109375" style="7" customWidth="1"/>
    <col min="4082" max="4082" width="10.7109375" style="7" customWidth="1"/>
    <col min="4083" max="4083" width="4.5703125" style="7" customWidth="1"/>
    <col min="4084" max="4084" width="12.28515625" style="7" customWidth="1"/>
    <col min="4085" max="4085" width="1.42578125" style="7" customWidth="1"/>
    <col min="4086" max="4086" width="14.140625" style="7" customWidth="1"/>
    <col min="4087" max="4087" width="13.7109375" style="7" customWidth="1"/>
    <col min="4088" max="4088" width="8" style="7" customWidth="1"/>
    <col min="4089" max="4089" width="1.42578125" style="7" customWidth="1"/>
    <col min="4090" max="4090" width="11.28515625" style="7" customWidth="1"/>
    <col min="4091" max="4091" width="12.85546875" style="7" customWidth="1"/>
    <col min="4092" max="4092" width="10.5703125" style="7" customWidth="1"/>
    <col min="4093" max="4093" width="12" style="7" customWidth="1"/>
    <col min="4094" max="4094" width="11.140625" style="7" customWidth="1"/>
    <col min="4095" max="4095" width="9.28515625" style="7" customWidth="1"/>
    <col min="4096" max="4096" width="1.42578125" style="7" customWidth="1"/>
    <col min="4097" max="4097" width="17.28515625" style="7" customWidth="1"/>
    <col min="4098" max="4098" width="11.140625" style="7" customWidth="1"/>
    <col min="4099" max="4099" width="12.42578125" style="7" customWidth="1"/>
    <col min="4100" max="4101" width="11.28515625" style="7" customWidth="1"/>
    <col min="4102" max="4102" width="10.5703125" style="7" customWidth="1"/>
    <col min="4103" max="4103" width="16.42578125" style="7" customWidth="1"/>
    <col min="4104" max="4104" width="12.140625" style="7" customWidth="1"/>
    <col min="4105" max="4105" width="10.85546875" style="7" customWidth="1"/>
    <col min="4106" max="4106" width="11.7109375" style="7" customWidth="1"/>
    <col min="4107" max="4327" width="9.140625" style="7"/>
    <col min="4328" max="4328" width="6.28515625" style="7" customWidth="1"/>
    <col min="4329" max="4329" width="20.7109375" style="7" customWidth="1"/>
    <col min="4330" max="4330" width="10" style="7" customWidth="1"/>
    <col min="4331" max="4331" width="1" style="7" customWidth="1"/>
    <col min="4332" max="4332" width="10" style="7" customWidth="1"/>
    <col min="4333" max="4333" width="1.28515625" style="7" customWidth="1"/>
    <col min="4334" max="4334" width="9.7109375" style="7" customWidth="1"/>
    <col min="4335" max="4335" width="1.140625" style="7" customWidth="1"/>
    <col min="4336" max="4336" width="12.5703125" style="7" customWidth="1"/>
    <col min="4337" max="4337" width="4.7109375" style="7" customWidth="1"/>
    <col min="4338" max="4338" width="10.7109375" style="7" customWidth="1"/>
    <col min="4339" max="4339" width="4.5703125" style="7" customWidth="1"/>
    <col min="4340" max="4340" width="12.28515625" style="7" customWidth="1"/>
    <col min="4341" max="4341" width="1.42578125" style="7" customWidth="1"/>
    <col min="4342" max="4342" width="14.140625" style="7" customWidth="1"/>
    <col min="4343" max="4343" width="13.7109375" style="7" customWidth="1"/>
    <col min="4344" max="4344" width="8" style="7" customWidth="1"/>
    <col min="4345" max="4345" width="1.42578125" style="7" customWidth="1"/>
    <col min="4346" max="4346" width="11.28515625" style="7" customWidth="1"/>
    <col min="4347" max="4347" width="12.85546875" style="7" customWidth="1"/>
    <col min="4348" max="4348" width="10.5703125" style="7" customWidth="1"/>
    <col min="4349" max="4349" width="12" style="7" customWidth="1"/>
    <col min="4350" max="4350" width="11.140625" style="7" customWidth="1"/>
    <col min="4351" max="4351" width="9.28515625" style="7" customWidth="1"/>
    <col min="4352" max="4352" width="1.42578125" style="7" customWidth="1"/>
    <col min="4353" max="4353" width="17.28515625" style="7" customWidth="1"/>
    <col min="4354" max="4354" width="11.140625" style="7" customWidth="1"/>
    <col min="4355" max="4355" width="12.42578125" style="7" customWidth="1"/>
    <col min="4356" max="4357" width="11.28515625" style="7" customWidth="1"/>
    <col min="4358" max="4358" width="10.5703125" style="7" customWidth="1"/>
    <col min="4359" max="4359" width="16.42578125" style="7" customWidth="1"/>
    <col min="4360" max="4360" width="12.140625" style="7" customWidth="1"/>
    <col min="4361" max="4361" width="10.85546875" style="7" customWidth="1"/>
    <col min="4362" max="4362" width="11.7109375" style="7" customWidth="1"/>
    <col min="4363" max="4583" width="9.140625" style="7"/>
    <col min="4584" max="4584" width="6.28515625" style="7" customWidth="1"/>
    <col min="4585" max="4585" width="20.7109375" style="7" customWidth="1"/>
    <col min="4586" max="4586" width="10" style="7" customWidth="1"/>
    <col min="4587" max="4587" width="1" style="7" customWidth="1"/>
    <col min="4588" max="4588" width="10" style="7" customWidth="1"/>
    <col min="4589" max="4589" width="1.28515625" style="7" customWidth="1"/>
    <col min="4590" max="4590" width="9.7109375" style="7" customWidth="1"/>
    <col min="4591" max="4591" width="1.140625" style="7" customWidth="1"/>
    <col min="4592" max="4592" width="12.5703125" style="7" customWidth="1"/>
    <col min="4593" max="4593" width="4.7109375" style="7" customWidth="1"/>
    <col min="4594" max="4594" width="10.7109375" style="7" customWidth="1"/>
    <col min="4595" max="4595" width="4.5703125" style="7" customWidth="1"/>
    <col min="4596" max="4596" width="12.28515625" style="7" customWidth="1"/>
    <col min="4597" max="4597" width="1.42578125" style="7" customWidth="1"/>
    <col min="4598" max="4598" width="14.140625" style="7" customWidth="1"/>
    <col min="4599" max="4599" width="13.7109375" style="7" customWidth="1"/>
    <col min="4600" max="4600" width="8" style="7" customWidth="1"/>
    <col min="4601" max="4601" width="1.42578125" style="7" customWidth="1"/>
    <col min="4602" max="4602" width="11.28515625" style="7" customWidth="1"/>
    <col min="4603" max="4603" width="12.85546875" style="7" customWidth="1"/>
    <col min="4604" max="4604" width="10.5703125" style="7" customWidth="1"/>
    <col min="4605" max="4605" width="12" style="7" customWidth="1"/>
    <col min="4606" max="4606" width="11.140625" style="7" customWidth="1"/>
    <col min="4607" max="4607" width="9.28515625" style="7" customWidth="1"/>
    <col min="4608" max="4608" width="1.42578125" style="7" customWidth="1"/>
    <col min="4609" max="4609" width="17.28515625" style="7" customWidth="1"/>
    <col min="4610" max="4610" width="11.140625" style="7" customWidth="1"/>
    <col min="4611" max="4611" width="12.42578125" style="7" customWidth="1"/>
    <col min="4612" max="4613" width="11.28515625" style="7" customWidth="1"/>
    <col min="4614" max="4614" width="10.5703125" style="7" customWidth="1"/>
    <col min="4615" max="4615" width="16.42578125" style="7" customWidth="1"/>
    <col min="4616" max="4616" width="12.140625" style="7" customWidth="1"/>
    <col min="4617" max="4617" width="10.85546875" style="7" customWidth="1"/>
    <col min="4618" max="4618" width="11.7109375" style="7" customWidth="1"/>
    <col min="4619" max="4839" width="9.140625" style="7"/>
    <col min="4840" max="4840" width="6.28515625" style="7" customWidth="1"/>
    <col min="4841" max="4841" width="20.7109375" style="7" customWidth="1"/>
    <col min="4842" max="4842" width="10" style="7" customWidth="1"/>
    <col min="4843" max="4843" width="1" style="7" customWidth="1"/>
    <col min="4844" max="4844" width="10" style="7" customWidth="1"/>
    <col min="4845" max="4845" width="1.28515625" style="7" customWidth="1"/>
    <col min="4846" max="4846" width="9.7109375" style="7" customWidth="1"/>
    <col min="4847" max="4847" width="1.140625" style="7" customWidth="1"/>
    <col min="4848" max="4848" width="12.5703125" style="7" customWidth="1"/>
    <col min="4849" max="4849" width="4.7109375" style="7" customWidth="1"/>
    <col min="4850" max="4850" width="10.7109375" style="7" customWidth="1"/>
    <col min="4851" max="4851" width="4.5703125" style="7" customWidth="1"/>
    <col min="4852" max="4852" width="12.28515625" style="7" customWidth="1"/>
    <col min="4853" max="4853" width="1.42578125" style="7" customWidth="1"/>
    <col min="4854" max="4854" width="14.140625" style="7" customWidth="1"/>
    <col min="4855" max="4855" width="13.7109375" style="7" customWidth="1"/>
    <col min="4856" max="4856" width="8" style="7" customWidth="1"/>
    <col min="4857" max="4857" width="1.42578125" style="7" customWidth="1"/>
    <col min="4858" max="4858" width="11.28515625" style="7" customWidth="1"/>
    <col min="4859" max="4859" width="12.85546875" style="7" customWidth="1"/>
    <col min="4860" max="4860" width="10.5703125" style="7" customWidth="1"/>
    <col min="4861" max="4861" width="12" style="7" customWidth="1"/>
    <col min="4862" max="4862" width="11.140625" style="7" customWidth="1"/>
    <col min="4863" max="4863" width="9.28515625" style="7" customWidth="1"/>
    <col min="4864" max="4864" width="1.42578125" style="7" customWidth="1"/>
    <col min="4865" max="4865" width="17.28515625" style="7" customWidth="1"/>
    <col min="4866" max="4866" width="11.140625" style="7" customWidth="1"/>
    <col min="4867" max="4867" width="12.42578125" style="7" customWidth="1"/>
    <col min="4868" max="4869" width="11.28515625" style="7" customWidth="1"/>
    <col min="4870" max="4870" width="10.5703125" style="7" customWidth="1"/>
    <col min="4871" max="4871" width="16.42578125" style="7" customWidth="1"/>
    <col min="4872" max="4872" width="12.140625" style="7" customWidth="1"/>
    <col min="4873" max="4873" width="10.85546875" style="7" customWidth="1"/>
    <col min="4874" max="4874" width="11.7109375" style="7" customWidth="1"/>
    <col min="4875" max="5095" width="9.140625" style="7"/>
    <col min="5096" max="5096" width="6.28515625" style="7" customWidth="1"/>
    <col min="5097" max="5097" width="20.7109375" style="7" customWidth="1"/>
    <col min="5098" max="5098" width="10" style="7" customWidth="1"/>
    <col min="5099" max="5099" width="1" style="7" customWidth="1"/>
    <col min="5100" max="5100" width="10" style="7" customWidth="1"/>
    <col min="5101" max="5101" width="1.28515625" style="7" customWidth="1"/>
    <col min="5102" max="5102" width="9.7109375" style="7" customWidth="1"/>
    <col min="5103" max="5103" width="1.140625" style="7" customWidth="1"/>
    <col min="5104" max="5104" width="12.5703125" style="7" customWidth="1"/>
    <col min="5105" max="5105" width="4.7109375" style="7" customWidth="1"/>
    <col min="5106" max="5106" width="10.7109375" style="7" customWidth="1"/>
    <col min="5107" max="5107" width="4.5703125" style="7" customWidth="1"/>
    <col min="5108" max="5108" width="12.28515625" style="7" customWidth="1"/>
    <col min="5109" max="5109" width="1.42578125" style="7" customWidth="1"/>
    <col min="5110" max="5110" width="14.140625" style="7" customWidth="1"/>
    <col min="5111" max="5111" width="13.7109375" style="7" customWidth="1"/>
    <col min="5112" max="5112" width="8" style="7" customWidth="1"/>
    <col min="5113" max="5113" width="1.42578125" style="7" customWidth="1"/>
    <col min="5114" max="5114" width="11.28515625" style="7" customWidth="1"/>
    <col min="5115" max="5115" width="12.85546875" style="7" customWidth="1"/>
    <col min="5116" max="5116" width="10.5703125" style="7" customWidth="1"/>
    <col min="5117" max="5117" width="12" style="7" customWidth="1"/>
    <col min="5118" max="5118" width="11.140625" style="7" customWidth="1"/>
    <col min="5119" max="5119" width="9.28515625" style="7" customWidth="1"/>
    <col min="5120" max="5120" width="1.42578125" style="7" customWidth="1"/>
    <col min="5121" max="5121" width="17.28515625" style="7" customWidth="1"/>
    <col min="5122" max="5122" width="11.140625" style="7" customWidth="1"/>
    <col min="5123" max="5123" width="12.42578125" style="7" customWidth="1"/>
    <col min="5124" max="5125" width="11.28515625" style="7" customWidth="1"/>
    <col min="5126" max="5126" width="10.5703125" style="7" customWidth="1"/>
    <col min="5127" max="5127" width="16.42578125" style="7" customWidth="1"/>
    <col min="5128" max="5128" width="12.140625" style="7" customWidth="1"/>
    <col min="5129" max="5129" width="10.85546875" style="7" customWidth="1"/>
    <col min="5130" max="5130" width="11.7109375" style="7" customWidth="1"/>
    <col min="5131" max="5351" width="9.140625" style="7"/>
    <col min="5352" max="5352" width="6.28515625" style="7" customWidth="1"/>
    <col min="5353" max="5353" width="20.7109375" style="7" customWidth="1"/>
    <col min="5354" max="5354" width="10" style="7" customWidth="1"/>
    <col min="5355" max="5355" width="1" style="7" customWidth="1"/>
    <col min="5356" max="5356" width="10" style="7" customWidth="1"/>
    <col min="5357" max="5357" width="1.28515625" style="7" customWidth="1"/>
    <col min="5358" max="5358" width="9.7109375" style="7" customWidth="1"/>
    <col min="5359" max="5359" width="1.140625" style="7" customWidth="1"/>
    <col min="5360" max="5360" width="12.5703125" style="7" customWidth="1"/>
    <col min="5361" max="5361" width="4.7109375" style="7" customWidth="1"/>
    <col min="5362" max="5362" width="10.7109375" style="7" customWidth="1"/>
    <col min="5363" max="5363" width="4.5703125" style="7" customWidth="1"/>
    <col min="5364" max="5364" width="12.28515625" style="7" customWidth="1"/>
    <col min="5365" max="5365" width="1.42578125" style="7" customWidth="1"/>
    <col min="5366" max="5366" width="14.140625" style="7" customWidth="1"/>
    <col min="5367" max="5367" width="13.7109375" style="7" customWidth="1"/>
    <col min="5368" max="5368" width="8" style="7" customWidth="1"/>
    <col min="5369" max="5369" width="1.42578125" style="7" customWidth="1"/>
    <col min="5370" max="5370" width="11.28515625" style="7" customWidth="1"/>
    <col min="5371" max="5371" width="12.85546875" style="7" customWidth="1"/>
    <col min="5372" max="5372" width="10.5703125" style="7" customWidth="1"/>
    <col min="5373" max="5373" width="12" style="7" customWidth="1"/>
    <col min="5374" max="5374" width="11.140625" style="7" customWidth="1"/>
    <col min="5375" max="5375" width="9.28515625" style="7" customWidth="1"/>
    <col min="5376" max="5376" width="1.42578125" style="7" customWidth="1"/>
    <col min="5377" max="5377" width="17.28515625" style="7" customWidth="1"/>
    <col min="5378" max="5378" width="11.140625" style="7" customWidth="1"/>
    <col min="5379" max="5379" width="12.42578125" style="7" customWidth="1"/>
    <col min="5380" max="5381" width="11.28515625" style="7" customWidth="1"/>
    <col min="5382" max="5382" width="10.5703125" style="7" customWidth="1"/>
    <col min="5383" max="5383" width="16.42578125" style="7" customWidth="1"/>
    <col min="5384" max="5384" width="12.140625" style="7" customWidth="1"/>
    <col min="5385" max="5385" width="10.85546875" style="7" customWidth="1"/>
    <col min="5386" max="5386" width="11.7109375" style="7" customWidth="1"/>
    <col min="5387" max="5607" width="9.140625" style="7"/>
    <col min="5608" max="5608" width="6.28515625" style="7" customWidth="1"/>
    <col min="5609" max="5609" width="20.7109375" style="7" customWidth="1"/>
    <col min="5610" max="5610" width="10" style="7" customWidth="1"/>
    <col min="5611" max="5611" width="1" style="7" customWidth="1"/>
    <col min="5612" max="5612" width="10" style="7" customWidth="1"/>
    <col min="5613" max="5613" width="1.28515625" style="7" customWidth="1"/>
    <col min="5614" max="5614" width="9.7109375" style="7" customWidth="1"/>
    <col min="5615" max="5615" width="1.140625" style="7" customWidth="1"/>
    <col min="5616" max="5616" width="12.5703125" style="7" customWidth="1"/>
    <col min="5617" max="5617" width="4.7109375" style="7" customWidth="1"/>
    <col min="5618" max="5618" width="10.7109375" style="7" customWidth="1"/>
    <col min="5619" max="5619" width="4.5703125" style="7" customWidth="1"/>
    <col min="5620" max="5620" width="12.28515625" style="7" customWidth="1"/>
    <col min="5621" max="5621" width="1.42578125" style="7" customWidth="1"/>
    <col min="5622" max="5622" width="14.140625" style="7" customWidth="1"/>
    <col min="5623" max="5623" width="13.7109375" style="7" customWidth="1"/>
    <col min="5624" max="5624" width="8" style="7" customWidth="1"/>
    <col min="5625" max="5625" width="1.42578125" style="7" customWidth="1"/>
    <col min="5626" max="5626" width="11.28515625" style="7" customWidth="1"/>
    <col min="5627" max="5627" width="12.85546875" style="7" customWidth="1"/>
    <col min="5628" max="5628" width="10.5703125" style="7" customWidth="1"/>
    <col min="5629" max="5629" width="12" style="7" customWidth="1"/>
    <col min="5630" max="5630" width="11.140625" style="7" customWidth="1"/>
    <col min="5631" max="5631" width="9.28515625" style="7" customWidth="1"/>
    <col min="5632" max="5632" width="1.42578125" style="7" customWidth="1"/>
    <col min="5633" max="5633" width="17.28515625" style="7" customWidth="1"/>
    <col min="5634" max="5634" width="11.140625" style="7" customWidth="1"/>
    <col min="5635" max="5635" width="12.42578125" style="7" customWidth="1"/>
    <col min="5636" max="5637" width="11.28515625" style="7" customWidth="1"/>
    <col min="5638" max="5638" width="10.5703125" style="7" customWidth="1"/>
    <col min="5639" max="5639" width="16.42578125" style="7" customWidth="1"/>
    <col min="5640" max="5640" width="12.140625" style="7" customWidth="1"/>
    <col min="5641" max="5641" width="10.85546875" style="7" customWidth="1"/>
    <col min="5642" max="5642" width="11.7109375" style="7" customWidth="1"/>
    <col min="5643" max="5863" width="9.140625" style="7"/>
    <col min="5864" max="5864" width="6.28515625" style="7" customWidth="1"/>
    <col min="5865" max="5865" width="20.7109375" style="7" customWidth="1"/>
    <col min="5866" max="5866" width="10" style="7" customWidth="1"/>
    <col min="5867" max="5867" width="1" style="7" customWidth="1"/>
    <col min="5868" max="5868" width="10" style="7" customWidth="1"/>
    <col min="5869" max="5869" width="1.28515625" style="7" customWidth="1"/>
    <col min="5870" max="5870" width="9.7109375" style="7" customWidth="1"/>
    <col min="5871" max="5871" width="1.140625" style="7" customWidth="1"/>
    <col min="5872" max="5872" width="12.5703125" style="7" customWidth="1"/>
    <col min="5873" max="5873" width="4.7109375" style="7" customWidth="1"/>
    <col min="5874" max="5874" width="10.7109375" style="7" customWidth="1"/>
    <col min="5875" max="5875" width="4.5703125" style="7" customWidth="1"/>
    <col min="5876" max="5876" width="12.28515625" style="7" customWidth="1"/>
    <col min="5877" max="5877" width="1.42578125" style="7" customWidth="1"/>
    <col min="5878" max="5878" width="14.140625" style="7" customWidth="1"/>
    <col min="5879" max="5879" width="13.7109375" style="7" customWidth="1"/>
    <col min="5880" max="5880" width="8" style="7" customWidth="1"/>
    <col min="5881" max="5881" width="1.42578125" style="7" customWidth="1"/>
    <col min="5882" max="5882" width="11.28515625" style="7" customWidth="1"/>
    <col min="5883" max="5883" width="12.85546875" style="7" customWidth="1"/>
    <col min="5884" max="5884" width="10.5703125" style="7" customWidth="1"/>
    <col min="5885" max="5885" width="12" style="7" customWidth="1"/>
    <col min="5886" max="5886" width="11.140625" style="7" customWidth="1"/>
    <col min="5887" max="5887" width="9.28515625" style="7" customWidth="1"/>
    <col min="5888" max="5888" width="1.42578125" style="7" customWidth="1"/>
    <col min="5889" max="5889" width="17.28515625" style="7" customWidth="1"/>
    <col min="5890" max="5890" width="11.140625" style="7" customWidth="1"/>
    <col min="5891" max="5891" width="12.42578125" style="7" customWidth="1"/>
    <col min="5892" max="5893" width="11.28515625" style="7" customWidth="1"/>
    <col min="5894" max="5894" width="10.5703125" style="7" customWidth="1"/>
    <col min="5895" max="5895" width="16.42578125" style="7" customWidth="1"/>
    <col min="5896" max="5896" width="12.140625" style="7" customWidth="1"/>
    <col min="5897" max="5897" width="10.85546875" style="7" customWidth="1"/>
    <col min="5898" max="5898" width="11.7109375" style="7" customWidth="1"/>
    <col min="5899" max="6119" width="9.140625" style="7"/>
    <col min="6120" max="6120" width="6.28515625" style="7" customWidth="1"/>
    <col min="6121" max="6121" width="20.7109375" style="7" customWidth="1"/>
    <col min="6122" max="6122" width="10" style="7" customWidth="1"/>
    <col min="6123" max="6123" width="1" style="7" customWidth="1"/>
    <col min="6124" max="6124" width="10" style="7" customWidth="1"/>
    <col min="6125" max="6125" width="1.28515625" style="7" customWidth="1"/>
    <col min="6126" max="6126" width="9.7109375" style="7" customWidth="1"/>
    <col min="6127" max="6127" width="1.140625" style="7" customWidth="1"/>
    <col min="6128" max="6128" width="12.5703125" style="7" customWidth="1"/>
    <col min="6129" max="6129" width="4.7109375" style="7" customWidth="1"/>
    <col min="6130" max="6130" width="10.7109375" style="7" customWidth="1"/>
    <col min="6131" max="6131" width="4.5703125" style="7" customWidth="1"/>
    <col min="6132" max="6132" width="12.28515625" style="7" customWidth="1"/>
    <col min="6133" max="6133" width="1.42578125" style="7" customWidth="1"/>
    <col min="6134" max="6134" width="14.140625" style="7" customWidth="1"/>
    <col min="6135" max="6135" width="13.7109375" style="7" customWidth="1"/>
    <col min="6136" max="6136" width="8" style="7" customWidth="1"/>
    <col min="6137" max="6137" width="1.42578125" style="7" customWidth="1"/>
    <col min="6138" max="6138" width="11.28515625" style="7" customWidth="1"/>
    <col min="6139" max="6139" width="12.85546875" style="7" customWidth="1"/>
    <col min="6140" max="6140" width="10.5703125" style="7" customWidth="1"/>
    <col min="6141" max="6141" width="12" style="7" customWidth="1"/>
    <col min="6142" max="6142" width="11.140625" style="7" customWidth="1"/>
    <col min="6143" max="6143" width="9.28515625" style="7" customWidth="1"/>
    <col min="6144" max="6144" width="1.42578125" style="7" customWidth="1"/>
    <col min="6145" max="6145" width="17.28515625" style="7" customWidth="1"/>
    <col min="6146" max="6146" width="11.140625" style="7" customWidth="1"/>
    <col min="6147" max="6147" width="12.42578125" style="7" customWidth="1"/>
    <col min="6148" max="6149" width="11.28515625" style="7" customWidth="1"/>
    <col min="6150" max="6150" width="10.5703125" style="7" customWidth="1"/>
    <col min="6151" max="6151" width="16.42578125" style="7" customWidth="1"/>
    <col min="6152" max="6152" width="12.140625" style="7" customWidth="1"/>
    <col min="6153" max="6153" width="10.85546875" style="7" customWidth="1"/>
    <col min="6154" max="6154" width="11.7109375" style="7" customWidth="1"/>
    <col min="6155" max="6375" width="9.140625" style="7"/>
    <col min="6376" max="6376" width="6.28515625" style="7" customWidth="1"/>
    <col min="6377" max="6377" width="20.7109375" style="7" customWidth="1"/>
    <col min="6378" max="6378" width="10" style="7" customWidth="1"/>
    <col min="6379" max="6379" width="1" style="7" customWidth="1"/>
    <col min="6380" max="6380" width="10" style="7" customWidth="1"/>
    <col min="6381" max="6381" width="1.28515625" style="7" customWidth="1"/>
    <col min="6382" max="6382" width="9.7109375" style="7" customWidth="1"/>
    <col min="6383" max="6383" width="1.140625" style="7" customWidth="1"/>
    <col min="6384" max="6384" width="12.5703125" style="7" customWidth="1"/>
    <col min="6385" max="6385" width="4.7109375" style="7" customWidth="1"/>
    <col min="6386" max="6386" width="10.7109375" style="7" customWidth="1"/>
    <col min="6387" max="6387" width="4.5703125" style="7" customWidth="1"/>
    <col min="6388" max="6388" width="12.28515625" style="7" customWidth="1"/>
    <col min="6389" max="6389" width="1.42578125" style="7" customWidth="1"/>
    <col min="6390" max="6390" width="14.140625" style="7" customWidth="1"/>
    <col min="6391" max="6391" width="13.7109375" style="7" customWidth="1"/>
    <col min="6392" max="6392" width="8" style="7" customWidth="1"/>
    <col min="6393" max="6393" width="1.42578125" style="7" customWidth="1"/>
    <col min="6394" max="6394" width="11.28515625" style="7" customWidth="1"/>
    <col min="6395" max="6395" width="12.85546875" style="7" customWidth="1"/>
    <col min="6396" max="6396" width="10.5703125" style="7" customWidth="1"/>
    <col min="6397" max="6397" width="12" style="7" customWidth="1"/>
    <col min="6398" max="6398" width="11.140625" style="7" customWidth="1"/>
    <col min="6399" max="6399" width="9.28515625" style="7" customWidth="1"/>
    <col min="6400" max="6400" width="1.42578125" style="7" customWidth="1"/>
    <col min="6401" max="6401" width="17.28515625" style="7" customWidth="1"/>
    <col min="6402" max="6402" width="11.140625" style="7" customWidth="1"/>
    <col min="6403" max="6403" width="12.42578125" style="7" customWidth="1"/>
    <col min="6404" max="6405" width="11.28515625" style="7" customWidth="1"/>
    <col min="6406" max="6406" width="10.5703125" style="7" customWidth="1"/>
    <col min="6407" max="6407" width="16.42578125" style="7" customWidth="1"/>
    <col min="6408" max="6408" width="12.140625" style="7" customWidth="1"/>
    <col min="6409" max="6409" width="10.85546875" style="7" customWidth="1"/>
    <col min="6410" max="6410" width="11.7109375" style="7" customWidth="1"/>
    <col min="6411" max="6631" width="9.140625" style="7"/>
    <col min="6632" max="6632" width="6.28515625" style="7" customWidth="1"/>
    <col min="6633" max="6633" width="20.7109375" style="7" customWidth="1"/>
    <col min="6634" max="6634" width="10" style="7" customWidth="1"/>
    <col min="6635" max="6635" width="1" style="7" customWidth="1"/>
    <col min="6636" max="6636" width="10" style="7" customWidth="1"/>
    <col min="6637" max="6637" width="1.28515625" style="7" customWidth="1"/>
    <col min="6638" max="6638" width="9.7109375" style="7" customWidth="1"/>
    <col min="6639" max="6639" width="1.140625" style="7" customWidth="1"/>
    <col min="6640" max="6640" width="12.5703125" style="7" customWidth="1"/>
    <col min="6641" max="6641" width="4.7109375" style="7" customWidth="1"/>
    <col min="6642" max="6642" width="10.7109375" style="7" customWidth="1"/>
    <col min="6643" max="6643" width="4.5703125" style="7" customWidth="1"/>
    <col min="6644" max="6644" width="12.28515625" style="7" customWidth="1"/>
    <col min="6645" max="6645" width="1.42578125" style="7" customWidth="1"/>
    <col min="6646" max="6646" width="14.140625" style="7" customWidth="1"/>
    <col min="6647" max="6647" width="13.7109375" style="7" customWidth="1"/>
    <col min="6648" max="6648" width="8" style="7" customWidth="1"/>
    <col min="6649" max="6649" width="1.42578125" style="7" customWidth="1"/>
    <col min="6650" max="6650" width="11.28515625" style="7" customWidth="1"/>
    <col min="6651" max="6651" width="12.85546875" style="7" customWidth="1"/>
    <col min="6652" max="6652" width="10.5703125" style="7" customWidth="1"/>
    <col min="6653" max="6653" width="12" style="7" customWidth="1"/>
    <col min="6654" max="6654" width="11.140625" style="7" customWidth="1"/>
    <col min="6655" max="6655" width="9.28515625" style="7" customWidth="1"/>
    <col min="6656" max="6656" width="1.42578125" style="7" customWidth="1"/>
    <col min="6657" max="6657" width="17.28515625" style="7" customWidth="1"/>
    <col min="6658" max="6658" width="11.140625" style="7" customWidth="1"/>
    <col min="6659" max="6659" width="12.42578125" style="7" customWidth="1"/>
    <col min="6660" max="6661" width="11.28515625" style="7" customWidth="1"/>
    <col min="6662" max="6662" width="10.5703125" style="7" customWidth="1"/>
    <col min="6663" max="6663" width="16.42578125" style="7" customWidth="1"/>
    <col min="6664" max="6664" width="12.140625" style="7" customWidth="1"/>
    <col min="6665" max="6665" width="10.85546875" style="7" customWidth="1"/>
    <col min="6666" max="6666" width="11.7109375" style="7" customWidth="1"/>
    <col min="6667" max="6887" width="9.140625" style="7"/>
    <col min="6888" max="6888" width="6.28515625" style="7" customWidth="1"/>
    <col min="6889" max="6889" width="20.7109375" style="7" customWidth="1"/>
    <col min="6890" max="6890" width="10" style="7" customWidth="1"/>
    <col min="6891" max="6891" width="1" style="7" customWidth="1"/>
    <col min="6892" max="6892" width="10" style="7" customWidth="1"/>
    <col min="6893" max="6893" width="1.28515625" style="7" customWidth="1"/>
    <col min="6894" max="6894" width="9.7109375" style="7" customWidth="1"/>
    <col min="6895" max="6895" width="1.140625" style="7" customWidth="1"/>
    <col min="6896" max="6896" width="12.5703125" style="7" customWidth="1"/>
    <col min="6897" max="6897" width="4.7109375" style="7" customWidth="1"/>
    <col min="6898" max="6898" width="10.7109375" style="7" customWidth="1"/>
    <col min="6899" max="6899" width="4.5703125" style="7" customWidth="1"/>
    <col min="6900" max="6900" width="12.28515625" style="7" customWidth="1"/>
    <col min="6901" max="6901" width="1.42578125" style="7" customWidth="1"/>
    <col min="6902" max="6902" width="14.140625" style="7" customWidth="1"/>
    <col min="6903" max="6903" width="13.7109375" style="7" customWidth="1"/>
    <col min="6904" max="6904" width="8" style="7" customWidth="1"/>
    <col min="6905" max="6905" width="1.42578125" style="7" customWidth="1"/>
    <col min="6906" max="6906" width="11.28515625" style="7" customWidth="1"/>
    <col min="6907" max="6907" width="12.85546875" style="7" customWidth="1"/>
    <col min="6908" max="6908" width="10.5703125" style="7" customWidth="1"/>
    <col min="6909" max="6909" width="12" style="7" customWidth="1"/>
    <col min="6910" max="6910" width="11.140625" style="7" customWidth="1"/>
    <col min="6911" max="6911" width="9.28515625" style="7" customWidth="1"/>
    <col min="6912" max="6912" width="1.42578125" style="7" customWidth="1"/>
    <col min="6913" max="6913" width="17.28515625" style="7" customWidth="1"/>
    <col min="6914" max="6914" width="11.140625" style="7" customWidth="1"/>
    <col min="6915" max="6915" width="12.42578125" style="7" customWidth="1"/>
    <col min="6916" max="6917" width="11.28515625" style="7" customWidth="1"/>
    <col min="6918" max="6918" width="10.5703125" style="7" customWidth="1"/>
    <col min="6919" max="6919" width="16.42578125" style="7" customWidth="1"/>
    <col min="6920" max="6920" width="12.140625" style="7" customWidth="1"/>
    <col min="6921" max="6921" width="10.85546875" style="7" customWidth="1"/>
    <col min="6922" max="6922" width="11.7109375" style="7" customWidth="1"/>
    <col min="6923" max="7143" width="9.140625" style="7"/>
    <col min="7144" max="7144" width="6.28515625" style="7" customWidth="1"/>
    <col min="7145" max="7145" width="20.7109375" style="7" customWidth="1"/>
    <col min="7146" max="7146" width="10" style="7" customWidth="1"/>
    <col min="7147" max="7147" width="1" style="7" customWidth="1"/>
    <col min="7148" max="7148" width="10" style="7" customWidth="1"/>
    <col min="7149" max="7149" width="1.28515625" style="7" customWidth="1"/>
    <col min="7150" max="7150" width="9.7109375" style="7" customWidth="1"/>
    <col min="7151" max="7151" width="1.140625" style="7" customWidth="1"/>
    <col min="7152" max="7152" width="12.5703125" style="7" customWidth="1"/>
    <col min="7153" max="7153" width="4.7109375" style="7" customWidth="1"/>
    <col min="7154" max="7154" width="10.7109375" style="7" customWidth="1"/>
    <col min="7155" max="7155" width="4.5703125" style="7" customWidth="1"/>
    <col min="7156" max="7156" width="12.28515625" style="7" customWidth="1"/>
    <col min="7157" max="7157" width="1.42578125" style="7" customWidth="1"/>
    <col min="7158" max="7158" width="14.140625" style="7" customWidth="1"/>
    <col min="7159" max="7159" width="13.7109375" style="7" customWidth="1"/>
    <col min="7160" max="7160" width="8" style="7" customWidth="1"/>
    <col min="7161" max="7161" width="1.42578125" style="7" customWidth="1"/>
    <col min="7162" max="7162" width="11.28515625" style="7" customWidth="1"/>
    <col min="7163" max="7163" width="12.85546875" style="7" customWidth="1"/>
    <col min="7164" max="7164" width="10.5703125" style="7" customWidth="1"/>
    <col min="7165" max="7165" width="12" style="7" customWidth="1"/>
    <col min="7166" max="7166" width="11.140625" style="7" customWidth="1"/>
    <col min="7167" max="7167" width="9.28515625" style="7" customWidth="1"/>
    <col min="7168" max="7168" width="1.42578125" style="7" customWidth="1"/>
    <col min="7169" max="7169" width="17.28515625" style="7" customWidth="1"/>
    <col min="7170" max="7170" width="11.140625" style="7" customWidth="1"/>
    <col min="7171" max="7171" width="12.42578125" style="7" customWidth="1"/>
    <col min="7172" max="7173" width="11.28515625" style="7" customWidth="1"/>
    <col min="7174" max="7174" width="10.5703125" style="7" customWidth="1"/>
    <col min="7175" max="7175" width="16.42578125" style="7" customWidth="1"/>
    <col min="7176" max="7176" width="12.140625" style="7" customWidth="1"/>
    <col min="7177" max="7177" width="10.85546875" style="7" customWidth="1"/>
    <col min="7178" max="7178" width="11.7109375" style="7" customWidth="1"/>
    <col min="7179" max="7399" width="9.140625" style="7"/>
    <col min="7400" max="7400" width="6.28515625" style="7" customWidth="1"/>
    <col min="7401" max="7401" width="20.7109375" style="7" customWidth="1"/>
    <col min="7402" max="7402" width="10" style="7" customWidth="1"/>
    <col min="7403" max="7403" width="1" style="7" customWidth="1"/>
    <col min="7404" max="7404" width="10" style="7" customWidth="1"/>
    <col min="7405" max="7405" width="1.28515625" style="7" customWidth="1"/>
    <col min="7406" max="7406" width="9.7109375" style="7" customWidth="1"/>
    <col min="7407" max="7407" width="1.140625" style="7" customWidth="1"/>
    <col min="7408" max="7408" width="12.5703125" style="7" customWidth="1"/>
    <col min="7409" max="7409" width="4.7109375" style="7" customWidth="1"/>
    <col min="7410" max="7410" width="10.7109375" style="7" customWidth="1"/>
    <col min="7411" max="7411" width="4.5703125" style="7" customWidth="1"/>
    <col min="7412" max="7412" width="12.28515625" style="7" customWidth="1"/>
    <col min="7413" max="7413" width="1.42578125" style="7" customWidth="1"/>
    <col min="7414" max="7414" width="14.140625" style="7" customWidth="1"/>
    <col min="7415" max="7415" width="13.7109375" style="7" customWidth="1"/>
    <col min="7416" max="7416" width="8" style="7" customWidth="1"/>
    <col min="7417" max="7417" width="1.42578125" style="7" customWidth="1"/>
    <col min="7418" max="7418" width="11.28515625" style="7" customWidth="1"/>
    <col min="7419" max="7419" width="12.85546875" style="7" customWidth="1"/>
    <col min="7420" max="7420" width="10.5703125" style="7" customWidth="1"/>
    <col min="7421" max="7421" width="12" style="7" customWidth="1"/>
    <col min="7422" max="7422" width="11.140625" style="7" customWidth="1"/>
    <col min="7423" max="7423" width="9.28515625" style="7" customWidth="1"/>
    <col min="7424" max="7424" width="1.42578125" style="7" customWidth="1"/>
    <col min="7425" max="7425" width="17.28515625" style="7" customWidth="1"/>
    <col min="7426" max="7426" width="11.140625" style="7" customWidth="1"/>
    <col min="7427" max="7427" width="12.42578125" style="7" customWidth="1"/>
    <col min="7428" max="7429" width="11.28515625" style="7" customWidth="1"/>
    <col min="7430" max="7430" width="10.5703125" style="7" customWidth="1"/>
    <col min="7431" max="7431" width="16.42578125" style="7" customWidth="1"/>
    <col min="7432" max="7432" width="12.140625" style="7" customWidth="1"/>
    <col min="7433" max="7433" width="10.85546875" style="7" customWidth="1"/>
    <col min="7434" max="7434" width="11.7109375" style="7" customWidth="1"/>
    <col min="7435" max="7655" width="9.140625" style="7"/>
    <col min="7656" max="7656" width="6.28515625" style="7" customWidth="1"/>
    <col min="7657" max="7657" width="20.7109375" style="7" customWidth="1"/>
    <col min="7658" max="7658" width="10" style="7" customWidth="1"/>
    <col min="7659" max="7659" width="1" style="7" customWidth="1"/>
    <col min="7660" max="7660" width="10" style="7" customWidth="1"/>
    <col min="7661" max="7661" width="1.28515625" style="7" customWidth="1"/>
    <col min="7662" max="7662" width="9.7109375" style="7" customWidth="1"/>
    <col min="7663" max="7663" width="1.140625" style="7" customWidth="1"/>
    <col min="7664" max="7664" width="12.5703125" style="7" customWidth="1"/>
    <col min="7665" max="7665" width="4.7109375" style="7" customWidth="1"/>
    <col min="7666" max="7666" width="10.7109375" style="7" customWidth="1"/>
    <col min="7667" max="7667" width="4.5703125" style="7" customWidth="1"/>
    <col min="7668" max="7668" width="12.28515625" style="7" customWidth="1"/>
    <col min="7669" max="7669" width="1.42578125" style="7" customWidth="1"/>
    <col min="7670" max="7670" width="14.140625" style="7" customWidth="1"/>
    <col min="7671" max="7671" width="13.7109375" style="7" customWidth="1"/>
    <col min="7672" max="7672" width="8" style="7" customWidth="1"/>
    <col min="7673" max="7673" width="1.42578125" style="7" customWidth="1"/>
    <col min="7674" max="7674" width="11.28515625" style="7" customWidth="1"/>
    <col min="7675" max="7675" width="12.85546875" style="7" customWidth="1"/>
    <col min="7676" max="7676" width="10.5703125" style="7" customWidth="1"/>
    <col min="7677" max="7677" width="12" style="7" customWidth="1"/>
    <col min="7678" max="7678" width="11.140625" style="7" customWidth="1"/>
    <col min="7679" max="7679" width="9.28515625" style="7" customWidth="1"/>
    <col min="7680" max="7680" width="1.42578125" style="7" customWidth="1"/>
    <col min="7681" max="7681" width="17.28515625" style="7" customWidth="1"/>
    <col min="7682" max="7682" width="11.140625" style="7" customWidth="1"/>
    <col min="7683" max="7683" width="12.42578125" style="7" customWidth="1"/>
    <col min="7684" max="7685" width="11.28515625" style="7" customWidth="1"/>
    <col min="7686" max="7686" width="10.5703125" style="7" customWidth="1"/>
    <col min="7687" max="7687" width="16.42578125" style="7" customWidth="1"/>
    <col min="7688" max="7688" width="12.140625" style="7" customWidth="1"/>
    <col min="7689" max="7689" width="10.85546875" style="7" customWidth="1"/>
    <col min="7690" max="7690" width="11.7109375" style="7" customWidth="1"/>
    <col min="7691" max="7911" width="9.140625" style="7"/>
    <col min="7912" max="7912" width="6.28515625" style="7" customWidth="1"/>
    <col min="7913" max="7913" width="20.7109375" style="7" customWidth="1"/>
    <col min="7914" max="7914" width="10" style="7" customWidth="1"/>
    <col min="7915" max="7915" width="1" style="7" customWidth="1"/>
    <col min="7916" max="7916" width="10" style="7" customWidth="1"/>
    <col min="7917" max="7917" width="1.28515625" style="7" customWidth="1"/>
    <col min="7918" max="7918" width="9.7109375" style="7" customWidth="1"/>
    <col min="7919" max="7919" width="1.140625" style="7" customWidth="1"/>
    <col min="7920" max="7920" width="12.5703125" style="7" customWidth="1"/>
    <col min="7921" max="7921" width="4.7109375" style="7" customWidth="1"/>
    <col min="7922" max="7922" width="10.7109375" style="7" customWidth="1"/>
    <col min="7923" max="7923" width="4.5703125" style="7" customWidth="1"/>
    <col min="7924" max="7924" width="12.28515625" style="7" customWidth="1"/>
    <col min="7925" max="7925" width="1.42578125" style="7" customWidth="1"/>
    <col min="7926" max="7926" width="14.140625" style="7" customWidth="1"/>
    <col min="7927" max="7927" width="13.7109375" style="7" customWidth="1"/>
    <col min="7928" max="7928" width="8" style="7" customWidth="1"/>
    <col min="7929" max="7929" width="1.42578125" style="7" customWidth="1"/>
    <col min="7930" max="7930" width="11.28515625" style="7" customWidth="1"/>
    <col min="7931" max="7931" width="12.85546875" style="7" customWidth="1"/>
    <col min="7932" max="7932" width="10.5703125" style="7" customWidth="1"/>
    <col min="7933" max="7933" width="12" style="7" customWidth="1"/>
    <col min="7934" max="7934" width="11.140625" style="7" customWidth="1"/>
    <col min="7935" max="7935" width="9.28515625" style="7" customWidth="1"/>
    <col min="7936" max="7936" width="1.42578125" style="7" customWidth="1"/>
    <col min="7937" max="7937" width="17.28515625" style="7" customWidth="1"/>
    <col min="7938" max="7938" width="11.140625" style="7" customWidth="1"/>
    <col min="7939" max="7939" width="12.42578125" style="7" customWidth="1"/>
    <col min="7940" max="7941" width="11.28515625" style="7" customWidth="1"/>
    <col min="7942" max="7942" width="10.5703125" style="7" customWidth="1"/>
    <col min="7943" max="7943" width="16.42578125" style="7" customWidth="1"/>
    <col min="7944" max="7944" width="12.140625" style="7" customWidth="1"/>
    <col min="7945" max="7945" width="10.85546875" style="7" customWidth="1"/>
    <col min="7946" max="7946" width="11.7109375" style="7" customWidth="1"/>
    <col min="7947" max="8167" width="9.140625" style="7"/>
    <col min="8168" max="8168" width="6.28515625" style="7" customWidth="1"/>
    <col min="8169" max="8169" width="20.7109375" style="7" customWidth="1"/>
    <col min="8170" max="8170" width="10" style="7" customWidth="1"/>
    <col min="8171" max="8171" width="1" style="7" customWidth="1"/>
    <col min="8172" max="8172" width="10" style="7" customWidth="1"/>
    <col min="8173" max="8173" width="1.28515625" style="7" customWidth="1"/>
    <col min="8174" max="8174" width="9.7109375" style="7" customWidth="1"/>
    <col min="8175" max="8175" width="1.140625" style="7" customWidth="1"/>
    <col min="8176" max="8176" width="12.5703125" style="7" customWidth="1"/>
    <col min="8177" max="8177" width="4.7109375" style="7" customWidth="1"/>
    <col min="8178" max="8178" width="10.7109375" style="7" customWidth="1"/>
    <col min="8179" max="8179" width="4.5703125" style="7" customWidth="1"/>
    <col min="8180" max="8180" width="12.28515625" style="7" customWidth="1"/>
    <col min="8181" max="8181" width="1.42578125" style="7" customWidth="1"/>
    <col min="8182" max="8182" width="14.140625" style="7" customWidth="1"/>
    <col min="8183" max="8183" width="13.7109375" style="7" customWidth="1"/>
    <col min="8184" max="8184" width="8" style="7" customWidth="1"/>
    <col min="8185" max="8185" width="1.42578125" style="7" customWidth="1"/>
    <col min="8186" max="8186" width="11.28515625" style="7" customWidth="1"/>
    <col min="8187" max="8187" width="12.85546875" style="7" customWidth="1"/>
    <col min="8188" max="8188" width="10.5703125" style="7" customWidth="1"/>
    <col min="8189" max="8189" width="12" style="7" customWidth="1"/>
    <col min="8190" max="8190" width="11.140625" style="7" customWidth="1"/>
    <col min="8191" max="8191" width="9.28515625" style="7" customWidth="1"/>
    <col min="8192" max="8192" width="1.42578125" style="7" customWidth="1"/>
    <col min="8193" max="8193" width="17.28515625" style="7" customWidth="1"/>
    <col min="8194" max="8194" width="11.140625" style="7" customWidth="1"/>
    <col min="8195" max="8195" width="12.42578125" style="7" customWidth="1"/>
    <col min="8196" max="8197" width="11.28515625" style="7" customWidth="1"/>
    <col min="8198" max="8198" width="10.5703125" style="7" customWidth="1"/>
    <col min="8199" max="8199" width="16.42578125" style="7" customWidth="1"/>
    <col min="8200" max="8200" width="12.140625" style="7" customWidth="1"/>
    <col min="8201" max="8201" width="10.85546875" style="7" customWidth="1"/>
    <col min="8202" max="8202" width="11.7109375" style="7" customWidth="1"/>
    <col min="8203" max="8423" width="9.140625" style="7"/>
    <col min="8424" max="8424" width="6.28515625" style="7" customWidth="1"/>
    <col min="8425" max="8425" width="20.7109375" style="7" customWidth="1"/>
    <col min="8426" max="8426" width="10" style="7" customWidth="1"/>
    <col min="8427" max="8427" width="1" style="7" customWidth="1"/>
    <col min="8428" max="8428" width="10" style="7" customWidth="1"/>
    <col min="8429" max="8429" width="1.28515625" style="7" customWidth="1"/>
    <col min="8430" max="8430" width="9.7109375" style="7" customWidth="1"/>
    <col min="8431" max="8431" width="1.140625" style="7" customWidth="1"/>
    <col min="8432" max="8432" width="12.5703125" style="7" customWidth="1"/>
    <col min="8433" max="8433" width="4.7109375" style="7" customWidth="1"/>
    <col min="8434" max="8434" width="10.7109375" style="7" customWidth="1"/>
    <col min="8435" max="8435" width="4.5703125" style="7" customWidth="1"/>
    <col min="8436" max="8436" width="12.28515625" style="7" customWidth="1"/>
    <col min="8437" max="8437" width="1.42578125" style="7" customWidth="1"/>
    <col min="8438" max="8438" width="14.140625" style="7" customWidth="1"/>
    <col min="8439" max="8439" width="13.7109375" style="7" customWidth="1"/>
    <col min="8440" max="8440" width="8" style="7" customWidth="1"/>
    <col min="8441" max="8441" width="1.42578125" style="7" customWidth="1"/>
    <col min="8442" max="8442" width="11.28515625" style="7" customWidth="1"/>
    <col min="8443" max="8443" width="12.85546875" style="7" customWidth="1"/>
    <col min="8444" max="8444" width="10.5703125" style="7" customWidth="1"/>
    <col min="8445" max="8445" width="12" style="7" customWidth="1"/>
    <col min="8446" max="8446" width="11.140625" style="7" customWidth="1"/>
    <col min="8447" max="8447" width="9.28515625" style="7" customWidth="1"/>
    <col min="8448" max="8448" width="1.42578125" style="7" customWidth="1"/>
    <col min="8449" max="8449" width="17.28515625" style="7" customWidth="1"/>
    <col min="8450" max="8450" width="11.140625" style="7" customWidth="1"/>
    <col min="8451" max="8451" width="12.42578125" style="7" customWidth="1"/>
    <col min="8452" max="8453" width="11.28515625" style="7" customWidth="1"/>
    <col min="8454" max="8454" width="10.5703125" style="7" customWidth="1"/>
    <col min="8455" max="8455" width="16.42578125" style="7" customWidth="1"/>
    <col min="8456" max="8456" width="12.140625" style="7" customWidth="1"/>
    <col min="8457" max="8457" width="10.85546875" style="7" customWidth="1"/>
    <col min="8458" max="8458" width="11.7109375" style="7" customWidth="1"/>
    <col min="8459" max="8679" width="9.140625" style="7"/>
    <col min="8680" max="8680" width="6.28515625" style="7" customWidth="1"/>
    <col min="8681" max="8681" width="20.7109375" style="7" customWidth="1"/>
    <col min="8682" max="8682" width="10" style="7" customWidth="1"/>
    <col min="8683" max="8683" width="1" style="7" customWidth="1"/>
    <col min="8684" max="8684" width="10" style="7" customWidth="1"/>
    <col min="8685" max="8685" width="1.28515625" style="7" customWidth="1"/>
    <col min="8686" max="8686" width="9.7109375" style="7" customWidth="1"/>
    <col min="8687" max="8687" width="1.140625" style="7" customWidth="1"/>
    <col min="8688" max="8688" width="12.5703125" style="7" customWidth="1"/>
    <col min="8689" max="8689" width="4.7109375" style="7" customWidth="1"/>
    <col min="8690" max="8690" width="10.7109375" style="7" customWidth="1"/>
    <col min="8691" max="8691" width="4.5703125" style="7" customWidth="1"/>
    <col min="8692" max="8692" width="12.28515625" style="7" customWidth="1"/>
    <col min="8693" max="8693" width="1.42578125" style="7" customWidth="1"/>
    <col min="8694" max="8694" width="14.140625" style="7" customWidth="1"/>
    <col min="8695" max="8695" width="13.7109375" style="7" customWidth="1"/>
    <col min="8696" max="8696" width="8" style="7" customWidth="1"/>
    <col min="8697" max="8697" width="1.42578125" style="7" customWidth="1"/>
    <col min="8698" max="8698" width="11.28515625" style="7" customWidth="1"/>
    <col min="8699" max="8699" width="12.85546875" style="7" customWidth="1"/>
    <col min="8700" max="8700" width="10.5703125" style="7" customWidth="1"/>
    <col min="8701" max="8701" width="12" style="7" customWidth="1"/>
    <col min="8702" max="8702" width="11.140625" style="7" customWidth="1"/>
    <col min="8703" max="8703" width="9.28515625" style="7" customWidth="1"/>
    <col min="8704" max="8704" width="1.42578125" style="7" customWidth="1"/>
    <col min="8705" max="8705" width="17.28515625" style="7" customWidth="1"/>
    <col min="8706" max="8706" width="11.140625" style="7" customWidth="1"/>
    <col min="8707" max="8707" width="12.42578125" style="7" customWidth="1"/>
    <col min="8708" max="8709" width="11.28515625" style="7" customWidth="1"/>
    <col min="8710" max="8710" width="10.5703125" style="7" customWidth="1"/>
    <col min="8711" max="8711" width="16.42578125" style="7" customWidth="1"/>
    <col min="8712" max="8712" width="12.140625" style="7" customWidth="1"/>
    <col min="8713" max="8713" width="10.85546875" style="7" customWidth="1"/>
    <col min="8714" max="8714" width="11.7109375" style="7" customWidth="1"/>
    <col min="8715" max="8935" width="9.140625" style="7"/>
    <col min="8936" max="8936" width="6.28515625" style="7" customWidth="1"/>
    <col min="8937" max="8937" width="20.7109375" style="7" customWidth="1"/>
    <col min="8938" max="8938" width="10" style="7" customWidth="1"/>
    <col min="8939" max="8939" width="1" style="7" customWidth="1"/>
    <col min="8940" max="8940" width="10" style="7" customWidth="1"/>
    <col min="8941" max="8941" width="1.28515625" style="7" customWidth="1"/>
    <col min="8942" max="8942" width="9.7109375" style="7" customWidth="1"/>
    <col min="8943" max="8943" width="1.140625" style="7" customWidth="1"/>
    <col min="8944" max="8944" width="12.5703125" style="7" customWidth="1"/>
    <col min="8945" max="8945" width="4.7109375" style="7" customWidth="1"/>
    <col min="8946" max="8946" width="10.7109375" style="7" customWidth="1"/>
    <col min="8947" max="8947" width="4.5703125" style="7" customWidth="1"/>
    <col min="8948" max="8948" width="12.28515625" style="7" customWidth="1"/>
    <col min="8949" max="8949" width="1.42578125" style="7" customWidth="1"/>
    <col min="8950" max="8950" width="14.140625" style="7" customWidth="1"/>
    <col min="8951" max="8951" width="13.7109375" style="7" customWidth="1"/>
    <col min="8952" max="8952" width="8" style="7" customWidth="1"/>
    <col min="8953" max="8953" width="1.42578125" style="7" customWidth="1"/>
    <col min="8954" max="8954" width="11.28515625" style="7" customWidth="1"/>
    <col min="8955" max="8955" width="12.85546875" style="7" customWidth="1"/>
    <col min="8956" max="8956" width="10.5703125" style="7" customWidth="1"/>
    <col min="8957" max="8957" width="12" style="7" customWidth="1"/>
    <col min="8958" max="8958" width="11.140625" style="7" customWidth="1"/>
    <col min="8959" max="8959" width="9.28515625" style="7" customWidth="1"/>
    <col min="8960" max="8960" width="1.42578125" style="7" customWidth="1"/>
    <col min="8961" max="8961" width="17.28515625" style="7" customWidth="1"/>
    <col min="8962" max="8962" width="11.140625" style="7" customWidth="1"/>
    <col min="8963" max="8963" width="12.42578125" style="7" customWidth="1"/>
    <col min="8964" max="8965" width="11.28515625" style="7" customWidth="1"/>
    <col min="8966" max="8966" width="10.5703125" style="7" customWidth="1"/>
    <col min="8967" max="8967" width="16.42578125" style="7" customWidth="1"/>
    <col min="8968" max="8968" width="12.140625" style="7" customWidth="1"/>
    <col min="8969" max="8969" width="10.85546875" style="7" customWidth="1"/>
    <col min="8970" max="8970" width="11.7109375" style="7" customWidth="1"/>
    <col min="8971" max="9191" width="9.140625" style="7"/>
    <col min="9192" max="9192" width="6.28515625" style="7" customWidth="1"/>
    <col min="9193" max="9193" width="20.7109375" style="7" customWidth="1"/>
    <col min="9194" max="9194" width="10" style="7" customWidth="1"/>
    <col min="9195" max="9195" width="1" style="7" customWidth="1"/>
    <col min="9196" max="9196" width="10" style="7" customWidth="1"/>
    <col min="9197" max="9197" width="1.28515625" style="7" customWidth="1"/>
    <col min="9198" max="9198" width="9.7109375" style="7" customWidth="1"/>
    <col min="9199" max="9199" width="1.140625" style="7" customWidth="1"/>
    <col min="9200" max="9200" width="12.5703125" style="7" customWidth="1"/>
    <col min="9201" max="9201" width="4.7109375" style="7" customWidth="1"/>
    <col min="9202" max="9202" width="10.7109375" style="7" customWidth="1"/>
    <col min="9203" max="9203" width="4.5703125" style="7" customWidth="1"/>
    <col min="9204" max="9204" width="12.28515625" style="7" customWidth="1"/>
    <col min="9205" max="9205" width="1.42578125" style="7" customWidth="1"/>
    <col min="9206" max="9206" width="14.140625" style="7" customWidth="1"/>
    <col min="9207" max="9207" width="13.7109375" style="7" customWidth="1"/>
    <col min="9208" max="9208" width="8" style="7" customWidth="1"/>
    <col min="9209" max="9209" width="1.42578125" style="7" customWidth="1"/>
    <col min="9210" max="9210" width="11.28515625" style="7" customWidth="1"/>
    <col min="9211" max="9211" width="12.85546875" style="7" customWidth="1"/>
    <col min="9212" max="9212" width="10.5703125" style="7" customWidth="1"/>
    <col min="9213" max="9213" width="12" style="7" customWidth="1"/>
    <col min="9214" max="9214" width="11.140625" style="7" customWidth="1"/>
    <col min="9215" max="9215" width="9.28515625" style="7" customWidth="1"/>
    <col min="9216" max="9216" width="1.42578125" style="7" customWidth="1"/>
    <col min="9217" max="9217" width="17.28515625" style="7" customWidth="1"/>
    <col min="9218" max="9218" width="11.140625" style="7" customWidth="1"/>
    <col min="9219" max="9219" width="12.42578125" style="7" customWidth="1"/>
    <col min="9220" max="9221" width="11.28515625" style="7" customWidth="1"/>
    <col min="9222" max="9222" width="10.5703125" style="7" customWidth="1"/>
    <col min="9223" max="9223" width="16.42578125" style="7" customWidth="1"/>
    <col min="9224" max="9224" width="12.140625" style="7" customWidth="1"/>
    <col min="9225" max="9225" width="10.85546875" style="7" customWidth="1"/>
    <col min="9226" max="9226" width="11.7109375" style="7" customWidth="1"/>
    <col min="9227" max="9447" width="9.140625" style="7"/>
    <col min="9448" max="9448" width="6.28515625" style="7" customWidth="1"/>
    <col min="9449" max="9449" width="20.7109375" style="7" customWidth="1"/>
    <col min="9450" max="9450" width="10" style="7" customWidth="1"/>
    <col min="9451" max="9451" width="1" style="7" customWidth="1"/>
    <col min="9452" max="9452" width="10" style="7" customWidth="1"/>
    <col min="9453" max="9453" width="1.28515625" style="7" customWidth="1"/>
    <col min="9454" max="9454" width="9.7109375" style="7" customWidth="1"/>
    <col min="9455" max="9455" width="1.140625" style="7" customWidth="1"/>
    <col min="9456" max="9456" width="12.5703125" style="7" customWidth="1"/>
    <col min="9457" max="9457" width="4.7109375" style="7" customWidth="1"/>
    <col min="9458" max="9458" width="10.7109375" style="7" customWidth="1"/>
    <col min="9459" max="9459" width="4.5703125" style="7" customWidth="1"/>
    <col min="9460" max="9460" width="12.28515625" style="7" customWidth="1"/>
    <col min="9461" max="9461" width="1.42578125" style="7" customWidth="1"/>
    <col min="9462" max="9462" width="14.140625" style="7" customWidth="1"/>
    <col min="9463" max="9463" width="13.7109375" style="7" customWidth="1"/>
    <col min="9464" max="9464" width="8" style="7" customWidth="1"/>
    <col min="9465" max="9465" width="1.42578125" style="7" customWidth="1"/>
    <col min="9466" max="9466" width="11.28515625" style="7" customWidth="1"/>
    <col min="9467" max="9467" width="12.85546875" style="7" customWidth="1"/>
    <col min="9468" max="9468" width="10.5703125" style="7" customWidth="1"/>
    <col min="9469" max="9469" width="12" style="7" customWidth="1"/>
    <col min="9470" max="9470" width="11.140625" style="7" customWidth="1"/>
    <col min="9471" max="9471" width="9.28515625" style="7" customWidth="1"/>
    <col min="9472" max="9472" width="1.42578125" style="7" customWidth="1"/>
    <col min="9473" max="9473" width="17.28515625" style="7" customWidth="1"/>
    <col min="9474" max="9474" width="11.140625" style="7" customWidth="1"/>
    <col min="9475" max="9475" width="12.42578125" style="7" customWidth="1"/>
    <col min="9476" max="9477" width="11.28515625" style="7" customWidth="1"/>
    <col min="9478" max="9478" width="10.5703125" style="7" customWidth="1"/>
    <col min="9479" max="9479" width="16.42578125" style="7" customWidth="1"/>
    <col min="9480" max="9480" width="12.140625" style="7" customWidth="1"/>
    <col min="9481" max="9481" width="10.85546875" style="7" customWidth="1"/>
    <col min="9482" max="9482" width="11.7109375" style="7" customWidth="1"/>
    <col min="9483" max="9703" width="9.140625" style="7"/>
    <col min="9704" max="9704" width="6.28515625" style="7" customWidth="1"/>
    <col min="9705" max="9705" width="20.7109375" style="7" customWidth="1"/>
    <col min="9706" max="9706" width="10" style="7" customWidth="1"/>
    <col min="9707" max="9707" width="1" style="7" customWidth="1"/>
    <col min="9708" max="9708" width="10" style="7" customWidth="1"/>
    <col min="9709" max="9709" width="1.28515625" style="7" customWidth="1"/>
    <col min="9710" max="9710" width="9.7109375" style="7" customWidth="1"/>
    <col min="9711" max="9711" width="1.140625" style="7" customWidth="1"/>
    <col min="9712" max="9712" width="12.5703125" style="7" customWidth="1"/>
    <col min="9713" max="9713" width="4.7109375" style="7" customWidth="1"/>
    <col min="9714" max="9714" width="10.7109375" style="7" customWidth="1"/>
    <col min="9715" max="9715" width="4.5703125" style="7" customWidth="1"/>
    <col min="9716" max="9716" width="12.28515625" style="7" customWidth="1"/>
    <col min="9717" max="9717" width="1.42578125" style="7" customWidth="1"/>
    <col min="9718" max="9718" width="14.140625" style="7" customWidth="1"/>
    <col min="9719" max="9719" width="13.7109375" style="7" customWidth="1"/>
    <col min="9720" max="9720" width="8" style="7" customWidth="1"/>
    <col min="9721" max="9721" width="1.42578125" style="7" customWidth="1"/>
    <col min="9722" max="9722" width="11.28515625" style="7" customWidth="1"/>
    <col min="9723" max="9723" width="12.85546875" style="7" customWidth="1"/>
    <col min="9724" max="9724" width="10.5703125" style="7" customWidth="1"/>
    <col min="9725" max="9725" width="12" style="7" customWidth="1"/>
    <col min="9726" max="9726" width="11.140625" style="7" customWidth="1"/>
    <col min="9727" max="9727" width="9.28515625" style="7" customWidth="1"/>
    <col min="9728" max="9728" width="1.42578125" style="7" customWidth="1"/>
    <col min="9729" max="9729" width="17.28515625" style="7" customWidth="1"/>
    <col min="9730" max="9730" width="11.140625" style="7" customWidth="1"/>
    <col min="9731" max="9731" width="12.42578125" style="7" customWidth="1"/>
    <col min="9732" max="9733" width="11.28515625" style="7" customWidth="1"/>
    <col min="9734" max="9734" width="10.5703125" style="7" customWidth="1"/>
    <col min="9735" max="9735" width="16.42578125" style="7" customWidth="1"/>
    <col min="9736" max="9736" width="12.140625" style="7" customWidth="1"/>
    <col min="9737" max="9737" width="10.85546875" style="7" customWidth="1"/>
    <col min="9738" max="9738" width="11.7109375" style="7" customWidth="1"/>
    <col min="9739" max="9959" width="9.140625" style="7"/>
    <col min="9960" max="9960" width="6.28515625" style="7" customWidth="1"/>
    <col min="9961" max="9961" width="20.7109375" style="7" customWidth="1"/>
    <col min="9962" max="9962" width="10" style="7" customWidth="1"/>
    <col min="9963" max="9963" width="1" style="7" customWidth="1"/>
    <col min="9964" max="9964" width="10" style="7" customWidth="1"/>
    <col min="9965" max="9965" width="1.28515625" style="7" customWidth="1"/>
    <col min="9966" max="9966" width="9.7109375" style="7" customWidth="1"/>
    <col min="9967" max="9967" width="1.140625" style="7" customWidth="1"/>
    <col min="9968" max="9968" width="12.5703125" style="7" customWidth="1"/>
    <col min="9969" max="9969" width="4.7109375" style="7" customWidth="1"/>
    <col min="9970" max="9970" width="10.7109375" style="7" customWidth="1"/>
    <col min="9971" max="9971" width="4.5703125" style="7" customWidth="1"/>
    <col min="9972" max="9972" width="12.28515625" style="7" customWidth="1"/>
    <col min="9973" max="9973" width="1.42578125" style="7" customWidth="1"/>
    <col min="9974" max="9974" width="14.140625" style="7" customWidth="1"/>
    <col min="9975" max="9975" width="13.7109375" style="7" customWidth="1"/>
    <col min="9976" max="9976" width="8" style="7" customWidth="1"/>
    <col min="9977" max="9977" width="1.42578125" style="7" customWidth="1"/>
    <col min="9978" max="9978" width="11.28515625" style="7" customWidth="1"/>
    <col min="9979" max="9979" width="12.85546875" style="7" customWidth="1"/>
    <col min="9980" max="9980" width="10.5703125" style="7" customWidth="1"/>
    <col min="9981" max="9981" width="12" style="7" customWidth="1"/>
    <col min="9982" max="9982" width="11.140625" style="7" customWidth="1"/>
    <col min="9983" max="9983" width="9.28515625" style="7" customWidth="1"/>
    <col min="9984" max="9984" width="1.42578125" style="7" customWidth="1"/>
    <col min="9985" max="9985" width="17.28515625" style="7" customWidth="1"/>
    <col min="9986" max="9986" width="11.140625" style="7" customWidth="1"/>
    <col min="9987" max="9987" width="12.42578125" style="7" customWidth="1"/>
    <col min="9988" max="9989" width="11.28515625" style="7" customWidth="1"/>
    <col min="9990" max="9990" width="10.5703125" style="7" customWidth="1"/>
    <col min="9991" max="9991" width="16.42578125" style="7" customWidth="1"/>
    <col min="9992" max="9992" width="12.140625" style="7" customWidth="1"/>
    <col min="9993" max="9993" width="10.85546875" style="7" customWidth="1"/>
    <col min="9994" max="9994" width="11.7109375" style="7" customWidth="1"/>
    <col min="9995" max="10215" width="9.140625" style="7"/>
    <col min="10216" max="10216" width="6.28515625" style="7" customWidth="1"/>
    <col min="10217" max="10217" width="20.7109375" style="7" customWidth="1"/>
    <col min="10218" max="10218" width="10" style="7" customWidth="1"/>
    <col min="10219" max="10219" width="1" style="7" customWidth="1"/>
    <col min="10220" max="10220" width="10" style="7" customWidth="1"/>
    <col min="10221" max="10221" width="1.28515625" style="7" customWidth="1"/>
    <col min="10222" max="10222" width="9.7109375" style="7" customWidth="1"/>
    <col min="10223" max="10223" width="1.140625" style="7" customWidth="1"/>
    <col min="10224" max="10224" width="12.5703125" style="7" customWidth="1"/>
    <col min="10225" max="10225" width="4.7109375" style="7" customWidth="1"/>
    <col min="10226" max="10226" width="10.7109375" style="7" customWidth="1"/>
    <col min="10227" max="10227" width="4.5703125" style="7" customWidth="1"/>
    <col min="10228" max="10228" width="12.28515625" style="7" customWidth="1"/>
    <col min="10229" max="10229" width="1.42578125" style="7" customWidth="1"/>
    <col min="10230" max="10230" width="14.140625" style="7" customWidth="1"/>
    <col min="10231" max="10231" width="13.7109375" style="7" customWidth="1"/>
    <col min="10232" max="10232" width="8" style="7" customWidth="1"/>
    <col min="10233" max="10233" width="1.42578125" style="7" customWidth="1"/>
    <col min="10234" max="10234" width="11.28515625" style="7" customWidth="1"/>
    <col min="10235" max="10235" width="12.85546875" style="7" customWidth="1"/>
    <col min="10236" max="10236" width="10.5703125" style="7" customWidth="1"/>
    <col min="10237" max="10237" width="12" style="7" customWidth="1"/>
    <col min="10238" max="10238" width="11.140625" style="7" customWidth="1"/>
    <col min="10239" max="10239" width="9.28515625" style="7" customWidth="1"/>
    <col min="10240" max="10240" width="1.42578125" style="7" customWidth="1"/>
    <col min="10241" max="10241" width="17.28515625" style="7" customWidth="1"/>
    <col min="10242" max="10242" width="11.140625" style="7" customWidth="1"/>
    <col min="10243" max="10243" width="12.42578125" style="7" customWidth="1"/>
    <col min="10244" max="10245" width="11.28515625" style="7" customWidth="1"/>
    <col min="10246" max="10246" width="10.5703125" style="7" customWidth="1"/>
    <col min="10247" max="10247" width="16.42578125" style="7" customWidth="1"/>
    <col min="10248" max="10248" width="12.140625" style="7" customWidth="1"/>
    <col min="10249" max="10249" width="10.85546875" style="7" customWidth="1"/>
    <col min="10250" max="10250" width="11.7109375" style="7" customWidth="1"/>
    <col min="10251" max="10471" width="9.140625" style="7"/>
    <col min="10472" max="10472" width="6.28515625" style="7" customWidth="1"/>
    <col min="10473" max="10473" width="20.7109375" style="7" customWidth="1"/>
    <col min="10474" max="10474" width="10" style="7" customWidth="1"/>
    <col min="10475" max="10475" width="1" style="7" customWidth="1"/>
    <col min="10476" max="10476" width="10" style="7" customWidth="1"/>
    <col min="10477" max="10477" width="1.28515625" style="7" customWidth="1"/>
    <col min="10478" max="10478" width="9.7109375" style="7" customWidth="1"/>
    <col min="10479" max="10479" width="1.140625" style="7" customWidth="1"/>
    <col min="10480" max="10480" width="12.5703125" style="7" customWidth="1"/>
    <col min="10481" max="10481" width="4.7109375" style="7" customWidth="1"/>
    <col min="10482" max="10482" width="10.7109375" style="7" customWidth="1"/>
    <col min="10483" max="10483" width="4.5703125" style="7" customWidth="1"/>
    <col min="10484" max="10484" width="12.28515625" style="7" customWidth="1"/>
    <col min="10485" max="10485" width="1.42578125" style="7" customWidth="1"/>
    <col min="10486" max="10486" width="14.140625" style="7" customWidth="1"/>
    <col min="10487" max="10487" width="13.7109375" style="7" customWidth="1"/>
    <col min="10488" max="10488" width="8" style="7" customWidth="1"/>
    <col min="10489" max="10489" width="1.42578125" style="7" customWidth="1"/>
    <col min="10490" max="10490" width="11.28515625" style="7" customWidth="1"/>
    <col min="10491" max="10491" width="12.85546875" style="7" customWidth="1"/>
    <col min="10492" max="10492" width="10.5703125" style="7" customWidth="1"/>
    <col min="10493" max="10493" width="12" style="7" customWidth="1"/>
    <col min="10494" max="10494" width="11.140625" style="7" customWidth="1"/>
    <col min="10495" max="10495" width="9.28515625" style="7" customWidth="1"/>
    <col min="10496" max="10496" width="1.42578125" style="7" customWidth="1"/>
    <col min="10497" max="10497" width="17.28515625" style="7" customWidth="1"/>
    <col min="10498" max="10498" width="11.140625" style="7" customWidth="1"/>
    <col min="10499" max="10499" width="12.42578125" style="7" customWidth="1"/>
    <col min="10500" max="10501" width="11.28515625" style="7" customWidth="1"/>
    <col min="10502" max="10502" width="10.5703125" style="7" customWidth="1"/>
    <col min="10503" max="10503" width="16.42578125" style="7" customWidth="1"/>
    <col min="10504" max="10504" width="12.140625" style="7" customWidth="1"/>
    <col min="10505" max="10505" width="10.85546875" style="7" customWidth="1"/>
    <col min="10506" max="10506" width="11.7109375" style="7" customWidth="1"/>
    <col min="10507" max="10727" width="9.140625" style="7"/>
    <col min="10728" max="10728" width="6.28515625" style="7" customWidth="1"/>
    <col min="10729" max="10729" width="20.7109375" style="7" customWidth="1"/>
    <col min="10730" max="10730" width="10" style="7" customWidth="1"/>
    <col min="10731" max="10731" width="1" style="7" customWidth="1"/>
    <col min="10732" max="10732" width="10" style="7" customWidth="1"/>
    <col min="10733" max="10733" width="1.28515625" style="7" customWidth="1"/>
    <col min="10734" max="10734" width="9.7109375" style="7" customWidth="1"/>
    <col min="10735" max="10735" width="1.140625" style="7" customWidth="1"/>
    <col min="10736" max="10736" width="12.5703125" style="7" customWidth="1"/>
    <col min="10737" max="10737" width="4.7109375" style="7" customWidth="1"/>
    <col min="10738" max="10738" width="10.7109375" style="7" customWidth="1"/>
    <col min="10739" max="10739" width="4.5703125" style="7" customWidth="1"/>
    <col min="10740" max="10740" width="12.28515625" style="7" customWidth="1"/>
    <col min="10741" max="10741" width="1.42578125" style="7" customWidth="1"/>
    <col min="10742" max="10742" width="14.140625" style="7" customWidth="1"/>
    <col min="10743" max="10743" width="13.7109375" style="7" customWidth="1"/>
    <col min="10744" max="10744" width="8" style="7" customWidth="1"/>
    <col min="10745" max="10745" width="1.42578125" style="7" customWidth="1"/>
    <col min="10746" max="10746" width="11.28515625" style="7" customWidth="1"/>
    <col min="10747" max="10747" width="12.85546875" style="7" customWidth="1"/>
    <col min="10748" max="10748" width="10.5703125" style="7" customWidth="1"/>
    <col min="10749" max="10749" width="12" style="7" customWidth="1"/>
    <col min="10750" max="10750" width="11.140625" style="7" customWidth="1"/>
    <col min="10751" max="10751" width="9.28515625" style="7" customWidth="1"/>
    <col min="10752" max="10752" width="1.42578125" style="7" customWidth="1"/>
    <col min="10753" max="10753" width="17.28515625" style="7" customWidth="1"/>
    <col min="10754" max="10754" width="11.140625" style="7" customWidth="1"/>
    <col min="10755" max="10755" width="12.42578125" style="7" customWidth="1"/>
    <col min="10756" max="10757" width="11.28515625" style="7" customWidth="1"/>
    <col min="10758" max="10758" width="10.5703125" style="7" customWidth="1"/>
    <col min="10759" max="10759" width="16.42578125" style="7" customWidth="1"/>
    <col min="10760" max="10760" width="12.140625" style="7" customWidth="1"/>
    <col min="10761" max="10761" width="10.85546875" style="7" customWidth="1"/>
    <col min="10762" max="10762" width="11.7109375" style="7" customWidth="1"/>
    <col min="10763" max="10983" width="9.140625" style="7"/>
    <col min="10984" max="10984" width="6.28515625" style="7" customWidth="1"/>
    <col min="10985" max="10985" width="20.7109375" style="7" customWidth="1"/>
    <col min="10986" max="10986" width="10" style="7" customWidth="1"/>
    <col min="10987" max="10987" width="1" style="7" customWidth="1"/>
    <col min="10988" max="10988" width="10" style="7" customWidth="1"/>
    <col min="10989" max="10989" width="1.28515625" style="7" customWidth="1"/>
    <col min="10990" max="10990" width="9.7109375" style="7" customWidth="1"/>
    <col min="10991" max="10991" width="1.140625" style="7" customWidth="1"/>
    <col min="10992" max="10992" width="12.5703125" style="7" customWidth="1"/>
    <col min="10993" max="10993" width="4.7109375" style="7" customWidth="1"/>
    <col min="10994" max="10994" width="10.7109375" style="7" customWidth="1"/>
    <col min="10995" max="10995" width="4.5703125" style="7" customWidth="1"/>
    <col min="10996" max="10996" width="12.28515625" style="7" customWidth="1"/>
    <col min="10997" max="10997" width="1.42578125" style="7" customWidth="1"/>
    <col min="10998" max="10998" width="14.140625" style="7" customWidth="1"/>
    <col min="10999" max="10999" width="13.7109375" style="7" customWidth="1"/>
    <col min="11000" max="11000" width="8" style="7" customWidth="1"/>
    <col min="11001" max="11001" width="1.42578125" style="7" customWidth="1"/>
    <col min="11002" max="11002" width="11.28515625" style="7" customWidth="1"/>
    <col min="11003" max="11003" width="12.85546875" style="7" customWidth="1"/>
    <col min="11004" max="11004" width="10.5703125" style="7" customWidth="1"/>
    <col min="11005" max="11005" width="12" style="7" customWidth="1"/>
    <col min="11006" max="11006" width="11.140625" style="7" customWidth="1"/>
    <col min="11007" max="11007" width="9.28515625" style="7" customWidth="1"/>
    <col min="11008" max="11008" width="1.42578125" style="7" customWidth="1"/>
    <col min="11009" max="11009" width="17.28515625" style="7" customWidth="1"/>
    <col min="11010" max="11010" width="11.140625" style="7" customWidth="1"/>
    <col min="11011" max="11011" width="12.42578125" style="7" customWidth="1"/>
    <col min="11012" max="11013" width="11.28515625" style="7" customWidth="1"/>
    <col min="11014" max="11014" width="10.5703125" style="7" customWidth="1"/>
    <col min="11015" max="11015" width="16.42578125" style="7" customWidth="1"/>
    <col min="11016" max="11016" width="12.140625" style="7" customWidth="1"/>
    <col min="11017" max="11017" width="10.85546875" style="7" customWidth="1"/>
    <col min="11018" max="11018" width="11.7109375" style="7" customWidth="1"/>
    <col min="11019" max="11239" width="9.140625" style="7"/>
    <col min="11240" max="11240" width="6.28515625" style="7" customWidth="1"/>
    <col min="11241" max="11241" width="20.7109375" style="7" customWidth="1"/>
    <col min="11242" max="11242" width="10" style="7" customWidth="1"/>
    <col min="11243" max="11243" width="1" style="7" customWidth="1"/>
    <col min="11244" max="11244" width="10" style="7" customWidth="1"/>
    <col min="11245" max="11245" width="1.28515625" style="7" customWidth="1"/>
    <col min="11246" max="11246" width="9.7109375" style="7" customWidth="1"/>
    <col min="11247" max="11247" width="1.140625" style="7" customWidth="1"/>
    <col min="11248" max="11248" width="12.5703125" style="7" customWidth="1"/>
    <col min="11249" max="11249" width="4.7109375" style="7" customWidth="1"/>
    <col min="11250" max="11250" width="10.7109375" style="7" customWidth="1"/>
    <col min="11251" max="11251" width="4.5703125" style="7" customWidth="1"/>
    <col min="11252" max="11252" width="12.28515625" style="7" customWidth="1"/>
    <col min="11253" max="11253" width="1.42578125" style="7" customWidth="1"/>
    <col min="11254" max="11254" width="14.140625" style="7" customWidth="1"/>
    <col min="11255" max="11255" width="13.7109375" style="7" customWidth="1"/>
    <col min="11256" max="11256" width="8" style="7" customWidth="1"/>
    <col min="11257" max="11257" width="1.42578125" style="7" customWidth="1"/>
    <col min="11258" max="11258" width="11.28515625" style="7" customWidth="1"/>
    <col min="11259" max="11259" width="12.85546875" style="7" customWidth="1"/>
    <col min="11260" max="11260" width="10.5703125" style="7" customWidth="1"/>
    <col min="11261" max="11261" width="12" style="7" customWidth="1"/>
    <col min="11262" max="11262" width="11.140625" style="7" customWidth="1"/>
    <col min="11263" max="11263" width="9.28515625" style="7" customWidth="1"/>
    <col min="11264" max="11264" width="1.42578125" style="7" customWidth="1"/>
    <col min="11265" max="11265" width="17.28515625" style="7" customWidth="1"/>
    <col min="11266" max="11266" width="11.140625" style="7" customWidth="1"/>
    <col min="11267" max="11267" width="12.42578125" style="7" customWidth="1"/>
    <col min="11268" max="11269" width="11.28515625" style="7" customWidth="1"/>
    <col min="11270" max="11270" width="10.5703125" style="7" customWidth="1"/>
    <col min="11271" max="11271" width="16.42578125" style="7" customWidth="1"/>
    <col min="11272" max="11272" width="12.140625" style="7" customWidth="1"/>
    <col min="11273" max="11273" width="10.85546875" style="7" customWidth="1"/>
    <col min="11274" max="11274" width="11.7109375" style="7" customWidth="1"/>
    <col min="11275" max="11495" width="9.140625" style="7"/>
    <col min="11496" max="11496" width="6.28515625" style="7" customWidth="1"/>
    <col min="11497" max="11497" width="20.7109375" style="7" customWidth="1"/>
    <col min="11498" max="11498" width="10" style="7" customWidth="1"/>
    <col min="11499" max="11499" width="1" style="7" customWidth="1"/>
    <col min="11500" max="11500" width="10" style="7" customWidth="1"/>
    <col min="11501" max="11501" width="1.28515625" style="7" customWidth="1"/>
    <col min="11502" max="11502" width="9.7109375" style="7" customWidth="1"/>
    <col min="11503" max="11503" width="1.140625" style="7" customWidth="1"/>
    <col min="11504" max="11504" width="12.5703125" style="7" customWidth="1"/>
    <col min="11505" max="11505" width="4.7109375" style="7" customWidth="1"/>
    <col min="11506" max="11506" width="10.7109375" style="7" customWidth="1"/>
    <col min="11507" max="11507" width="4.5703125" style="7" customWidth="1"/>
    <col min="11508" max="11508" width="12.28515625" style="7" customWidth="1"/>
    <col min="11509" max="11509" width="1.42578125" style="7" customWidth="1"/>
    <col min="11510" max="11510" width="14.140625" style="7" customWidth="1"/>
    <col min="11511" max="11511" width="13.7109375" style="7" customWidth="1"/>
    <col min="11512" max="11512" width="8" style="7" customWidth="1"/>
    <col min="11513" max="11513" width="1.42578125" style="7" customWidth="1"/>
    <col min="11514" max="11514" width="11.28515625" style="7" customWidth="1"/>
    <col min="11515" max="11515" width="12.85546875" style="7" customWidth="1"/>
    <col min="11516" max="11516" width="10.5703125" style="7" customWidth="1"/>
    <col min="11517" max="11517" width="12" style="7" customWidth="1"/>
    <col min="11518" max="11518" width="11.140625" style="7" customWidth="1"/>
    <col min="11519" max="11519" width="9.28515625" style="7" customWidth="1"/>
    <col min="11520" max="11520" width="1.42578125" style="7" customWidth="1"/>
    <col min="11521" max="11521" width="17.28515625" style="7" customWidth="1"/>
    <col min="11522" max="11522" width="11.140625" style="7" customWidth="1"/>
    <col min="11523" max="11523" width="12.42578125" style="7" customWidth="1"/>
    <col min="11524" max="11525" width="11.28515625" style="7" customWidth="1"/>
    <col min="11526" max="11526" width="10.5703125" style="7" customWidth="1"/>
    <col min="11527" max="11527" width="16.42578125" style="7" customWidth="1"/>
    <col min="11528" max="11528" width="12.140625" style="7" customWidth="1"/>
    <col min="11529" max="11529" width="10.85546875" style="7" customWidth="1"/>
    <col min="11530" max="11530" width="11.7109375" style="7" customWidth="1"/>
    <col min="11531" max="11751" width="9.140625" style="7"/>
    <col min="11752" max="11752" width="6.28515625" style="7" customWidth="1"/>
    <col min="11753" max="11753" width="20.7109375" style="7" customWidth="1"/>
    <col min="11754" max="11754" width="10" style="7" customWidth="1"/>
    <col min="11755" max="11755" width="1" style="7" customWidth="1"/>
    <col min="11756" max="11756" width="10" style="7" customWidth="1"/>
    <col min="11757" max="11757" width="1.28515625" style="7" customWidth="1"/>
    <col min="11758" max="11758" width="9.7109375" style="7" customWidth="1"/>
    <col min="11759" max="11759" width="1.140625" style="7" customWidth="1"/>
    <col min="11760" max="11760" width="12.5703125" style="7" customWidth="1"/>
    <col min="11761" max="11761" width="4.7109375" style="7" customWidth="1"/>
    <col min="11762" max="11762" width="10.7109375" style="7" customWidth="1"/>
    <col min="11763" max="11763" width="4.5703125" style="7" customWidth="1"/>
    <col min="11764" max="11764" width="12.28515625" style="7" customWidth="1"/>
    <col min="11765" max="11765" width="1.42578125" style="7" customWidth="1"/>
    <col min="11766" max="11766" width="14.140625" style="7" customWidth="1"/>
    <col min="11767" max="11767" width="13.7109375" style="7" customWidth="1"/>
    <col min="11768" max="11768" width="8" style="7" customWidth="1"/>
    <col min="11769" max="11769" width="1.42578125" style="7" customWidth="1"/>
    <col min="11770" max="11770" width="11.28515625" style="7" customWidth="1"/>
    <col min="11771" max="11771" width="12.85546875" style="7" customWidth="1"/>
    <col min="11772" max="11772" width="10.5703125" style="7" customWidth="1"/>
    <col min="11773" max="11773" width="12" style="7" customWidth="1"/>
    <col min="11774" max="11774" width="11.140625" style="7" customWidth="1"/>
    <col min="11775" max="11775" width="9.28515625" style="7" customWidth="1"/>
    <col min="11776" max="11776" width="1.42578125" style="7" customWidth="1"/>
    <col min="11777" max="11777" width="17.28515625" style="7" customWidth="1"/>
    <col min="11778" max="11778" width="11.140625" style="7" customWidth="1"/>
    <col min="11779" max="11779" width="12.42578125" style="7" customWidth="1"/>
    <col min="11780" max="11781" width="11.28515625" style="7" customWidth="1"/>
    <col min="11782" max="11782" width="10.5703125" style="7" customWidth="1"/>
    <col min="11783" max="11783" width="16.42578125" style="7" customWidth="1"/>
    <col min="11784" max="11784" width="12.140625" style="7" customWidth="1"/>
    <col min="11785" max="11785" width="10.85546875" style="7" customWidth="1"/>
    <col min="11786" max="11786" width="11.7109375" style="7" customWidth="1"/>
    <col min="11787" max="12007" width="9.140625" style="7"/>
    <col min="12008" max="12008" width="6.28515625" style="7" customWidth="1"/>
    <col min="12009" max="12009" width="20.7109375" style="7" customWidth="1"/>
    <col min="12010" max="12010" width="10" style="7" customWidth="1"/>
    <col min="12011" max="12011" width="1" style="7" customWidth="1"/>
    <col min="12012" max="12012" width="10" style="7" customWidth="1"/>
    <col min="12013" max="12013" width="1.28515625" style="7" customWidth="1"/>
    <col min="12014" max="12014" width="9.7109375" style="7" customWidth="1"/>
    <col min="12015" max="12015" width="1.140625" style="7" customWidth="1"/>
    <col min="12016" max="12016" width="12.5703125" style="7" customWidth="1"/>
    <col min="12017" max="12017" width="4.7109375" style="7" customWidth="1"/>
    <col min="12018" max="12018" width="10.7109375" style="7" customWidth="1"/>
    <col min="12019" max="12019" width="4.5703125" style="7" customWidth="1"/>
    <col min="12020" max="12020" width="12.28515625" style="7" customWidth="1"/>
    <col min="12021" max="12021" width="1.42578125" style="7" customWidth="1"/>
    <col min="12022" max="12022" width="14.140625" style="7" customWidth="1"/>
    <col min="12023" max="12023" width="13.7109375" style="7" customWidth="1"/>
    <col min="12024" max="12024" width="8" style="7" customWidth="1"/>
    <col min="12025" max="12025" width="1.42578125" style="7" customWidth="1"/>
    <col min="12026" max="12026" width="11.28515625" style="7" customWidth="1"/>
    <col min="12027" max="12027" width="12.85546875" style="7" customWidth="1"/>
    <col min="12028" max="12028" width="10.5703125" style="7" customWidth="1"/>
    <col min="12029" max="12029" width="12" style="7" customWidth="1"/>
    <col min="12030" max="12030" width="11.140625" style="7" customWidth="1"/>
    <col min="12031" max="12031" width="9.28515625" style="7" customWidth="1"/>
    <col min="12032" max="12032" width="1.42578125" style="7" customWidth="1"/>
    <col min="12033" max="12033" width="17.28515625" style="7" customWidth="1"/>
    <col min="12034" max="12034" width="11.140625" style="7" customWidth="1"/>
    <col min="12035" max="12035" width="12.42578125" style="7" customWidth="1"/>
    <col min="12036" max="12037" width="11.28515625" style="7" customWidth="1"/>
    <col min="12038" max="12038" width="10.5703125" style="7" customWidth="1"/>
    <col min="12039" max="12039" width="16.42578125" style="7" customWidth="1"/>
    <col min="12040" max="12040" width="12.140625" style="7" customWidth="1"/>
    <col min="12041" max="12041" width="10.85546875" style="7" customWidth="1"/>
    <col min="12042" max="12042" width="11.7109375" style="7" customWidth="1"/>
    <col min="12043" max="12263" width="9.140625" style="7"/>
    <col min="12264" max="12264" width="6.28515625" style="7" customWidth="1"/>
    <col min="12265" max="12265" width="20.7109375" style="7" customWidth="1"/>
    <col min="12266" max="12266" width="10" style="7" customWidth="1"/>
    <col min="12267" max="12267" width="1" style="7" customWidth="1"/>
    <col min="12268" max="12268" width="10" style="7" customWidth="1"/>
    <col min="12269" max="12269" width="1.28515625" style="7" customWidth="1"/>
    <col min="12270" max="12270" width="9.7109375" style="7" customWidth="1"/>
    <col min="12271" max="12271" width="1.140625" style="7" customWidth="1"/>
    <col min="12272" max="12272" width="12.5703125" style="7" customWidth="1"/>
    <col min="12273" max="12273" width="4.7109375" style="7" customWidth="1"/>
    <col min="12274" max="12274" width="10.7109375" style="7" customWidth="1"/>
    <col min="12275" max="12275" width="4.5703125" style="7" customWidth="1"/>
    <col min="12276" max="12276" width="12.28515625" style="7" customWidth="1"/>
    <col min="12277" max="12277" width="1.42578125" style="7" customWidth="1"/>
    <col min="12278" max="12278" width="14.140625" style="7" customWidth="1"/>
    <col min="12279" max="12279" width="13.7109375" style="7" customWidth="1"/>
    <col min="12280" max="12280" width="8" style="7" customWidth="1"/>
    <col min="12281" max="12281" width="1.42578125" style="7" customWidth="1"/>
    <col min="12282" max="12282" width="11.28515625" style="7" customWidth="1"/>
    <col min="12283" max="12283" width="12.85546875" style="7" customWidth="1"/>
    <col min="12284" max="12284" width="10.5703125" style="7" customWidth="1"/>
    <col min="12285" max="12285" width="12" style="7" customWidth="1"/>
    <col min="12286" max="12286" width="11.140625" style="7" customWidth="1"/>
    <col min="12287" max="12287" width="9.28515625" style="7" customWidth="1"/>
    <col min="12288" max="12288" width="1.42578125" style="7" customWidth="1"/>
    <col min="12289" max="12289" width="17.28515625" style="7" customWidth="1"/>
    <col min="12290" max="12290" width="11.140625" style="7" customWidth="1"/>
    <col min="12291" max="12291" width="12.42578125" style="7" customWidth="1"/>
    <col min="12292" max="12293" width="11.28515625" style="7" customWidth="1"/>
    <col min="12294" max="12294" width="10.5703125" style="7" customWidth="1"/>
    <col min="12295" max="12295" width="16.42578125" style="7" customWidth="1"/>
    <col min="12296" max="12296" width="12.140625" style="7" customWidth="1"/>
    <col min="12297" max="12297" width="10.85546875" style="7" customWidth="1"/>
    <col min="12298" max="12298" width="11.7109375" style="7" customWidth="1"/>
    <col min="12299" max="12519" width="9.140625" style="7"/>
    <col min="12520" max="12520" width="6.28515625" style="7" customWidth="1"/>
    <col min="12521" max="12521" width="20.7109375" style="7" customWidth="1"/>
    <col min="12522" max="12522" width="10" style="7" customWidth="1"/>
    <col min="12523" max="12523" width="1" style="7" customWidth="1"/>
    <col min="12524" max="12524" width="10" style="7" customWidth="1"/>
    <col min="12525" max="12525" width="1.28515625" style="7" customWidth="1"/>
    <col min="12526" max="12526" width="9.7109375" style="7" customWidth="1"/>
    <col min="12527" max="12527" width="1.140625" style="7" customWidth="1"/>
    <col min="12528" max="12528" width="12.5703125" style="7" customWidth="1"/>
    <col min="12529" max="12529" width="4.7109375" style="7" customWidth="1"/>
    <col min="12530" max="12530" width="10.7109375" style="7" customWidth="1"/>
    <col min="12531" max="12531" width="4.5703125" style="7" customWidth="1"/>
    <col min="12532" max="12532" width="12.28515625" style="7" customWidth="1"/>
    <col min="12533" max="12533" width="1.42578125" style="7" customWidth="1"/>
    <col min="12534" max="12534" width="14.140625" style="7" customWidth="1"/>
    <col min="12535" max="12535" width="13.7109375" style="7" customWidth="1"/>
    <col min="12536" max="12536" width="8" style="7" customWidth="1"/>
    <col min="12537" max="12537" width="1.42578125" style="7" customWidth="1"/>
    <col min="12538" max="12538" width="11.28515625" style="7" customWidth="1"/>
    <col min="12539" max="12539" width="12.85546875" style="7" customWidth="1"/>
    <col min="12540" max="12540" width="10.5703125" style="7" customWidth="1"/>
    <col min="12541" max="12541" width="12" style="7" customWidth="1"/>
    <col min="12542" max="12542" width="11.140625" style="7" customWidth="1"/>
    <col min="12543" max="12543" width="9.28515625" style="7" customWidth="1"/>
    <col min="12544" max="12544" width="1.42578125" style="7" customWidth="1"/>
    <col min="12545" max="12545" width="17.28515625" style="7" customWidth="1"/>
    <col min="12546" max="12546" width="11.140625" style="7" customWidth="1"/>
    <col min="12547" max="12547" width="12.42578125" style="7" customWidth="1"/>
    <col min="12548" max="12549" width="11.28515625" style="7" customWidth="1"/>
    <col min="12550" max="12550" width="10.5703125" style="7" customWidth="1"/>
    <col min="12551" max="12551" width="16.42578125" style="7" customWidth="1"/>
    <col min="12552" max="12552" width="12.140625" style="7" customWidth="1"/>
    <col min="12553" max="12553" width="10.85546875" style="7" customWidth="1"/>
    <col min="12554" max="12554" width="11.7109375" style="7" customWidth="1"/>
    <col min="12555" max="12775" width="9.140625" style="7"/>
    <col min="12776" max="12776" width="6.28515625" style="7" customWidth="1"/>
    <col min="12777" max="12777" width="20.7109375" style="7" customWidth="1"/>
    <col min="12778" max="12778" width="10" style="7" customWidth="1"/>
    <col min="12779" max="12779" width="1" style="7" customWidth="1"/>
    <col min="12780" max="12780" width="10" style="7" customWidth="1"/>
    <col min="12781" max="12781" width="1.28515625" style="7" customWidth="1"/>
    <col min="12782" max="12782" width="9.7109375" style="7" customWidth="1"/>
    <col min="12783" max="12783" width="1.140625" style="7" customWidth="1"/>
    <col min="12784" max="12784" width="12.5703125" style="7" customWidth="1"/>
    <col min="12785" max="12785" width="4.7109375" style="7" customWidth="1"/>
    <col min="12786" max="12786" width="10.7109375" style="7" customWidth="1"/>
    <col min="12787" max="12787" width="4.5703125" style="7" customWidth="1"/>
    <col min="12788" max="12788" width="12.28515625" style="7" customWidth="1"/>
    <col min="12789" max="12789" width="1.42578125" style="7" customWidth="1"/>
    <col min="12790" max="12790" width="14.140625" style="7" customWidth="1"/>
    <col min="12791" max="12791" width="13.7109375" style="7" customWidth="1"/>
    <col min="12792" max="12792" width="8" style="7" customWidth="1"/>
    <col min="12793" max="12793" width="1.42578125" style="7" customWidth="1"/>
    <col min="12794" max="12794" width="11.28515625" style="7" customWidth="1"/>
    <col min="12795" max="12795" width="12.85546875" style="7" customWidth="1"/>
    <col min="12796" max="12796" width="10.5703125" style="7" customWidth="1"/>
    <col min="12797" max="12797" width="12" style="7" customWidth="1"/>
    <col min="12798" max="12798" width="11.140625" style="7" customWidth="1"/>
    <col min="12799" max="12799" width="9.28515625" style="7" customWidth="1"/>
    <col min="12800" max="12800" width="1.42578125" style="7" customWidth="1"/>
    <col min="12801" max="12801" width="17.28515625" style="7" customWidth="1"/>
    <col min="12802" max="12802" width="11.140625" style="7" customWidth="1"/>
    <col min="12803" max="12803" width="12.42578125" style="7" customWidth="1"/>
    <col min="12804" max="12805" width="11.28515625" style="7" customWidth="1"/>
    <col min="12806" max="12806" width="10.5703125" style="7" customWidth="1"/>
    <col min="12807" max="12807" width="16.42578125" style="7" customWidth="1"/>
    <col min="12808" max="12808" width="12.140625" style="7" customWidth="1"/>
    <col min="12809" max="12809" width="10.85546875" style="7" customWidth="1"/>
    <col min="12810" max="12810" width="11.7109375" style="7" customWidth="1"/>
    <col min="12811" max="13031" width="9.140625" style="7"/>
    <col min="13032" max="13032" width="6.28515625" style="7" customWidth="1"/>
    <col min="13033" max="13033" width="20.7109375" style="7" customWidth="1"/>
    <col min="13034" max="13034" width="10" style="7" customWidth="1"/>
    <col min="13035" max="13035" width="1" style="7" customWidth="1"/>
    <col min="13036" max="13036" width="10" style="7" customWidth="1"/>
    <col min="13037" max="13037" width="1.28515625" style="7" customWidth="1"/>
    <col min="13038" max="13038" width="9.7109375" style="7" customWidth="1"/>
    <col min="13039" max="13039" width="1.140625" style="7" customWidth="1"/>
    <col min="13040" max="13040" width="12.5703125" style="7" customWidth="1"/>
    <col min="13041" max="13041" width="4.7109375" style="7" customWidth="1"/>
    <col min="13042" max="13042" width="10.7109375" style="7" customWidth="1"/>
    <col min="13043" max="13043" width="4.5703125" style="7" customWidth="1"/>
    <col min="13044" max="13044" width="12.28515625" style="7" customWidth="1"/>
    <col min="13045" max="13045" width="1.42578125" style="7" customWidth="1"/>
    <col min="13046" max="13046" width="14.140625" style="7" customWidth="1"/>
    <col min="13047" max="13047" width="13.7109375" style="7" customWidth="1"/>
    <col min="13048" max="13048" width="8" style="7" customWidth="1"/>
    <col min="13049" max="13049" width="1.42578125" style="7" customWidth="1"/>
    <col min="13050" max="13050" width="11.28515625" style="7" customWidth="1"/>
    <col min="13051" max="13051" width="12.85546875" style="7" customWidth="1"/>
    <col min="13052" max="13052" width="10.5703125" style="7" customWidth="1"/>
    <col min="13053" max="13053" width="12" style="7" customWidth="1"/>
    <col min="13054" max="13054" width="11.140625" style="7" customWidth="1"/>
    <col min="13055" max="13055" width="9.28515625" style="7" customWidth="1"/>
    <col min="13056" max="13056" width="1.42578125" style="7" customWidth="1"/>
    <col min="13057" max="13057" width="17.28515625" style="7" customWidth="1"/>
    <col min="13058" max="13058" width="11.140625" style="7" customWidth="1"/>
    <col min="13059" max="13059" width="12.42578125" style="7" customWidth="1"/>
    <col min="13060" max="13061" width="11.28515625" style="7" customWidth="1"/>
    <col min="13062" max="13062" width="10.5703125" style="7" customWidth="1"/>
    <col min="13063" max="13063" width="16.42578125" style="7" customWidth="1"/>
    <col min="13064" max="13064" width="12.140625" style="7" customWidth="1"/>
    <col min="13065" max="13065" width="10.85546875" style="7" customWidth="1"/>
    <col min="13066" max="13066" width="11.7109375" style="7" customWidth="1"/>
    <col min="13067" max="13287" width="9.140625" style="7"/>
    <col min="13288" max="13288" width="6.28515625" style="7" customWidth="1"/>
    <col min="13289" max="13289" width="20.7109375" style="7" customWidth="1"/>
    <col min="13290" max="13290" width="10" style="7" customWidth="1"/>
    <col min="13291" max="13291" width="1" style="7" customWidth="1"/>
    <col min="13292" max="13292" width="10" style="7" customWidth="1"/>
    <col min="13293" max="13293" width="1.28515625" style="7" customWidth="1"/>
    <col min="13294" max="13294" width="9.7109375" style="7" customWidth="1"/>
    <col min="13295" max="13295" width="1.140625" style="7" customWidth="1"/>
    <col min="13296" max="13296" width="12.5703125" style="7" customWidth="1"/>
    <col min="13297" max="13297" width="4.7109375" style="7" customWidth="1"/>
    <col min="13298" max="13298" width="10.7109375" style="7" customWidth="1"/>
    <col min="13299" max="13299" width="4.5703125" style="7" customWidth="1"/>
    <col min="13300" max="13300" width="12.28515625" style="7" customWidth="1"/>
    <col min="13301" max="13301" width="1.42578125" style="7" customWidth="1"/>
    <col min="13302" max="13302" width="14.140625" style="7" customWidth="1"/>
    <col min="13303" max="13303" width="13.7109375" style="7" customWidth="1"/>
    <col min="13304" max="13304" width="8" style="7" customWidth="1"/>
    <col min="13305" max="13305" width="1.42578125" style="7" customWidth="1"/>
    <col min="13306" max="13306" width="11.28515625" style="7" customWidth="1"/>
    <col min="13307" max="13307" width="12.85546875" style="7" customWidth="1"/>
    <col min="13308" max="13308" width="10.5703125" style="7" customWidth="1"/>
    <col min="13309" max="13309" width="12" style="7" customWidth="1"/>
    <col min="13310" max="13310" width="11.140625" style="7" customWidth="1"/>
    <col min="13311" max="13311" width="9.28515625" style="7" customWidth="1"/>
    <col min="13312" max="13312" width="1.42578125" style="7" customWidth="1"/>
    <col min="13313" max="13313" width="17.28515625" style="7" customWidth="1"/>
    <col min="13314" max="13314" width="11.140625" style="7" customWidth="1"/>
    <col min="13315" max="13315" width="12.42578125" style="7" customWidth="1"/>
    <col min="13316" max="13317" width="11.28515625" style="7" customWidth="1"/>
    <col min="13318" max="13318" width="10.5703125" style="7" customWidth="1"/>
    <col min="13319" max="13319" width="16.42578125" style="7" customWidth="1"/>
    <col min="13320" max="13320" width="12.140625" style="7" customWidth="1"/>
    <col min="13321" max="13321" width="10.85546875" style="7" customWidth="1"/>
    <col min="13322" max="13322" width="11.7109375" style="7" customWidth="1"/>
    <col min="13323" max="13543" width="9.140625" style="7"/>
    <col min="13544" max="13544" width="6.28515625" style="7" customWidth="1"/>
    <col min="13545" max="13545" width="20.7109375" style="7" customWidth="1"/>
    <col min="13546" max="13546" width="10" style="7" customWidth="1"/>
    <col min="13547" max="13547" width="1" style="7" customWidth="1"/>
    <col min="13548" max="13548" width="10" style="7" customWidth="1"/>
    <col min="13549" max="13549" width="1.28515625" style="7" customWidth="1"/>
    <col min="13550" max="13550" width="9.7109375" style="7" customWidth="1"/>
    <col min="13551" max="13551" width="1.140625" style="7" customWidth="1"/>
    <col min="13552" max="13552" width="12.5703125" style="7" customWidth="1"/>
    <col min="13553" max="13553" width="4.7109375" style="7" customWidth="1"/>
    <col min="13554" max="13554" width="10.7109375" style="7" customWidth="1"/>
    <col min="13555" max="13555" width="4.5703125" style="7" customWidth="1"/>
    <col min="13556" max="13556" width="12.28515625" style="7" customWidth="1"/>
    <col min="13557" max="13557" width="1.42578125" style="7" customWidth="1"/>
    <col min="13558" max="13558" width="14.140625" style="7" customWidth="1"/>
    <col min="13559" max="13559" width="13.7109375" style="7" customWidth="1"/>
    <col min="13560" max="13560" width="8" style="7" customWidth="1"/>
    <col min="13561" max="13561" width="1.42578125" style="7" customWidth="1"/>
    <col min="13562" max="13562" width="11.28515625" style="7" customWidth="1"/>
    <col min="13563" max="13563" width="12.85546875" style="7" customWidth="1"/>
    <col min="13564" max="13564" width="10.5703125" style="7" customWidth="1"/>
    <col min="13565" max="13565" width="12" style="7" customWidth="1"/>
    <col min="13566" max="13566" width="11.140625" style="7" customWidth="1"/>
    <col min="13567" max="13567" width="9.28515625" style="7" customWidth="1"/>
    <col min="13568" max="13568" width="1.42578125" style="7" customWidth="1"/>
    <col min="13569" max="13569" width="17.28515625" style="7" customWidth="1"/>
    <col min="13570" max="13570" width="11.140625" style="7" customWidth="1"/>
    <col min="13571" max="13571" width="12.42578125" style="7" customWidth="1"/>
    <col min="13572" max="13573" width="11.28515625" style="7" customWidth="1"/>
    <col min="13574" max="13574" width="10.5703125" style="7" customWidth="1"/>
    <col min="13575" max="13575" width="16.42578125" style="7" customWidth="1"/>
    <col min="13576" max="13576" width="12.140625" style="7" customWidth="1"/>
    <col min="13577" max="13577" width="10.85546875" style="7" customWidth="1"/>
    <col min="13578" max="13578" width="11.7109375" style="7" customWidth="1"/>
    <col min="13579" max="13799" width="9.140625" style="7"/>
    <col min="13800" max="13800" width="6.28515625" style="7" customWidth="1"/>
    <col min="13801" max="13801" width="20.7109375" style="7" customWidth="1"/>
    <col min="13802" max="13802" width="10" style="7" customWidth="1"/>
    <col min="13803" max="13803" width="1" style="7" customWidth="1"/>
    <col min="13804" max="13804" width="10" style="7" customWidth="1"/>
    <col min="13805" max="13805" width="1.28515625" style="7" customWidth="1"/>
    <col min="13806" max="13806" width="9.7109375" style="7" customWidth="1"/>
    <col min="13807" max="13807" width="1.140625" style="7" customWidth="1"/>
    <col min="13808" max="13808" width="12.5703125" style="7" customWidth="1"/>
    <col min="13809" max="13809" width="4.7109375" style="7" customWidth="1"/>
    <col min="13810" max="13810" width="10.7109375" style="7" customWidth="1"/>
    <col min="13811" max="13811" width="4.5703125" style="7" customWidth="1"/>
    <col min="13812" max="13812" width="12.28515625" style="7" customWidth="1"/>
    <col min="13813" max="13813" width="1.42578125" style="7" customWidth="1"/>
    <col min="13814" max="13814" width="14.140625" style="7" customWidth="1"/>
    <col min="13815" max="13815" width="13.7109375" style="7" customWidth="1"/>
    <col min="13816" max="13816" width="8" style="7" customWidth="1"/>
    <col min="13817" max="13817" width="1.42578125" style="7" customWidth="1"/>
    <col min="13818" max="13818" width="11.28515625" style="7" customWidth="1"/>
    <col min="13819" max="13819" width="12.85546875" style="7" customWidth="1"/>
    <col min="13820" max="13820" width="10.5703125" style="7" customWidth="1"/>
    <col min="13821" max="13821" width="12" style="7" customWidth="1"/>
    <col min="13822" max="13822" width="11.140625" style="7" customWidth="1"/>
    <col min="13823" max="13823" width="9.28515625" style="7" customWidth="1"/>
    <col min="13824" max="13824" width="1.42578125" style="7" customWidth="1"/>
    <col min="13825" max="13825" width="17.28515625" style="7" customWidth="1"/>
    <col min="13826" max="13826" width="11.140625" style="7" customWidth="1"/>
    <col min="13827" max="13827" width="12.42578125" style="7" customWidth="1"/>
    <col min="13828" max="13829" width="11.28515625" style="7" customWidth="1"/>
    <col min="13830" max="13830" width="10.5703125" style="7" customWidth="1"/>
    <col min="13831" max="13831" width="16.42578125" style="7" customWidth="1"/>
    <col min="13832" max="13832" width="12.140625" style="7" customWidth="1"/>
    <col min="13833" max="13833" width="10.85546875" style="7" customWidth="1"/>
    <col min="13834" max="13834" width="11.7109375" style="7" customWidth="1"/>
    <col min="13835" max="14055" width="9.140625" style="7"/>
    <col min="14056" max="14056" width="6.28515625" style="7" customWidth="1"/>
    <col min="14057" max="14057" width="20.7109375" style="7" customWidth="1"/>
    <col min="14058" max="14058" width="10" style="7" customWidth="1"/>
    <col min="14059" max="14059" width="1" style="7" customWidth="1"/>
    <col min="14060" max="14060" width="10" style="7" customWidth="1"/>
    <col min="14061" max="14061" width="1.28515625" style="7" customWidth="1"/>
    <col min="14062" max="14062" width="9.7109375" style="7" customWidth="1"/>
    <col min="14063" max="14063" width="1.140625" style="7" customWidth="1"/>
    <col min="14064" max="14064" width="12.5703125" style="7" customWidth="1"/>
    <col min="14065" max="14065" width="4.7109375" style="7" customWidth="1"/>
    <col min="14066" max="14066" width="10.7109375" style="7" customWidth="1"/>
    <col min="14067" max="14067" width="4.5703125" style="7" customWidth="1"/>
    <col min="14068" max="14068" width="12.28515625" style="7" customWidth="1"/>
    <col min="14069" max="14069" width="1.42578125" style="7" customWidth="1"/>
    <col min="14070" max="14070" width="14.140625" style="7" customWidth="1"/>
    <col min="14071" max="14071" width="13.7109375" style="7" customWidth="1"/>
    <col min="14072" max="14072" width="8" style="7" customWidth="1"/>
    <col min="14073" max="14073" width="1.42578125" style="7" customWidth="1"/>
    <col min="14074" max="14074" width="11.28515625" style="7" customWidth="1"/>
    <col min="14075" max="14075" width="12.85546875" style="7" customWidth="1"/>
    <col min="14076" max="14076" width="10.5703125" style="7" customWidth="1"/>
    <col min="14077" max="14077" width="12" style="7" customWidth="1"/>
    <col min="14078" max="14078" width="11.140625" style="7" customWidth="1"/>
    <col min="14079" max="14079" width="9.28515625" style="7" customWidth="1"/>
    <col min="14080" max="14080" width="1.42578125" style="7" customWidth="1"/>
    <col min="14081" max="14081" width="17.28515625" style="7" customWidth="1"/>
    <col min="14082" max="14082" width="11.140625" style="7" customWidth="1"/>
    <col min="14083" max="14083" width="12.42578125" style="7" customWidth="1"/>
    <col min="14084" max="14085" width="11.28515625" style="7" customWidth="1"/>
    <col min="14086" max="14086" width="10.5703125" style="7" customWidth="1"/>
    <col min="14087" max="14087" width="16.42578125" style="7" customWidth="1"/>
    <col min="14088" max="14088" width="12.140625" style="7" customWidth="1"/>
    <col min="14089" max="14089" width="10.85546875" style="7" customWidth="1"/>
    <col min="14090" max="14090" width="11.7109375" style="7" customWidth="1"/>
    <col min="14091" max="14311" width="9.140625" style="7"/>
    <col min="14312" max="14312" width="6.28515625" style="7" customWidth="1"/>
    <col min="14313" max="14313" width="20.7109375" style="7" customWidth="1"/>
    <col min="14314" max="14314" width="10" style="7" customWidth="1"/>
    <col min="14315" max="14315" width="1" style="7" customWidth="1"/>
    <col min="14316" max="14316" width="10" style="7" customWidth="1"/>
    <col min="14317" max="14317" width="1.28515625" style="7" customWidth="1"/>
    <col min="14318" max="14318" width="9.7109375" style="7" customWidth="1"/>
    <col min="14319" max="14319" width="1.140625" style="7" customWidth="1"/>
    <col min="14320" max="14320" width="12.5703125" style="7" customWidth="1"/>
    <col min="14321" max="14321" width="4.7109375" style="7" customWidth="1"/>
    <col min="14322" max="14322" width="10.7109375" style="7" customWidth="1"/>
    <col min="14323" max="14323" width="4.5703125" style="7" customWidth="1"/>
    <col min="14324" max="14324" width="12.28515625" style="7" customWidth="1"/>
    <col min="14325" max="14325" width="1.42578125" style="7" customWidth="1"/>
    <col min="14326" max="14326" width="14.140625" style="7" customWidth="1"/>
    <col min="14327" max="14327" width="13.7109375" style="7" customWidth="1"/>
    <col min="14328" max="14328" width="8" style="7" customWidth="1"/>
    <col min="14329" max="14329" width="1.42578125" style="7" customWidth="1"/>
    <col min="14330" max="14330" width="11.28515625" style="7" customWidth="1"/>
    <col min="14331" max="14331" width="12.85546875" style="7" customWidth="1"/>
    <col min="14332" max="14332" width="10.5703125" style="7" customWidth="1"/>
    <col min="14333" max="14333" width="12" style="7" customWidth="1"/>
    <col min="14334" max="14334" width="11.140625" style="7" customWidth="1"/>
    <col min="14335" max="14335" width="9.28515625" style="7" customWidth="1"/>
    <col min="14336" max="14336" width="1.42578125" style="7" customWidth="1"/>
    <col min="14337" max="14337" width="17.28515625" style="7" customWidth="1"/>
    <col min="14338" max="14338" width="11.140625" style="7" customWidth="1"/>
    <col min="14339" max="14339" width="12.42578125" style="7" customWidth="1"/>
    <col min="14340" max="14341" width="11.28515625" style="7" customWidth="1"/>
    <col min="14342" max="14342" width="10.5703125" style="7" customWidth="1"/>
    <col min="14343" max="14343" width="16.42578125" style="7" customWidth="1"/>
    <col min="14344" max="14344" width="12.140625" style="7" customWidth="1"/>
    <col min="14345" max="14345" width="10.85546875" style="7" customWidth="1"/>
    <col min="14346" max="14346" width="11.7109375" style="7" customWidth="1"/>
    <col min="14347" max="14567" width="9.140625" style="7"/>
    <col min="14568" max="14568" width="6.28515625" style="7" customWidth="1"/>
    <col min="14569" max="14569" width="20.7109375" style="7" customWidth="1"/>
    <col min="14570" max="14570" width="10" style="7" customWidth="1"/>
    <col min="14571" max="14571" width="1" style="7" customWidth="1"/>
    <col min="14572" max="14572" width="10" style="7" customWidth="1"/>
    <col min="14573" max="14573" width="1.28515625" style="7" customWidth="1"/>
    <col min="14574" max="14574" width="9.7109375" style="7" customWidth="1"/>
    <col min="14575" max="14575" width="1.140625" style="7" customWidth="1"/>
    <col min="14576" max="14576" width="12.5703125" style="7" customWidth="1"/>
    <col min="14577" max="14577" width="4.7109375" style="7" customWidth="1"/>
    <col min="14578" max="14578" width="10.7109375" style="7" customWidth="1"/>
    <col min="14579" max="14579" width="4.5703125" style="7" customWidth="1"/>
    <col min="14580" max="14580" width="12.28515625" style="7" customWidth="1"/>
    <col min="14581" max="14581" width="1.42578125" style="7" customWidth="1"/>
    <col min="14582" max="14582" width="14.140625" style="7" customWidth="1"/>
    <col min="14583" max="14583" width="13.7109375" style="7" customWidth="1"/>
    <col min="14584" max="14584" width="8" style="7" customWidth="1"/>
    <col min="14585" max="14585" width="1.42578125" style="7" customWidth="1"/>
    <col min="14586" max="14586" width="11.28515625" style="7" customWidth="1"/>
    <col min="14587" max="14587" width="12.85546875" style="7" customWidth="1"/>
    <col min="14588" max="14588" width="10.5703125" style="7" customWidth="1"/>
    <col min="14589" max="14589" width="12" style="7" customWidth="1"/>
    <col min="14590" max="14590" width="11.140625" style="7" customWidth="1"/>
    <col min="14591" max="14591" width="9.28515625" style="7" customWidth="1"/>
    <col min="14592" max="14592" width="1.42578125" style="7" customWidth="1"/>
    <col min="14593" max="14593" width="17.28515625" style="7" customWidth="1"/>
    <col min="14594" max="14594" width="11.140625" style="7" customWidth="1"/>
    <col min="14595" max="14595" width="12.42578125" style="7" customWidth="1"/>
    <col min="14596" max="14597" width="11.28515625" style="7" customWidth="1"/>
    <col min="14598" max="14598" width="10.5703125" style="7" customWidth="1"/>
    <col min="14599" max="14599" width="16.42578125" style="7" customWidth="1"/>
    <col min="14600" max="14600" width="12.140625" style="7" customWidth="1"/>
    <col min="14601" max="14601" width="10.85546875" style="7" customWidth="1"/>
    <col min="14602" max="14602" width="11.7109375" style="7" customWidth="1"/>
    <col min="14603" max="14823" width="9.140625" style="7"/>
    <col min="14824" max="14824" width="6.28515625" style="7" customWidth="1"/>
    <col min="14825" max="14825" width="20.7109375" style="7" customWidth="1"/>
    <col min="14826" max="14826" width="10" style="7" customWidth="1"/>
    <col min="14827" max="14827" width="1" style="7" customWidth="1"/>
    <col min="14828" max="14828" width="10" style="7" customWidth="1"/>
    <col min="14829" max="14829" width="1.28515625" style="7" customWidth="1"/>
    <col min="14830" max="14830" width="9.7109375" style="7" customWidth="1"/>
    <col min="14831" max="14831" width="1.140625" style="7" customWidth="1"/>
    <col min="14832" max="14832" width="12.5703125" style="7" customWidth="1"/>
    <col min="14833" max="14833" width="4.7109375" style="7" customWidth="1"/>
    <col min="14834" max="14834" width="10.7109375" style="7" customWidth="1"/>
    <col min="14835" max="14835" width="4.5703125" style="7" customWidth="1"/>
    <col min="14836" max="14836" width="12.28515625" style="7" customWidth="1"/>
    <col min="14837" max="14837" width="1.42578125" style="7" customWidth="1"/>
    <col min="14838" max="14838" width="14.140625" style="7" customWidth="1"/>
    <col min="14839" max="14839" width="13.7109375" style="7" customWidth="1"/>
    <col min="14840" max="14840" width="8" style="7" customWidth="1"/>
    <col min="14841" max="14841" width="1.42578125" style="7" customWidth="1"/>
    <col min="14842" max="14842" width="11.28515625" style="7" customWidth="1"/>
    <col min="14843" max="14843" width="12.85546875" style="7" customWidth="1"/>
    <col min="14844" max="14844" width="10.5703125" style="7" customWidth="1"/>
    <col min="14845" max="14845" width="12" style="7" customWidth="1"/>
    <col min="14846" max="14846" width="11.140625" style="7" customWidth="1"/>
    <col min="14847" max="14847" width="9.28515625" style="7" customWidth="1"/>
    <col min="14848" max="14848" width="1.42578125" style="7" customWidth="1"/>
    <col min="14849" max="14849" width="17.28515625" style="7" customWidth="1"/>
    <col min="14850" max="14850" width="11.140625" style="7" customWidth="1"/>
    <col min="14851" max="14851" width="12.42578125" style="7" customWidth="1"/>
    <col min="14852" max="14853" width="11.28515625" style="7" customWidth="1"/>
    <col min="14854" max="14854" width="10.5703125" style="7" customWidth="1"/>
    <col min="14855" max="14855" width="16.42578125" style="7" customWidth="1"/>
    <col min="14856" max="14856" width="12.140625" style="7" customWidth="1"/>
    <col min="14857" max="14857" width="10.85546875" style="7" customWidth="1"/>
    <col min="14858" max="14858" width="11.7109375" style="7" customWidth="1"/>
    <col min="14859" max="15079" width="9.140625" style="7"/>
    <col min="15080" max="15080" width="6.28515625" style="7" customWidth="1"/>
    <col min="15081" max="15081" width="20.7109375" style="7" customWidth="1"/>
    <col min="15082" max="15082" width="10" style="7" customWidth="1"/>
    <col min="15083" max="15083" width="1" style="7" customWidth="1"/>
    <col min="15084" max="15084" width="10" style="7" customWidth="1"/>
    <col min="15085" max="15085" width="1.28515625" style="7" customWidth="1"/>
    <col min="15086" max="15086" width="9.7109375" style="7" customWidth="1"/>
    <col min="15087" max="15087" width="1.140625" style="7" customWidth="1"/>
    <col min="15088" max="15088" width="12.5703125" style="7" customWidth="1"/>
    <col min="15089" max="15089" width="4.7109375" style="7" customWidth="1"/>
    <col min="15090" max="15090" width="10.7109375" style="7" customWidth="1"/>
    <col min="15091" max="15091" width="4.5703125" style="7" customWidth="1"/>
    <col min="15092" max="15092" width="12.28515625" style="7" customWidth="1"/>
    <col min="15093" max="15093" width="1.42578125" style="7" customWidth="1"/>
    <col min="15094" max="15094" width="14.140625" style="7" customWidth="1"/>
    <col min="15095" max="15095" width="13.7109375" style="7" customWidth="1"/>
    <col min="15096" max="15096" width="8" style="7" customWidth="1"/>
    <col min="15097" max="15097" width="1.42578125" style="7" customWidth="1"/>
    <col min="15098" max="15098" width="11.28515625" style="7" customWidth="1"/>
    <col min="15099" max="15099" width="12.85546875" style="7" customWidth="1"/>
    <col min="15100" max="15100" width="10.5703125" style="7" customWidth="1"/>
    <col min="15101" max="15101" width="12" style="7" customWidth="1"/>
    <col min="15102" max="15102" width="11.140625" style="7" customWidth="1"/>
    <col min="15103" max="15103" width="9.28515625" style="7" customWidth="1"/>
    <col min="15104" max="15104" width="1.42578125" style="7" customWidth="1"/>
    <col min="15105" max="15105" width="17.28515625" style="7" customWidth="1"/>
    <col min="15106" max="15106" width="11.140625" style="7" customWidth="1"/>
    <col min="15107" max="15107" width="12.42578125" style="7" customWidth="1"/>
    <col min="15108" max="15109" width="11.28515625" style="7" customWidth="1"/>
    <col min="15110" max="15110" width="10.5703125" style="7" customWidth="1"/>
    <col min="15111" max="15111" width="16.42578125" style="7" customWidth="1"/>
    <col min="15112" max="15112" width="12.140625" style="7" customWidth="1"/>
    <col min="15113" max="15113" width="10.85546875" style="7" customWidth="1"/>
    <col min="15114" max="15114" width="11.7109375" style="7" customWidth="1"/>
    <col min="15115" max="15335" width="9.140625" style="7"/>
    <col min="15336" max="15336" width="6.28515625" style="7" customWidth="1"/>
    <col min="15337" max="15337" width="20.7109375" style="7" customWidth="1"/>
    <col min="15338" max="15338" width="10" style="7" customWidth="1"/>
    <col min="15339" max="15339" width="1" style="7" customWidth="1"/>
    <col min="15340" max="15340" width="10" style="7" customWidth="1"/>
    <col min="15341" max="15341" width="1.28515625" style="7" customWidth="1"/>
    <col min="15342" max="15342" width="9.7109375" style="7" customWidth="1"/>
    <col min="15343" max="15343" width="1.140625" style="7" customWidth="1"/>
    <col min="15344" max="15344" width="12.5703125" style="7" customWidth="1"/>
    <col min="15345" max="15345" width="4.7109375" style="7" customWidth="1"/>
    <col min="15346" max="15346" width="10.7109375" style="7" customWidth="1"/>
    <col min="15347" max="15347" width="4.5703125" style="7" customWidth="1"/>
    <col min="15348" max="15348" width="12.28515625" style="7" customWidth="1"/>
    <col min="15349" max="15349" width="1.42578125" style="7" customWidth="1"/>
    <col min="15350" max="15350" width="14.140625" style="7" customWidth="1"/>
    <col min="15351" max="15351" width="13.7109375" style="7" customWidth="1"/>
    <col min="15352" max="15352" width="8" style="7" customWidth="1"/>
    <col min="15353" max="15353" width="1.42578125" style="7" customWidth="1"/>
    <col min="15354" max="15354" width="11.28515625" style="7" customWidth="1"/>
    <col min="15355" max="15355" width="12.85546875" style="7" customWidth="1"/>
    <col min="15356" max="15356" width="10.5703125" style="7" customWidth="1"/>
    <col min="15357" max="15357" width="12" style="7" customWidth="1"/>
    <col min="15358" max="15358" width="11.140625" style="7" customWidth="1"/>
    <col min="15359" max="15359" width="9.28515625" style="7" customWidth="1"/>
    <col min="15360" max="15360" width="1.42578125" style="7" customWidth="1"/>
    <col min="15361" max="15361" width="17.28515625" style="7" customWidth="1"/>
    <col min="15362" max="15362" width="11.140625" style="7" customWidth="1"/>
    <col min="15363" max="15363" width="12.42578125" style="7" customWidth="1"/>
    <col min="15364" max="15365" width="11.28515625" style="7" customWidth="1"/>
    <col min="15366" max="15366" width="10.5703125" style="7" customWidth="1"/>
    <col min="15367" max="15367" width="16.42578125" style="7" customWidth="1"/>
    <col min="15368" max="15368" width="12.140625" style="7" customWidth="1"/>
    <col min="15369" max="15369" width="10.85546875" style="7" customWidth="1"/>
    <col min="15370" max="15370" width="11.7109375" style="7" customWidth="1"/>
    <col min="15371" max="15591" width="9.140625" style="7"/>
    <col min="15592" max="15592" width="6.28515625" style="7" customWidth="1"/>
    <col min="15593" max="15593" width="20.7109375" style="7" customWidth="1"/>
    <col min="15594" max="15594" width="10" style="7" customWidth="1"/>
    <col min="15595" max="15595" width="1" style="7" customWidth="1"/>
    <col min="15596" max="15596" width="10" style="7" customWidth="1"/>
    <col min="15597" max="15597" width="1.28515625" style="7" customWidth="1"/>
    <col min="15598" max="15598" width="9.7109375" style="7" customWidth="1"/>
    <col min="15599" max="15599" width="1.140625" style="7" customWidth="1"/>
    <col min="15600" max="15600" width="12.5703125" style="7" customWidth="1"/>
    <col min="15601" max="15601" width="4.7109375" style="7" customWidth="1"/>
    <col min="15602" max="15602" width="10.7109375" style="7" customWidth="1"/>
    <col min="15603" max="15603" width="4.5703125" style="7" customWidth="1"/>
    <col min="15604" max="15604" width="12.28515625" style="7" customWidth="1"/>
    <col min="15605" max="15605" width="1.42578125" style="7" customWidth="1"/>
    <col min="15606" max="15606" width="14.140625" style="7" customWidth="1"/>
    <col min="15607" max="15607" width="13.7109375" style="7" customWidth="1"/>
    <col min="15608" max="15608" width="8" style="7" customWidth="1"/>
    <col min="15609" max="15609" width="1.42578125" style="7" customWidth="1"/>
    <col min="15610" max="15610" width="11.28515625" style="7" customWidth="1"/>
    <col min="15611" max="15611" width="12.85546875" style="7" customWidth="1"/>
    <col min="15612" max="15612" width="10.5703125" style="7" customWidth="1"/>
    <col min="15613" max="15613" width="12" style="7" customWidth="1"/>
    <col min="15614" max="15614" width="11.140625" style="7" customWidth="1"/>
    <col min="15615" max="15615" width="9.28515625" style="7" customWidth="1"/>
    <col min="15616" max="15616" width="1.42578125" style="7" customWidth="1"/>
    <col min="15617" max="15617" width="17.28515625" style="7" customWidth="1"/>
    <col min="15618" max="15618" width="11.140625" style="7" customWidth="1"/>
    <col min="15619" max="15619" width="12.42578125" style="7" customWidth="1"/>
    <col min="15620" max="15621" width="11.28515625" style="7" customWidth="1"/>
    <col min="15622" max="15622" width="10.5703125" style="7" customWidth="1"/>
    <col min="15623" max="15623" width="16.42578125" style="7" customWidth="1"/>
    <col min="15624" max="15624" width="12.140625" style="7" customWidth="1"/>
    <col min="15625" max="15625" width="10.85546875" style="7" customWidth="1"/>
    <col min="15626" max="15626" width="11.7109375" style="7" customWidth="1"/>
    <col min="15627" max="15847" width="9.140625" style="7"/>
    <col min="15848" max="15848" width="6.28515625" style="7" customWidth="1"/>
    <col min="15849" max="15849" width="20.7109375" style="7" customWidth="1"/>
    <col min="15850" max="15850" width="10" style="7" customWidth="1"/>
    <col min="15851" max="15851" width="1" style="7" customWidth="1"/>
    <col min="15852" max="15852" width="10" style="7" customWidth="1"/>
    <col min="15853" max="15853" width="1.28515625" style="7" customWidth="1"/>
    <col min="15854" max="15854" width="9.7109375" style="7" customWidth="1"/>
    <col min="15855" max="15855" width="1.140625" style="7" customWidth="1"/>
    <col min="15856" max="15856" width="12.5703125" style="7" customWidth="1"/>
    <col min="15857" max="15857" width="4.7109375" style="7" customWidth="1"/>
    <col min="15858" max="15858" width="10.7109375" style="7" customWidth="1"/>
    <col min="15859" max="15859" width="4.5703125" style="7" customWidth="1"/>
    <col min="15860" max="15860" width="12.28515625" style="7" customWidth="1"/>
    <col min="15861" max="15861" width="1.42578125" style="7" customWidth="1"/>
    <col min="15862" max="15862" width="14.140625" style="7" customWidth="1"/>
    <col min="15863" max="15863" width="13.7109375" style="7" customWidth="1"/>
    <col min="15864" max="15864" width="8" style="7" customWidth="1"/>
    <col min="15865" max="15865" width="1.42578125" style="7" customWidth="1"/>
    <col min="15866" max="15866" width="11.28515625" style="7" customWidth="1"/>
    <col min="15867" max="15867" width="12.85546875" style="7" customWidth="1"/>
    <col min="15868" max="15868" width="10.5703125" style="7" customWidth="1"/>
    <col min="15869" max="15869" width="12" style="7" customWidth="1"/>
    <col min="15870" max="15870" width="11.140625" style="7" customWidth="1"/>
    <col min="15871" max="15871" width="9.28515625" style="7" customWidth="1"/>
    <col min="15872" max="15872" width="1.42578125" style="7" customWidth="1"/>
    <col min="15873" max="15873" width="17.28515625" style="7" customWidth="1"/>
    <col min="15874" max="15874" width="11.140625" style="7" customWidth="1"/>
    <col min="15875" max="15875" width="12.42578125" style="7" customWidth="1"/>
    <col min="15876" max="15877" width="11.28515625" style="7" customWidth="1"/>
    <col min="15878" max="15878" width="10.5703125" style="7" customWidth="1"/>
    <col min="15879" max="15879" width="16.42578125" style="7" customWidth="1"/>
    <col min="15880" max="15880" width="12.140625" style="7" customWidth="1"/>
    <col min="15881" max="15881" width="10.85546875" style="7" customWidth="1"/>
    <col min="15882" max="15882" width="11.7109375" style="7" customWidth="1"/>
    <col min="15883" max="16103" width="9.140625" style="7"/>
    <col min="16104" max="16104" width="6.28515625" style="7" customWidth="1"/>
    <col min="16105" max="16105" width="20.7109375" style="7" customWidth="1"/>
    <col min="16106" max="16106" width="10" style="7" customWidth="1"/>
    <col min="16107" max="16107" width="1" style="7" customWidth="1"/>
    <col min="16108" max="16108" width="10" style="7" customWidth="1"/>
    <col min="16109" max="16109" width="1.28515625" style="7" customWidth="1"/>
    <col min="16110" max="16110" width="9.7109375" style="7" customWidth="1"/>
    <col min="16111" max="16111" width="1.140625" style="7" customWidth="1"/>
    <col min="16112" max="16112" width="12.5703125" style="7" customWidth="1"/>
    <col min="16113" max="16113" width="4.7109375" style="7" customWidth="1"/>
    <col min="16114" max="16114" width="10.7109375" style="7" customWidth="1"/>
    <col min="16115" max="16115" width="4.5703125" style="7" customWidth="1"/>
    <col min="16116" max="16116" width="12.28515625" style="7" customWidth="1"/>
    <col min="16117" max="16117" width="1.42578125" style="7" customWidth="1"/>
    <col min="16118" max="16118" width="14.140625" style="7" customWidth="1"/>
    <col min="16119" max="16119" width="13.7109375" style="7" customWidth="1"/>
    <col min="16120" max="16120" width="8" style="7" customWidth="1"/>
    <col min="16121" max="16121" width="1.42578125" style="7" customWidth="1"/>
    <col min="16122" max="16122" width="11.28515625" style="7" customWidth="1"/>
    <col min="16123" max="16123" width="12.85546875" style="7" customWidth="1"/>
    <col min="16124" max="16124" width="10.5703125" style="7" customWidth="1"/>
    <col min="16125" max="16125" width="12" style="7" customWidth="1"/>
    <col min="16126" max="16126" width="11.140625" style="7" customWidth="1"/>
    <col min="16127" max="16127" width="9.28515625" style="7" customWidth="1"/>
    <col min="16128" max="16128" width="1.42578125" style="7" customWidth="1"/>
    <col min="16129" max="16129" width="17.28515625" style="7" customWidth="1"/>
    <col min="16130" max="16130" width="11.140625" style="7" customWidth="1"/>
    <col min="16131" max="16131" width="12.42578125" style="7" customWidth="1"/>
    <col min="16132" max="16133" width="11.28515625" style="7" customWidth="1"/>
    <col min="16134" max="16134" width="10.5703125" style="7" customWidth="1"/>
    <col min="16135" max="16135" width="16.42578125" style="7" customWidth="1"/>
    <col min="16136" max="16136" width="12.140625" style="7" customWidth="1"/>
    <col min="16137" max="16137" width="10.85546875" style="7" customWidth="1"/>
    <col min="16138" max="16138" width="11.7109375" style="7" customWidth="1"/>
    <col min="16139" max="16384" width="9.140625" style="7"/>
  </cols>
  <sheetData>
    <row r="1" spans="1:15">
      <c r="A1" s="1" t="s">
        <v>588</v>
      </c>
      <c r="B1" s="2"/>
    </row>
    <row r="2" spans="1:15">
      <c r="A2" s="1" t="s">
        <v>0</v>
      </c>
      <c r="B2" s="2"/>
    </row>
    <row r="3" spans="1:15">
      <c r="A3" s="1" t="s">
        <v>589</v>
      </c>
      <c r="B3" s="9"/>
      <c r="H3" s="10"/>
      <c r="I3" s="853"/>
      <c r="J3" s="11"/>
    </row>
    <row r="4" spans="1:15" ht="2.25" customHeight="1">
      <c r="A4" s="1"/>
      <c r="B4" s="9"/>
      <c r="C4" s="12"/>
      <c r="H4" s="10"/>
      <c r="I4" s="853"/>
      <c r="J4" s="11"/>
    </row>
    <row r="5" spans="1:15" ht="2.25" customHeight="1">
      <c r="A5" s="1"/>
      <c r="B5" s="9"/>
      <c r="H5" s="10"/>
      <c r="I5" s="853"/>
      <c r="J5" s="11"/>
    </row>
    <row r="6" spans="1:15" ht="2.25" customHeight="1" thickBot="1">
      <c r="A6" s="1"/>
      <c r="B6" s="2"/>
      <c r="H6" s="10"/>
      <c r="I6" s="853"/>
      <c r="J6" s="11"/>
      <c r="L6" s="5"/>
      <c r="M6" s="5"/>
    </row>
    <row r="7" spans="1:15">
      <c r="A7" s="13"/>
      <c r="B7" s="14"/>
      <c r="C7" s="15" t="s">
        <v>1</v>
      </c>
      <c r="D7" s="16" t="s">
        <v>2</v>
      </c>
      <c r="E7" s="17" t="s">
        <v>3</v>
      </c>
      <c r="F7" s="847"/>
      <c r="G7" s="16" t="s">
        <v>4</v>
      </c>
      <c r="H7" s="18" t="s">
        <v>5</v>
      </c>
      <c r="I7" s="854"/>
      <c r="J7" s="19" t="s">
        <v>6</v>
      </c>
      <c r="K7" s="20" t="s">
        <v>6</v>
      </c>
      <c r="L7" s="21"/>
      <c r="M7" s="22"/>
    </row>
    <row r="8" spans="1:15">
      <c r="A8" s="23"/>
      <c r="B8" s="24"/>
      <c r="C8" s="25" t="s">
        <v>8</v>
      </c>
      <c r="D8" s="26" t="s">
        <v>9</v>
      </c>
      <c r="E8" s="26" t="s">
        <v>7</v>
      </c>
      <c r="F8" s="848" t="s">
        <v>1311</v>
      </c>
      <c r="G8" s="26" t="s">
        <v>9</v>
      </c>
      <c r="H8" s="27" t="s">
        <v>7</v>
      </c>
      <c r="I8" s="855"/>
      <c r="J8" s="28" t="s">
        <v>316</v>
      </c>
      <c r="K8" s="29" t="s">
        <v>317</v>
      </c>
      <c r="L8" s="30" t="s">
        <v>10</v>
      </c>
      <c r="M8" s="31"/>
    </row>
    <row r="9" spans="1:15">
      <c r="A9" s="32" t="s">
        <v>11</v>
      </c>
      <c r="B9" s="33"/>
      <c r="C9" s="34"/>
      <c r="D9" s="35"/>
      <c r="E9" s="35"/>
      <c r="F9" s="36"/>
      <c r="G9" s="35"/>
      <c r="H9" s="35"/>
      <c r="I9" s="856"/>
      <c r="J9" s="37"/>
      <c r="K9" s="37"/>
      <c r="L9" s="38"/>
      <c r="M9" s="38"/>
    </row>
    <row r="10" spans="1:15">
      <c r="A10" s="39">
        <v>32000</v>
      </c>
      <c r="B10" s="7" t="s">
        <v>12</v>
      </c>
      <c r="C10" s="40">
        <f>'2025 IS'!AH19+'2025 IS'!AH20</f>
        <v>485761.2300000001</v>
      </c>
      <c r="D10" s="434">
        <f>+'Restating Adj''s'!M9</f>
        <v>-331.13000000000466</v>
      </c>
      <c r="E10" s="41">
        <f t="shared" ref="E10:E15" si="0">SUM(C10:D10)</f>
        <v>485430.10000000009</v>
      </c>
      <c r="F10" s="399" t="s">
        <v>13</v>
      </c>
      <c r="G10" s="41"/>
      <c r="H10" s="41">
        <f t="shared" ref="H10:H15" si="1">C10+D10+G10</f>
        <v>485430.10000000009</v>
      </c>
      <c r="I10" s="857"/>
      <c r="J10" s="435">
        <f>+'Restating Adj''s'!B9</f>
        <v>452485.43000000011</v>
      </c>
      <c r="K10" s="435">
        <f>+'Restating Adj''s'!C9</f>
        <v>32944.670000000006</v>
      </c>
      <c r="L10" s="40" t="s">
        <v>14</v>
      </c>
      <c r="M10" s="8">
        <f>H10-J10-K10</f>
        <v>0</v>
      </c>
      <c r="N10" s="42"/>
    </row>
    <row r="11" spans="1:15">
      <c r="A11" s="39">
        <v>33000</v>
      </c>
      <c r="B11" s="7" t="s">
        <v>15</v>
      </c>
      <c r="C11" s="42">
        <f>'2025 IS'!AH21+'2025 IS'!AH22</f>
        <v>488150.88</v>
      </c>
      <c r="D11" s="81">
        <f>+'Restating Adj''s'!M10</f>
        <v>-208.84000000002561</v>
      </c>
      <c r="E11" s="43">
        <f t="shared" si="0"/>
        <v>487942.04</v>
      </c>
      <c r="F11" s="400" t="s">
        <v>13</v>
      </c>
      <c r="G11" s="43"/>
      <c r="H11" s="43">
        <f t="shared" si="1"/>
        <v>487942.04</v>
      </c>
      <c r="I11" s="858"/>
      <c r="J11" s="45">
        <f>+'Restating Adj''s'!B10</f>
        <v>445981.52999999997</v>
      </c>
      <c r="K11" s="45">
        <f>+'Restating Adj''s'!C10</f>
        <v>41960.51</v>
      </c>
      <c r="L11" s="42" t="s">
        <v>14</v>
      </c>
      <c r="M11" s="8">
        <f>H11-J11-K11</f>
        <v>0</v>
      </c>
      <c r="N11" s="42"/>
    </row>
    <row r="12" spans="1:15">
      <c r="A12" s="79">
        <v>31000</v>
      </c>
      <c r="B12" s="80" t="s">
        <v>16</v>
      </c>
      <c r="C12" s="45">
        <f>'2025 IS'!AH16+'2025 IS'!AH18</f>
        <v>168197.45</v>
      </c>
      <c r="D12" s="81">
        <f>+'Restating Adj''s'!M11</f>
        <v>-8584.5799999999872</v>
      </c>
      <c r="E12" s="43">
        <f t="shared" si="0"/>
        <v>159612.87000000002</v>
      </c>
      <c r="F12" s="400" t="s">
        <v>13</v>
      </c>
      <c r="G12" s="43"/>
      <c r="H12" s="43">
        <f t="shared" si="1"/>
        <v>159612.87000000002</v>
      </c>
      <c r="I12" s="858"/>
      <c r="J12" s="45">
        <f>+'Restating Adj''s'!B11</f>
        <v>150677.44000000003</v>
      </c>
      <c r="K12" s="45">
        <f>+'Restating Adj''s'!C11+'Restating Adj''s'!C17</f>
        <v>8935.43</v>
      </c>
      <c r="L12" s="42" t="s">
        <v>14</v>
      </c>
      <c r="M12" s="8">
        <f>H12-J12-K12</f>
        <v>0</v>
      </c>
      <c r="N12" s="42"/>
    </row>
    <row r="13" spans="1:15">
      <c r="A13" s="39">
        <v>31005</v>
      </c>
      <c r="B13" s="7" t="s">
        <v>17</v>
      </c>
      <c r="C13" s="42">
        <f>'2025 IS'!AH17</f>
        <v>160600.41</v>
      </c>
      <c r="D13" s="81">
        <f>+'Restating Adj''s'!M12</f>
        <v>688.79999999998836</v>
      </c>
      <c r="E13" s="43">
        <f t="shared" si="0"/>
        <v>161289.21</v>
      </c>
      <c r="F13" s="400" t="s">
        <v>13</v>
      </c>
      <c r="G13" s="43"/>
      <c r="H13" s="43">
        <f t="shared" si="1"/>
        <v>161289.21</v>
      </c>
      <c r="I13" s="858"/>
      <c r="J13" s="45">
        <f>+'Restating Adj''s'!B12</f>
        <v>157844.15</v>
      </c>
      <c r="K13" s="45">
        <f>+'Restating Adj''s'!C12</f>
        <v>3445.06</v>
      </c>
      <c r="L13" s="42" t="s">
        <v>14</v>
      </c>
      <c r="M13" s="8">
        <f t="shared" ref="M13:M15" si="2">H13-J13-K13</f>
        <v>0</v>
      </c>
      <c r="N13" s="42"/>
    </row>
    <row r="14" spans="1:15">
      <c r="A14" s="39">
        <v>38000</v>
      </c>
      <c r="B14" s="7" t="s">
        <v>18</v>
      </c>
      <c r="C14" s="42">
        <f>+'2025 IS'!AH45</f>
        <v>5743.72</v>
      </c>
      <c r="D14" s="81">
        <f>+'Restating Adj''s'!M13</f>
        <v>226.05999999999858</v>
      </c>
      <c r="E14" s="43">
        <f t="shared" si="0"/>
        <v>5969.7799999999988</v>
      </c>
      <c r="F14" s="400" t="s">
        <v>13</v>
      </c>
      <c r="G14" s="43"/>
      <c r="H14" s="43">
        <f t="shared" si="1"/>
        <v>5969.7799999999988</v>
      </c>
      <c r="I14" s="858"/>
      <c r="J14" s="45">
        <f>+'Restating Adj''s'!B13</f>
        <v>5612.7999999999993</v>
      </c>
      <c r="K14" s="45">
        <f>+'Restating Adj''s'!C13</f>
        <v>356.97999999999996</v>
      </c>
      <c r="L14" s="42" t="s">
        <v>14</v>
      </c>
      <c r="M14" s="8">
        <f t="shared" si="2"/>
        <v>0</v>
      </c>
      <c r="N14" s="42"/>
    </row>
    <row r="15" spans="1:15">
      <c r="A15" s="39">
        <v>38001</v>
      </c>
      <c r="B15" s="7" t="s">
        <v>19</v>
      </c>
      <c r="C15" s="42">
        <f>'2025 IS'!AH46</f>
        <v>1430.7299999999998</v>
      </c>
      <c r="D15" s="81"/>
      <c r="E15" s="43">
        <f t="shared" si="0"/>
        <v>1430.7299999999998</v>
      </c>
      <c r="F15" s="44"/>
      <c r="G15" s="46"/>
      <c r="H15" s="43">
        <f t="shared" si="1"/>
        <v>1430.7299999999998</v>
      </c>
      <c r="I15" s="858"/>
      <c r="J15" s="42">
        <f>H15*Ratios!$C$24</f>
        <v>1289.1650393700786</v>
      </c>
      <c r="K15" s="42">
        <f>H15*Ratios!$D$24</f>
        <v>141.56496062992125</v>
      </c>
      <c r="L15" s="317" t="s">
        <v>23</v>
      </c>
      <c r="M15" s="8">
        <f t="shared" si="2"/>
        <v>0</v>
      </c>
      <c r="N15" s="42"/>
    </row>
    <row r="16" spans="1:15">
      <c r="B16" s="2" t="s">
        <v>20</v>
      </c>
      <c r="C16" s="47">
        <f>SUM(C10:C15)</f>
        <v>1309884.42</v>
      </c>
      <c r="D16" s="47">
        <f>SUM(D10:D15)</f>
        <v>-8209.6900000000314</v>
      </c>
      <c r="E16" s="47">
        <f>SUM(E10:E15)</f>
        <v>1301674.7300000002</v>
      </c>
      <c r="F16" s="48"/>
      <c r="G16" s="47">
        <f>SUM(G10:G15)</f>
        <v>0</v>
      </c>
      <c r="H16" s="47">
        <f>SUM(H10:H15)</f>
        <v>1301674.7300000002</v>
      </c>
      <c r="I16" s="859"/>
      <c r="J16" s="47">
        <f>SUM(J10:J15)</f>
        <v>1213890.5150393702</v>
      </c>
      <c r="K16" s="47">
        <f>SUM(K9:K15)</f>
        <v>87784.214960629935</v>
      </c>
      <c r="L16" s="49"/>
      <c r="M16" s="49"/>
      <c r="N16" s="42"/>
      <c r="O16" s="51"/>
    </row>
    <row r="17" spans="1:18">
      <c r="C17" s="42">
        <f>+'2025 IS'!AH50-'Bingen Consolidated IS'!C16</f>
        <v>0</v>
      </c>
      <c r="D17" s="46"/>
      <c r="E17" s="46"/>
      <c r="G17" s="46"/>
      <c r="H17" s="46"/>
      <c r="I17" s="860"/>
      <c r="J17" s="50">
        <f>J16/H16</f>
        <v>0.93256055991758402</v>
      </c>
      <c r="K17" s="50">
        <f>K16/H16</f>
        <v>6.7439440082415925E-2</v>
      </c>
    </row>
    <row r="18" spans="1:18" ht="4.5" customHeight="1">
      <c r="C18" s="42"/>
      <c r="D18" s="46"/>
      <c r="E18" s="46"/>
      <c r="G18" s="46"/>
      <c r="H18" s="46"/>
      <c r="I18" s="860"/>
      <c r="J18" s="46"/>
      <c r="K18" s="46"/>
      <c r="O18" s="51"/>
    </row>
    <row r="19" spans="1:18" hidden="1">
      <c r="C19" s="42"/>
      <c r="D19" s="46"/>
      <c r="E19" s="46"/>
      <c r="G19" s="46"/>
      <c r="H19" s="46"/>
      <c r="I19" s="860"/>
      <c r="J19" s="46"/>
      <c r="K19" s="46"/>
      <c r="L19" s="6"/>
    </row>
    <row r="20" spans="1:18">
      <c r="A20" s="32" t="s">
        <v>21</v>
      </c>
      <c r="B20" s="33"/>
      <c r="C20" s="52"/>
      <c r="D20" s="53"/>
      <c r="E20" s="53"/>
      <c r="F20" s="36"/>
      <c r="G20" s="53"/>
      <c r="H20" s="53"/>
      <c r="I20" s="861"/>
      <c r="J20" s="53"/>
      <c r="K20" s="53"/>
      <c r="L20" s="38"/>
      <c r="M20" s="38"/>
    </row>
    <row r="21" spans="1:18">
      <c r="A21" s="54">
        <v>41200</v>
      </c>
      <c r="B21" s="55"/>
      <c r="C21" s="56"/>
      <c r="D21" s="57"/>
      <c r="E21" s="57"/>
      <c r="F21" s="58"/>
      <c r="G21" s="57"/>
      <c r="H21" s="57"/>
      <c r="I21" s="862"/>
      <c r="J21" s="57"/>
      <c r="K21" s="57"/>
      <c r="L21" s="59"/>
      <c r="M21" s="59"/>
    </row>
    <row r="22" spans="1:18">
      <c r="A22" s="60">
        <v>57125</v>
      </c>
      <c r="B22" s="61" t="s">
        <v>22</v>
      </c>
      <c r="C22" s="42">
        <f>+IFERROR(VLOOKUP(A22,'2025 IS'!$D:$AH,31,FALSE),0)</f>
        <v>232.79999999999998</v>
      </c>
      <c r="D22" s="46"/>
      <c r="E22" s="43">
        <f>SUM(C22:D22)</f>
        <v>232.79999999999998</v>
      </c>
      <c r="F22" s="44"/>
      <c r="G22" s="46"/>
      <c r="H22" s="43">
        <f>C22+D22+G22</f>
        <v>232.79999999999998</v>
      </c>
      <c r="I22" s="858"/>
      <c r="J22" s="42">
        <f>H22*Ratios!$C$24</f>
        <v>209.76537932758404</v>
      </c>
      <c r="K22" s="42">
        <f>H22*Ratios!$D$24</f>
        <v>23.034620672415947</v>
      </c>
      <c r="L22" s="317" t="s">
        <v>23</v>
      </c>
      <c r="M22" s="8">
        <f t="shared" ref="M22:M23" si="3">H22-J22-K22</f>
        <v>0</v>
      </c>
      <c r="N22" s="12"/>
      <c r="O22" s="12"/>
      <c r="P22" s="12"/>
      <c r="Q22" s="12"/>
      <c r="R22" s="12"/>
    </row>
    <row r="23" spans="1:18">
      <c r="A23" s="60">
        <v>57147</v>
      </c>
      <c r="B23" s="61" t="s">
        <v>24</v>
      </c>
      <c r="C23" s="42">
        <f>+IFERROR(VLOOKUP(A23,'2025 IS'!$D:$AH,31,FALSE),0)</f>
        <v>777.85</v>
      </c>
      <c r="D23" s="44"/>
      <c r="E23" s="43">
        <f>SUM(C23:D23)</f>
        <v>777.85</v>
      </c>
      <c r="F23" s="44"/>
      <c r="G23" s="44">
        <v>0</v>
      </c>
      <c r="H23" s="43">
        <f>C23+D23+G23</f>
        <v>777.85</v>
      </c>
      <c r="I23" s="858"/>
      <c r="J23" s="42">
        <f>H23*Ratios!$C$24</f>
        <v>700.8848810565346</v>
      </c>
      <c r="K23" s="42">
        <f>H23*Ratios!$D$24</f>
        <v>76.965118943465399</v>
      </c>
      <c r="L23" s="317" t="s">
        <v>23</v>
      </c>
      <c r="M23" s="8">
        <f t="shared" si="3"/>
        <v>0</v>
      </c>
      <c r="N23" s="12"/>
      <c r="O23" s="8"/>
      <c r="P23" s="8"/>
      <c r="Q23" s="12"/>
      <c r="R23" s="12"/>
    </row>
    <row r="24" spans="1:18" ht="10.5" customHeight="1">
      <c r="A24" s="62">
        <v>41200</v>
      </c>
      <c r="B24" s="2" t="s">
        <v>20</v>
      </c>
      <c r="C24" s="47">
        <f>SUM(C22:C23)</f>
        <v>1010.65</v>
      </c>
      <c r="D24" s="47">
        <f>SUM(D22:D23)</f>
        <v>0</v>
      </c>
      <c r="E24" s="47">
        <f>SUM(E22:E23)</f>
        <v>1010.65</v>
      </c>
      <c r="F24" s="48"/>
      <c r="G24" s="47">
        <f>SUM(G22:G23)</f>
        <v>0</v>
      </c>
      <c r="H24" s="47">
        <f>SUM(H22:H23)</f>
        <v>1010.65</v>
      </c>
      <c r="I24" s="859"/>
      <c r="J24" s="47">
        <f>SUM(J22:J23)</f>
        <v>910.65026038411861</v>
      </c>
      <c r="K24" s="47">
        <f>SUM(K22:K23)</f>
        <v>99.999739615881339</v>
      </c>
      <c r="L24" s="49"/>
      <c r="M24" s="49"/>
    </row>
    <row r="25" spans="1:18" ht="4.5" customHeight="1">
      <c r="A25" s="62"/>
      <c r="B25" s="2"/>
      <c r="C25" s="63"/>
      <c r="D25" s="63"/>
      <c r="E25" s="63"/>
      <c r="F25" s="64"/>
      <c r="G25" s="63"/>
      <c r="H25" s="63"/>
      <c r="I25" s="860"/>
      <c r="J25" s="63"/>
      <c r="K25" s="63"/>
      <c r="L25" s="3"/>
      <c r="M25" s="3"/>
    </row>
    <row r="26" spans="1:18">
      <c r="A26" s="65">
        <v>41310</v>
      </c>
      <c r="B26" s="54" t="s">
        <v>25</v>
      </c>
      <c r="C26" s="56"/>
      <c r="D26" s="57"/>
      <c r="E26" s="57"/>
      <c r="F26" s="58"/>
      <c r="G26" s="57"/>
      <c r="H26" s="57"/>
      <c r="I26" s="862"/>
      <c r="J26" s="56"/>
      <c r="K26" s="56"/>
      <c r="L26" s="59"/>
      <c r="M26" s="59"/>
    </row>
    <row r="27" spans="1:18">
      <c r="A27" s="66">
        <v>52010</v>
      </c>
      <c r="B27" s="7" t="s">
        <v>26</v>
      </c>
      <c r="C27" s="42">
        <f>+IFERROR(VLOOKUP(A27,'2025 IS'!$D:$AH,31,FALSE),0)</f>
        <v>0</v>
      </c>
      <c r="D27" s="43"/>
      <c r="E27" s="43">
        <f t="shared" ref="E27:E32" si="4">SUM(C27:D27)</f>
        <v>0</v>
      </c>
      <c r="F27" s="44"/>
      <c r="G27" s="43"/>
      <c r="H27" s="43">
        <f t="shared" ref="H27:H32" si="5">C27+D27+G27</f>
        <v>0</v>
      </c>
      <c r="I27" s="858"/>
      <c r="J27" s="42">
        <f>H27*Ratios!$C$24</f>
        <v>0</v>
      </c>
      <c r="K27" s="42">
        <f>H27*Ratios!$D$24</f>
        <v>0</v>
      </c>
      <c r="L27" s="317" t="s">
        <v>23</v>
      </c>
      <c r="M27" s="8">
        <f t="shared" ref="M27:M32" si="6">H27-J27-K27</f>
        <v>0</v>
      </c>
      <c r="N27" s="12"/>
      <c r="O27" s="8"/>
      <c r="P27" s="8"/>
      <c r="Q27" s="592"/>
      <c r="R27" s="12"/>
    </row>
    <row r="28" spans="1:18">
      <c r="A28" s="66">
        <v>52020</v>
      </c>
      <c r="B28" s="61" t="s">
        <v>27</v>
      </c>
      <c r="C28" s="42">
        <f>+IFERROR(VLOOKUP(A28,'2025 IS'!$D:$AH,31,FALSE),0)</f>
        <v>41928.799999999996</v>
      </c>
      <c r="D28" s="81">
        <f>+'Restating Adj''s'!V21</f>
        <v>10098.200468132456</v>
      </c>
      <c r="E28" s="43">
        <f t="shared" si="4"/>
        <v>52027.00046813245</v>
      </c>
      <c r="F28" s="498" t="s">
        <v>76</v>
      </c>
      <c r="G28" s="81">
        <f>+'Pro-forma Adj''s'!B9</f>
        <v>1310.0050117033113</v>
      </c>
      <c r="H28" s="43">
        <f t="shared" si="5"/>
        <v>53337.00547983576</v>
      </c>
      <c r="I28" s="498"/>
      <c r="J28" s="42">
        <f>H28*Ratios!$C$24</f>
        <v>48059.523997745608</v>
      </c>
      <c r="K28" s="42">
        <f>H28*Ratios!$D$24</f>
        <v>5277.4814820901529</v>
      </c>
      <c r="L28" s="317" t="s">
        <v>23</v>
      </c>
      <c r="M28" s="8">
        <f t="shared" si="6"/>
        <v>0</v>
      </c>
      <c r="N28" s="12"/>
      <c r="O28" s="8"/>
      <c r="P28" s="8"/>
      <c r="Q28" s="12"/>
      <c r="R28" s="12"/>
    </row>
    <row r="29" spans="1:18">
      <c r="A29" s="66">
        <v>52025</v>
      </c>
      <c r="B29" s="7" t="s">
        <v>28</v>
      </c>
      <c r="C29" s="42">
        <f>+IFERROR(VLOOKUP(A29,'2025 IS'!$D:$AH,31,FALSE),0)</f>
        <v>14852.9</v>
      </c>
      <c r="D29" s="43"/>
      <c r="E29" s="43">
        <f t="shared" si="4"/>
        <v>14852.9</v>
      </c>
      <c r="F29" s="44"/>
      <c r="G29" s="43"/>
      <c r="H29" s="43">
        <f t="shared" si="5"/>
        <v>14852.9</v>
      </c>
      <c r="I29" s="858"/>
      <c r="J29" s="42">
        <f>H29*Ratios!$C$24</f>
        <v>13383.265475148939</v>
      </c>
      <c r="K29" s="42">
        <f>H29*Ratios!$D$24</f>
        <v>1469.6345248510602</v>
      </c>
      <c r="L29" s="317" t="s">
        <v>23</v>
      </c>
      <c r="M29" s="8">
        <f t="shared" si="6"/>
        <v>0</v>
      </c>
      <c r="N29" s="12"/>
      <c r="O29" s="8"/>
      <c r="P29" s="8"/>
      <c r="Q29" s="12"/>
      <c r="R29" s="12"/>
    </row>
    <row r="30" spans="1:18">
      <c r="A30" s="66">
        <v>52035</v>
      </c>
      <c r="B30" s="7" t="s">
        <v>29</v>
      </c>
      <c r="C30" s="42">
        <f>+IFERROR(VLOOKUP(A30,'2025 IS'!$D:$AH,31,FALSE),0)</f>
        <v>1505.38</v>
      </c>
      <c r="D30" s="43"/>
      <c r="E30" s="43">
        <f t="shared" si="4"/>
        <v>1505.38</v>
      </c>
      <c r="F30" s="44"/>
      <c r="G30" s="43"/>
      <c r="H30" s="43">
        <f t="shared" si="5"/>
        <v>1505.38</v>
      </c>
      <c r="I30" s="858"/>
      <c r="J30" s="42">
        <f>H30*Ratios!$C$24</f>
        <v>1356.4287230762823</v>
      </c>
      <c r="K30" s="42">
        <f>H30*Ratios!$D$24</f>
        <v>148.95127692371787</v>
      </c>
      <c r="L30" s="317" t="s">
        <v>23</v>
      </c>
      <c r="M30" s="8">
        <f t="shared" si="6"/>
        <v>0</v>
      </c>
      <c r="N30" s="12"/>
      <c r="O30" s="8"/>
      <c r="P30" s="8"/>
      <c r="Q30" s="12"/>
      <c r="R30" s="12"/>
    </row>
    <row r="31" spans="1:18">
      <c r="A31" s="39">
        <v>52065</v>
      </c>
      <c r="B31" s="7" t="s">
        <v>31</v>
      </c>
      <c r="C31" s="42">
        <f>+IFERROR(VLOOKUP(A31,'2025 IS'!$D:$AH,31,FALSE),0)</f>
        <v>2428.91</v>
      </c>
      <c r="D31" s="43"/>
      <c r="E31" s="43">
        <f t="shared" si="4"/>
        <v>2428.91</v>
      </c>
      <c r="F31" s="44"/>
      <c r="G31" s="67"/>
      <c r="H31" s="43">
        <f t="shared" si="5"/>
        <v>2428.91</v>
      </c>
      <c r="I31" s="858"/>
      <c r="J31" s="42">
        <f>H31*Ratios!$C$24</f>
        <v>2188.5791559388408</v>
      </c>
      <c r="K31" s="42">
        <f>H31*Ratios!$D$24</f>
        <v>240.33084406115901</v>
      </c>
      <c r="L31" s="317" t="s">
        <v>23</v>
      </c>
      <c r="M31" s="8">
        <f t="shared" si="6"/>
        <v>0</v>
      </c>
      <c r="N31" s="12"/>
      <c r="O31" s="8"/>
      <c r="P31" s="8"/>
      <c r="Q31" s="12"/>
      <c r="R31" s="12"/>
    </row>
    <row r="32" spans="1:18">
      <c r="A32" s="39">
        <v>52070</v>
      </c>
      <c r="B32" s="7" t="s">
        <v>32</v>
      </c>
      <c r="C32" s="42">
        <f>+IFERROR(VLOOKUP(A32,'2025 IS'!$D:$AH,31,FALSE),0)</f>
        <v>150.80000000000001</v>
      </c>
      <c r="D32" s="43"/>
      <c r="E32" s="43">
        <f t="shared" si="4"/>
        <v>150.80000000000001</v>
      </c>
      <c r="F32" s="44"/>
      <c r="G32" s="67"/>
      <c r="H32" s="43">
        <f t="shared" si="5"/>
        <v>150.80000000000001</v>
      </c>
      <c r="I32" s="858"/>
      <c r="J32" s="42">
        <f>H32*Ratios!$C$24</f>
        <v>135.87894846477525</v>
      </c>
      <c r="K32" s="42">
        <f>H32*Ratios!$D$24</f>
        <v>14.921051535224764</v>
      </c>
      <c r="L32" s="317" t="s">
        <v>23</v>
      </c>
      <c r="M32" s="8">
        <f t="shared" si="6"/>
        <v>0</v>
      </c>
      <c r="N32" s="12"/>
      <c r="O32" s="8"/>
      <c r="P32" s="8"/>
      <c r="Q32" s="12"/>
      <c r="R32" s="12"/>
    </row>
    <row r="33" spans="1:18" ht="12" customHeight="1">
      <c r="A33" s="68">
        <v>41310</v>
      </c>
      <c r="B33" s="2" t="s">
        <v>25</v>
      </c>
      <c r="C33" s="47">
        <f>SUM(C27:C32)</f>
        <v>60866.789999999994</v>
      </c>
      <c r="D33" s="69">
        <f>SUM(D27:D32)</f>
        <v>10098.200468132456</v>
      </c>
      <c r="E33" s="47">
        <f>SUM(E27:E32)</f>
        <v>70964.990468132455</v>
      </c>
      <c r="F33" s="48"/>
      <c r="G33" s="69">
        <f>SUM(G27:G32)</f>
        <v>1310.0050117033113</v>
      </c>
      <c r="H33" s="47">
        <f>SUM(H27:H32)</f>
        <v>72274.995479835765</v>
      </c>
      <c r="I33" s="859"/>
      <c r="J33" s="47">
        <f>SUM(J27:J32)</f>
        <v>65123.676300374449</v>
      </c>
      <c r="K33" s="47">
        <f>SUM(K27:K32)</f>
        <v>7151.3191794613149</v>
      </c>
      <c r="L33" s="49"/>
      <c r="M33" s="49"/>
    </row>
    <row r="34" spans="1:18" ht="0.75" customHeight="1">
      <c r="A34" s="68"/>
      <c r="B34" s="2"/>
      <c r="C34" s="63"/>
      <c r="D34" s="43"/>
      <c r="E34" s="46"/>
      <c r="G34" s="67"/>
      <c r="H34" s="46"/>
      <c r="I34" s="860"/>
      <c r="J34" s="63"/>
      <c r="K34" s="63"/>
    </row>
    <row r="35" spans="1:18" hidden="1">
      <c r="A35" s="65">
        <v>41311</v>
      </c>
      <c r="B35" s="54" t="s">
        <v>33</v>
      </c>
      <c r="C35" s="70"/>
      <c r="D35" s="71"/>
      <c r="E35" s="57"/>
      <c r="F35" s="58"/>
      <c r="G35" s="72"/>
      <c r="H35" s="57"/>
      <c r="I35" s="862"/>
      <c r="J35" s="70"/>
      <c r="K35" s="70"/>
      <c r="L35" s="59"/>
      <c r="M35" s="59"/>
    </row>
    <row r="36" spans="1:18" ht="10.5" hidden="1" customHeight="1">
      <c r="A36" s="39">
        <v>55020</v>
      </c>
      <c r="B36" s="7" t="s">
        <v>34</v>
      </c>
      <c r="C36" s="42">
        <f>+IFERROR(VLOOKUP(A36,'2025 IS'!$D:$AH,31,FALSE),0)</f>
        <v>0</v>
      </c>
      <c r="D36" s="43"/>
      <c r="E36" s="43">
        <f t="shared" ref="E36:E41" si="7">SUM(C36:D36)</f>
        <v>0</v>
      </c>
      <c r="F36" s="44"/>
      <c r="G36" s="43"/>
      <c r="H36" s="43">
        <f t="shared" ref="H36:H41" si="8">C36+D36+G36</f>
        <v>0</v>
      </c>
      <c r="I36" s="858"/>
      <c r="J36" s="42">
        <f>H36*Ratios!$C$24</f>
        <v>0</v>
      </c>
      <c r="K36" s="42">
        <f t="shared" ref="K36:K41" si="9">+H36-J36</f>
        <v>0</v>
      </c>
      <c r="L36" s="317" t="s">
        <v>23</v>
      </c>
      <c r="M36" s="8">
        <f t="shared" ref="M36:M41" si="10">H36-J36-K36</f>
        <v>0</v>
      </c>
      <c r="N36" s="12"/>
      <c r="O36" s="12"/>
      <c r="P36" s="12"/>
      <c r="Q36" s="12"/>
      <c r="R36" s="12"/>
    </row>
    <row r="37" spans="1:18" hidden="1">
      <c r="A37" s="39">
        <v>55025</v>
      </c>
      <c r="B37" s="7" t="s">
        <v>35</v>
      </c>
      <c r="C37" s="42">
        <f>+IFERROR(VLOOKUP(A37,'2025 IS'!$D:$AH,31,FALSE),0)</f>
        <v>0</v>
      </c>
      <c r="D37" s="43"/>
      <c r="E37" s="43">
        <f t="shared" si="7"/>
        <v>0</v>
      </c>
      <c r="F37" s="44"/>
      <c r="G37" s="43"/>
      <c r="H37" s="43">
        <f t="shared" si="8"/>
        <v>0</v>
      </c>
      <c r="I37" s="858"/>
      <c r="J37" s="42">
        <f>H37*Ratios!$C$24</f>
        <v>0</v>
      </c>
      <c r="K37" s="42">
        <f t="shared" si="9"/>
        <v>0</v>
      </c>
      <c r="L37" s="317" t="s">
        <v>23</v>
      </c>
      <c r="M37" s="8">
        <f t="shared" si="10"/>
        <v>0</v>
      </c>
      <c r="N37" s="12"/>
      <c r="O37" s="12"/>
      <c r="P37" s="12"/>
      <c r="Q37" s="12"/>
      <c r="R37" s="12"/>
    </row>
    <row r="38" spans="1:18" hidden="1">
      <c r="A38" s="39">
        <v>55035</v>
      </c>
      <c r="B38" s="7" t="s">
        <v>36</v>
      </c>
      <c r="C38" s="42">
        <f>+IFERROR(VLOOKUP(A38,'2025 IS'!$D:$AH,31,FALSE),0)</f>
        <v>0</v>
      </c>
      <c r="D38" s="43"/>
      <c r="E38" s="43">
        <f t="shared" si="7"/>
        <v>0</v>
      </c>
      <c r="F38" s="44"/>
      <c r="G38" s="43"/>
      <c r="H38" s="43">
        <f t="shared" si="8"/>
        <v>0</v>
      </c>
      <c r="I38" s="858"/>
      <c r="J38" s="42">
        <f>H38*Ratios!$C$24</f>
        <v>0</v>
      </c>
      <c r="K38" s="42">
        <f t="shared" si="9"/>
        <v>0</v>
      </c>
      <c r="L38" s="317" t="s">
        <v>23</v>
      </c>
      <c r="M38" s="8">
        <f t="shared" si="10"/>
        <v>0</v>
      </c>
      <c r="N38" s="12"/>
      <c r="O38" s="12"/>
      <c r="P38" s="12"/>
      <c r="Q38" s="12"/>
      <c r="R38" s="12"/>
    </row>
    <row r="39" spans="1:18" hidden="1">
      <c r="A39" s="39">
        <v>55036</v>
      </c>
      <c r="B39" s="7" t="s">
        <v>37</v>
      </c>
      <c r="C39" s="42">
        <f>+IFERROR(VLOOKUP(A39,'2025 IS'!$D:$AH,31,FALSE),0)</f>
        <v>0</v>
      </c>
      <c r="D39" s="43"/>
      <c r="E39" s="43">
        <f t="shared" si="7"/>
        <v>0</v>
      </c>
      <c r="F39" s="44"/>
      <c r="G39" s="43"/>
      <c r="H39" s="43">
        <f t="shared" si="8"/>
        <v>0</v>
      </c>
      <c r="I39" s="858"/>
      <c r="J39" s="42">
        <f>H39*Ratios!$C$24</f>
        <v>0</v>
      </c>
      <c r="K39" s="42">
        <f t="shared" si="9"/>
        <v>0</v>
      </c>
      <c r="L39" s="317" t="s">
        <v>23</v>
      </c>
      <c r="M39" s="8">
        <f t="shared" si="10"/>
        <v>0</v>
      </c>
      <c r="N39" s="12"/>
      <c r="O39" s="12"/>
      <c r="P39" s="12"/>
      <c r="Q39" s="12"/>
      <c r="R39" s="12"/>
    </row>
    <row r="40" spans="1:18" hidden="1">
      <c r="A40" s="39">
        <v>55065</v>
      </c>
      <c r="B40" s="7" t="s">
        <v>31</v>
      </c>
      <c r="C40" s="42">
        <f>+IFERROR(VLOOKUP(A40,'2025 IS'!$D:$AH,31,FALSE),0)</f>
        <v>0</v>
      </c>
      <c r="D40" s="43"/>
      <c r="E40" s="43">
        <f t="shared" si="7"/>
        <v>0</v>
      </c>
      <c r="F40" s="44"/>
      <c r="G40" s="43"/>
      <c r="H40" s="43">
        <f t="shared" si="8"/>
        <v>0</v>
      </c>
      <c r="I40" s="858"/>
      <c r="J40" s="42">
        <f>H40*Ratios!$C$24</f>
        <v>0</v>
      </c>
      <c r="K40" s="42">
        <f t="shared" si="9"/>
        <v>0</v>
      </c>
      <c r="L40" s="317" t="s">
        <v>23</v>
      </c>
      <c r="M40" s="8">
        <f t="shared" si="10"/>
        <v>0</v>
      </c>
      <c r="N40" s="12"/>
      <c r="O40" s="12"/>
      <c r="P40" s="12"/>
      <c r="Q40" s="12"/>
      <c r="R40" s="12"/>
    </row>
    <row r="41" spans="1:18" hidden="1">
      <c r="A41" s="39">
        <v>55070</v>
      </c>
      <c r="B41" s="7" t="s">
        <v>38</v>
      </c>
      <c r="C41" s="42">
        <f>+IFERROR(VLOOKUP(A41,'2025 IS'!$D:$AH,31,FALSE),0)</f>
        <v>0</v>
      </c>
      <c r="D41" s="43"/>
      <c r="E41" s="43">
        <f t="shared" si="7"/>
        <v>0</v>
      </c>
      <c r="F41" s="44"/>
      <c r="G41" s="43"/>
      <c r="H41" s="43">
        <f t="shared" si="8"/>
        <v>0</v>
      </c>
      <c r="I41" s="858"/>
      <c r="J41" s="42">
        <f>H41*Ratios!$C$24</f>
        <v>0</v>
      </c>
      <c r="K41" s="42">
        <f t="shared" si="9"/>
        <v>0</v>
      </c>
      <c r="L41" s="317" t="s">
        <v>23</v>
      </c>
      <c r="M41" s="8">
        <f t="shared" si="10"/>
        <v>0</v>
      </c>
      <c r="N41" s="12"/>
      <c r="O41" s="12"/>
      <c r="P41" s="12"/>
      <c r="Q41" s="12"/>
      <c r="R41" s="12"/>
    </row>
    <row r="42" spans="1:18" hidden="1">
      <c r="A42" s="68">
        <v>41311</v>
      </c>
      <c r="B42" s="2" t="s">
        <v>33</v>
      </c>
      <c r="C42" s="47">
        <f>SUM(C36:C41)</f>
        <v>0</v>
      </c>
      <c r="D42" s="47">
        <f t="shared" ref="D42:E42" si="11">SUM(D36:D41)</f>
        <v>0</v>
      </c>
      <c r="E42" s="47">
        <f t="shared" si="11"/>
        <v>0</v>
      </c>
      <c r="F42" s="48"/>
      <c r="G42" s="47">
        <f>SUM(G36:G41)</f>
        <v>0</v>
      </c>
      <c r="H42" s="47">
        <f>SUM(H36:H41)</f>
        <v>0</v>
      </c>
      <c r="I42" s="859"/>
      <c r="J42" s="47">
        <f t="shared" ref="J42:K42" si="12">SUM(J36:J41)</f>
        <v>0</v>
      </c>
      <c r="K42" s="47">
        <f t="shared" si="12"/>
        <v>0</v>
      </c>
      <c r="L42" s="49"/>
      <c r="M42" s="49"/>
    </row>
    <row r="43" spans="1:18" ht="4.5" customHeight="1">
      <c r="C43" s="63"/>
      <c r="D43" s="46"/>
      <c r="E43" s="46"/>
      <c r="G43" s="46"/>
      <c r="H43" s="46"/>
      <c r="I43" s="860"/>
      <c r="J43" s="63"/>
      <c r="K43" s="63"/>
    </row>
    <row r="44" spans="1:18">
      <c r="A44" s="65">
        <v>41320</v>
      </c>
      <c r="B44" s="54" t="s">
        <v>39</v>
      </c>
      <c r="C44" s="70"/>
      <c r="D44" s="57"/>
      <c r="E44" s="57"/>
      <c r="F44" s="58"/>
      <c r="G44" s="57"/>
      <c r="H44" s="57"/>
      <c r="I44" s="862"/>
      <c r="J44" s="70"/>
      <c r="K44" s="70"/>
      <c r="L44" s="59"/>
      <c r="M44" s="59"/>
    </row>
    <row r="45" spans="1:18">
      <c r="A45" s="66">
        <v>52120</v>
      </c>
      <c r="B45" s="7" t="s">
        <v>39</v>
      </c>
      <c r="C45" s="42">
        <f>+IFERROR(VLOOKUP(A45,'2025 IS'!$D:$AH,31,FALSE),0)</f>
        <v>10537.91</v>
      </c>
      <c r="D45" s="81"/>
      <c r="E45" s="43">
        <f>SUM(C45:D45)</f>
        <v>10537.91</v>
      </c>
      <c r="F45" s="44"/>
      <c r="G45" s="46"/>
      <c r="H45" s="43">
        <f>C45+D45+G45</f>
        <v>10537.91</v>
      </c>
      <c r="I45" s="858"/>
      <c r="J45" s="42">
        <f>H45*Ratios!$C$24</f>
        <v>9495.2263250427022</v>
      </c>
      <c r="K45" s="42">
        <f>H45*Ratios!$D$24</f>
        <v>1042.6836749572969</v>
      </c>
      <c r="L45" s="317" t="s">
        <v>23</v>
      </c>
      <c r="M45" s="8">
        <f t="shared" ref="M45:M47" si="13">H45-J45-K45</f>
        <v>0</v>
      </c>
      <c r="N45" s="12"/>
      <c r="O45" s="8"/>
      <c r="P45" s="8"/>
      <c r="Q45" s="12"/>
      <c r="R45" s="12"/>
    </row>
    <row r="46" spans="1:18">
      <c r="A46" s="66">
        <v>52125</v>
      </c>
      <c r="B46" s="7" t="s">
        <v>40</v>
      </c>
      <c r="C46" s="42">
        <f>+IFERROR(VLOOKUP(A46,'2025 IS'!$D:$AH,31,FALSE),0)</f>
        <v>3126.51</v>
      </c>
      <c r="D46" s="43"/>
      <c r="E46" s="43">
        <f>SUM(C46:D46)</f>
        <v>3126.51</v>
      </c>
      <c r="F46" s="44"/>
      <c r="G46" s="46"/>
      <c r="H46" s="43">
        <f>C46+D46+G46</f>
        <v>3126.51</v>
      </c>
      <c r="I46" s="858"/>
      <c r="J46" s="42">
        <f>H46*Ratios!$C$24</f>
        <v>2817.1544506936634</v>
      </c>
      <c r="K46" s="42">
        <f>H46*Ratios!$D$24</f>
        <v>309.35554930633674</v>
      </c>
      <c r="L46" s="317" t="s">
        <v>23</v>
      </c>
      <c r="M46" s="8">
        <f t="shared" si="13"/>
        <v>0</v>
      </c>
      <c r="N46" s="12"/>
      <c r="O46" s="8"/>
      <c r="P46" s="8"/>
      <c r="Q46" s="12"/>
      <c r="R46" s="12"/>
    </row>
    <row r="47" spans="1:18">
      <c r="A47" s="66">
        <v>52135</v>
      </c>
      <c r="B47" s="7" t="s">
        <v>41</v>
      </c>
      <c r="C47" s="42">
        <f>+IFERROR(VLOOKUP(A47,'2025 IS'!$D:$AH,31,FALSE),0)</f>
        <v>2453</v>
      </c>
      <c r="D47" s="46"/>
      <c r="E47" s="43">
        <f>SUM(C47:D47)</f>
        <v>2453</v>
      </c>
      <c r="F47" s="44"/>
      <c r="G47" s="46"/>
      <c r="H47" s="43">
        <f>C47+D47+G47</f>
        <v>2453</v>
      </c>
      <c r="I47" s="858"/>
      <c r="J47" s="42">
        <f>H47*Ratios!$C$24</f>
        <v>2210.2855476398781</v>
      </c>
      <c r="K47" s="42">
        <f>H47*Ratios!$D$24</f>
        <v>242.71445236012167</v>
      </c>
      <c r="L47" s="317" t="s">
        <v>23</v>
      </c>
      <c r="M47" s="8">
        <f t="shared" si="13"/>
        <v>0</v>
      </c>
      <c r="N47" s="12"/>
      <c r="O47" s="8"/>
      <c r="P47" s="8"/>
      <c r="Q47" s="12"/>
      <c r="R47" s="12"/>
    </row>
    <row r="48" spans="1:18">
      <c r="A48" s="68">
        <v>41320</v>
      </c>
      <c r="B48" s="2" t="s">
        <v>42</v>
      </c>
      <c r="C48" s="47">
        <f>SUM(C45:C47)</f>
        <v>16117.42</v>
      </c>
      <c r="D48" s="47">
        <f>SUM(D45:D47)</f>
        <v>0</v>
      </c>
      <c r="E48" s="47">
        <f>SUM(E45:E47)</f>
        <v>16117.42</v>
      </c>
      <c r="F48" s="48"/>
      <c r="G48" s="47">
        <f>SUM(G45:G47)</f>
        <v>0</v>
      </c>
      <c r="H48" s="47">
        <f>SUM(H45:H47)</f>
        <v>16117.42</v>
      </c>
      <c r="I48" s="859"/>
      <c r="J48" s="47">
        <f>SUM(J45:J47)</f>
        <v>14522.666323376243</v>
      </c>
      <c r="K48" s="47">
        <f>SUM(K45:K47)</f>
        <v>1594.7536766237554</v>
      </c>
      <c r="L48" s="49"/>
      <c r="M48" s="49"/>
    </row>
    <row r="49" spans="1:18" ht="4.5" customHeight="1">
      <c r="A49" s="68"/>
      <c r="B49" s="2"/>
      <c r="C49" s="63"/>
      <c r="D49" s="63"/>
      <c r="E49" s="63"/>
      <c r="F49" s="64"/>
      <c r="G49" s="63"/>
      <c r="H49" s="63"/>
      <c r="I49" s="860"/>
      <c r="J49" s="63"/>
      <c r="K49" s="63"/>
      <c r="L49" s="3"/>
      <c r="M49" s="3"/>
    </row>
    <row r="50" spans="1:18">
      <c r="A50" s="55">
        <v>41330</v>
      </c>
      <c r="B50" s="55"/>
      <c r="C50" s="56"/>
      <c r="D50" s="57"/>
      <c r="E50" s="57"/>
      <c r="F50" s="58"/>
      <c r="G50" s="57"/>
      <c r="H50" s="57"/>
      <c r="I50" s="862"/>
      <c r="J50" s="56"/>
      <c r="K50" s="56"/>
      <c r="L50" s="59"/>
      <c r="M50" s="59"/>
    </row>
    <row r="51" spans="1:18">
      <c r="A51" s="39">
        <v>52147</v>
      </c>
      <c r="B51" s="7" t="s">
        <v>43</v>
      </c>
      <c r="C51" s="42">
        <f>+IFERROR(VLOOKUP(A51,'2025 IS'!$D:$AH,31,FALSE),0)</f>
        <v>14132.72</v>
      </c>
      <c r="D51" s="46"/>
      <c r="E51" s="43">
        <f>SUM(C51:D51)</f>
        <v>14132.72</v>
      </c>
      <c r="F51" s="44"/>
      <c r="G51" s="46"/>
      <c r="H51" s="43">
        <f>C51+D51+G51</f>
        <v>14132.72</v>
      </c>
      <c r="I51" s="858"/>
      <c r="J51" s="42">
        <f>H51*Ratios!$C$24</f>
        <v>12734.344380285796</v>
      </c>
      <c r="K51" s="42">
        <f>H51*Ratios!$D$24</f>
        <v>1398.3756197142025</v>
      </c>
      <c r="L51" s="317" t="s">
        <v>23</v>
      </c>
      <c r="M51" s="8">
        <f t="shared" ref="M51" si="14">H51-J51-K51</f>
        <v>0</v>
      </c>
      <c r="N51" s="12"/>
      <c r="O51" s="8"/>
      <c r="P51" s="8"/>
      <c r="Q51" s="12"/>
      <c r="R51" s="12"/>
    </row>
    <row r="52" spans="1:18">
      <c r="A52" s="68">
        <v>41330</v>
      </c>
      <c r="B52" s="2" t="s">
        <v>20</v>
      </c>
      <c r="C52" s="47">
        <f>SUM(C51:C51)</f>
        <v>14132.72</v>
      </c>
      <c r="D52" s="47">
        <f>SUM(D51:D51)</f>
        <v>0</v>
      </c>
      <c r="E52" s="47">
        <f>SUM(E51:E51)</f>
        <v>14132.72</v>
      </c>
      <c r="F52" s="48"/>
      <c r="G52" s="47">
        <f>SUM(G51:G51)</f>
        <v>0</v>
      </c>
      <c r="H52" s="47">
        <f>SUM(H51:H51)</f>
        <v>14132.72</v>
      </c>
      <c r="I52" s="859"/>
      <c r="J52" s="47">
        <f>SUM(J51:J51)</f>
        <v>12734.344380285796</v>
      </c>
      <c r="K52" s="47">
        <f>SUM(K51:K51)</f>
        <v>1398.3756197142025</v>
      </c>
      <c r="L52" s="49"/>
      <c r="M52" s="49"/>
    </row>
    <row r="53" spans="1:18" ht="4.5" customHeight="1">
      <c r="A53" s="68"/>
      <c r="B53" s="2"/>
      <c r="C53" s="63"/>
      <c r="D53" s="63"/>
      <c r="E53" s="63"/>
      <c r="F53" s="64"/>
      <c r="G53" s="63"/>
      <c r="H53" s="63"/>
      <c r="I53" s="860"/>
      <c r="J53" s="63"/>
      <c r="K53" s="63"/>
      <c r="L53" s="3"/>
      <c r="M53" s="3"/>
    </row>
    <row r="54" spans="1:18">
      <c r="A54" s="65">
        <v>41340</v>
      </c>
      <c r="B54" s="54" t="s">
        <v>44</v>
      </c>
      <c r="C54" s="56"/>
      <c r="D54" s="57"/>
      <c r="E54" s="57"/>
      <c r="F54" s="58"/>
      <c r="G54" s="57"/>
      <c r="H54" s="57"/>
      <c r="I54" s="862"/>
      <c r="J54" s="56"/>
      <c r="K54" s="56"/>
      <c r="L54" s="59"/>
      <c r="M54" s="59"/>
    </row>
    <row r="55" spans="1:18">
      <c r="A55" s="39">
        <v>59400</v>
      </c>
      <c r="B55" s="7" t="s">
        <v>45</v>
      </c>
      <c r="C55" s="42">
        <f>+IFERROR(VLOOKUP(A55,'2025 IS'!$D:$AH,31,FALSE),0)</f>
        <v>2403.98</v>
      </c>
      <c r="D55" s="46"/>
      <c r="E55" s="43">
        <f>SUM(C55:D55)</f>
        <v>2403.98</v>
      </c>
      <c r="F55" s="44"/>
      <c r="G55" s="46"/>
      <c r="H55" s="43">
        <f>C55+D55+G55</f>
        <v>2403.98</v>
      </c>
      <c r="I55" s="858"/>
      <c r="J55" s="42">
        <f>H55*Ratios!$C$24</f>
        <v>2166.1158788484772</v>
      </c>
      <c r="K55" s="42">
        <f>H55*Ratios!$D$24</f>
        <v>237.86412115152274</v>
      </c>
      <c r="L55" s="317" t="s">
        <v>23</v>
      </c>
      <c r="M55" s="8">
        <f t="shared" ref="M55" si="15">H55-J55-K55</f>
        <v>0</v>
      </c>
      <c r="N55" s="12"/>
      <c r="O55" s="8"/>
      <c r="P55" s="8"/>
      <c r="Q55" s="12"/>
      <c r="R55" s="12"/>
    </row>
    <row r="56" spans="1:18">
      <c r="A56" s="68">
        <v>41340</v>
      </c>
      <c r="B56" s="2" t="s">
        <v>44</v>
      </c>
      <c r="C56" s="47">
        <f>SUM(C55:C55)</f>
        <v>2403.98</v>
      </c>
      <c r="D56" s="47">
        <f>SUM(D55:D55)</f>
        <v>0</v>
      </c>
      <c r="E56" s="47">
        <f>SUM(E55:E55)</f>
        <v>2403.98</v>
      </c>
      <c r="F56" s="48"/>
      <c r="G56" s="47">
        <f>SUM(G55:G55)</f>
        <v>0</v>
      </c>
      <c r="H56" s="47">
        <f>SUM(H55:H55)</f>
        <v>2403.98</v>
      </c>
      <c r="I56" s="859"/>
      <c r="J56" s="47">
        <f>SUM(J55:J55)</f>
        <v>2166.1158788484772</v>
      </c>
      <c r="K56" s="47">
        <f>SUM(K55:K55)</f>
        <v>237.86412115152274</v>
      </c>
      <c r="L56" s="49"/>
      <c r="M56" s="49"/>
    </row>
    <row r="57" spans="1:18" ht="6" customHeight="1">
      <c r="A57" s="68"/>
      <c r="B57" s="2"/>
      <c r="C57" s="63"/>
      <c r="D57" s="63"/>
      <c r="E57" s="63"/>
      <c r="F57" s="64"/>
      <c r="G57" s="63"/>
      <c r="H57" s="63"/>
      <c r="I57" s="860"/>
      <c r="J57" s="63"/>
      <c r="K57" s="63"/>
      <c r="L57" s="3"/>
      <c r="M57" s="3"/>
    </row>
    <row r="58" spans="1:18">
      <c r="A58" s="65">
        <v>41600</v>
      </c>
      <c r="B58" s="55"/>
      <c r="C58" s="56"/>
      <c r="D58" s="57"/>
      <c r="E58" s="57"/>
      <c r="F58" s="58"/>
      <c r="G58" s="57"/>
      <c r="H58" s="57"/>
      <c r="I58" s="862"/>
      <c r="J58" s="56"/>
      <c r="K58" s="56"/>
      <c r="L58" s="59"/>
      <c r="M58" s="59"/>
    </row>
    <row r="59" spans="1:18">
      <c r="A59" s="39">
        <v>52140</v>
      </c>
      <c r="B59" s="7" t="s">
        <v>46</v>
      </c>
      <c r="C59" s="42">
        <f>+IFERROR(VLOOKUP(A59,'2025 IS'!$D:$AH,31,FALSE),0)</f>
        <v>21100.940000000002</v>
      </c>
      <c r="D59" s="46"/>
      <c r="E59" s="43">
        <f>SUM(C59:D59)</f>
        <v>21100.940000000002</v>
      </c>
      <c r="F59" s="44"/>
      <c r="G59" s="46"/>
      <c r="H59" s="43">
        <f>C59+D59+G59</f>
        <v>21100.940000000002</v>
      </c>
      <c r="I59" s="858"/>
      <c r="J59" s="42">
        <f>H59*Ratios!$C$24</f>
        <v>19013.087127442406</v>
      </c>
      <c r="K59" s="42">
        <f>H59*Ratios!$D$24</f>
        <v>2087.852872557597</v>
      </c>
      <c r="L59" s="317" t="s">
        <v>23</v>
      </c>
      <c r="M59" s="8">
        <f t="shared" ref="M59" si="16">H59-J59-K59</f>
        <v>0</v>
      </c>
      <c r="N59" s="12"/>
      <c r="O59" s="8"/>
      <c r="P59" s="8"/>
      <c r="Q59" s="12"/>
      <c r="R59" s="12"/>
    </row>
    <row r="60" spans="1:18">
      <c r="A60" s="68">
        <v>41600</v>
      </c>
      <c r="B60" s="2" t="s">
        <v>20</v>
      </c>
      <c r="C60" s="47">
        <f>SUM(C59)</f>
        <v>21100.940000000002</v>
      </c>
      <c r="D60" s="47">
        <f>SUM(D59:D59)</f>
        <v>0</v>
      </c>
      <c r="E60" s="47">
        <f>SUM(E59)</f>
        <v>21100.940000000002</v>
      </c>
      <c r="F60" s="48"/>
      <c r="G60" s="47">
        <f>SUM(G59:G59)</f>
        <v>0</v>
      </c>
      <c r="H60" s="47">
        <f>SUM(H59:H59)</f>
        <v>21100.940000000002</v>
      </c>
      <c r="I60" s="859"/>
      <c r="J60" s="47">
        <f>SUM(J59:J59)</f>
        <v>19013.087127442406</v>
      </c>
      <c r="K60" s="47">
        <f>SUM(K59:K59)</f>
        <v>2087.852872557597</v>
      </c>
      <c r="L60" s="49"/>
      <c r="M60" s="49"/>
    </row>
    <row r="61" spans="1:18" ht="6" customHeight="1">
      <c r="A61" s="68"/>
      <c r="B61" s="2"/>
      <c r="C61" s="63"/>
      <c r="D61" s="63"/>
      <c r="E61" s="63"/>
      <c r="F61" s="64"/>
      <c r="G61" s="63"/>
      <c r="H61" s="63"/>
      <c r="I61" s="860"/>
      <c r="J61" s="63"/>
      <c r="K61" s="63"/>
      <c r="L61" s="3"/>
      <c r="M61" s="3"/>
    </row>
    <row r="62" spans="1:18">
      <c r="A62" s="65">
        <v>41800</v>
      </c>
      <c r="B62" s="54" t="s">
        <v>47</v>
      </c>
      <c r="C62" s="70"/>
      <c r="D62" s="57"/>
      <c r="E62" s="57"/>
      <c r="F62" s="58"/>
      <c r="G62" s="57"/>
      <c r="H62" s="57"/>
      <c r="I62" s="862"/>
      <c r="J62" s="70"/>
      <c r="K62" s="70"/>
      <c r="L62" s="59"/>
      <c r="M62" s="59"/>
    </row>
    <row r="63" spans="1:18">
      <c r="A63" s="66">
        <v>52182</v>
      </c>
      <c r="B63" s="7" t="s">
        <v>52</v>
      </c>
      <c r="C63" s="42">
        <f>+IFERROR(VLOOKUP(A63,'2025 IS'!$D:$AH,31,FALSE),0)</f>
        <v>5459.4800000000005</v>
      </c>
      <c r="D63" s="46"/>
      <c r="E63" s="43">
        <f t="shared" ref="E63:E64" si="17">SUM(C63:D63)</f>
        <v>5459.4800000000005</v>
      </c>
      <c r="F63" s="44"/>
      <c r="G63" s="46"/>
      <c r="H63" s="43">
        <f t="shared" ref="H63:H64" si="18">C63+D63+G63</f>
        <v>5459.4800000000005</v>
      </c>
      <c r="I63" s="858"/>
      <c r="J63" s="42">
        <f>H63*Ratios!$C$24</f>
        <v>4919.2864825230181</v>
      </c>
      <c r="K63" s="42">
        <f>H63*Ratios!$D$24</f>
        <v>540.19351747698215</v>
      </c>
      <c r="L63" s="317" t="s">
        <v>23</v>
      </c>
      <c r="M63" s="8">
        <f t="shared" ref="M63:M64" si="19">H63-J63-K63</f>
        <v>0</v>
      </c>
      <c r="N63" s="12"/>
      <c r="O63" s="8"/>
      <c r="P63" s="8"/>
      <c r="Q63" s="12"/>
      <c r="R63" s="12"/>
    </row>
    <row r="64" spans="1:18">
      <c r="A64" s="66">
        <v>57254</v>
      </c>
      <c r="B64" s="7" t="s">
        <v>59</v>
      </c>
      <c r="C64" s="42">
        <f>+IFERROR(VLOOKUP(A64,'2025 IS'!$D:$AH,31,FALSE),0)</f>
        <v>5726.0800000000008</v>
      </c>
      <c r="D64" s="46"/>
      <c r="E64" s="43">
        <f t="shared" si="17"/>
        <v>5726.0800000000008</v>
      </c>
      <c r="F64" s="44"/>
      <c r="G64" s="46"/>
      <c r="H64" s="43">
        <f t="shared" si="18"/>
        <v>5726.0800000000008</v>
      </c>
      <c r="I64" s="858"/>
      <c r="J64" s="42">
        <f>H64*Ratios!$C$24</f>
        <v>5159.507488230639</v>
      </c>
      <c r="K64" s="42">
        <f>H64*Ratios!$D$24</f>
        <v>566.57251176936222</v>
      </c>
      <c r="L64" s="317" t="s">
        <v>23</v>
      </c>
      <c r="M64" s="8">
        <f t="shared" si="19"/>
        <v>0</v>
      </c>
      <c r="N64" s="12"/>
      <c r="O64" s="12"/>
      <c r="P64" s="12"/>
      <c r="Q64" s="12"/>
      <c r="R64" s="12"/>
    </row>
    <row r="65" spans="1:18">
      <c r="A65" s="68">
        <v>41800</v>
      </c>
      <c r="B65" s="2" t="s">
        <v>47</v>
      </c>
      <c r="C65" s="47">
        <f>SUM(C63:C64)</f>
        <v>11185.560000000001</v>
      </c>
      <c r="D65" s="47">
        <f>SUM(D63:D64)</f>
        <v>0</v>
      </c>
      <c r="E65" s="47">
        <f>SUM(E63:E64)</f>
        <v>11185.560000000001</v>
      </c>
      <c r="F65" s="48"/>
      <c r="G65" s="47">
        <f>SUM(G63:G64)</f>
        <v>0</v>
      </c>
      <c r="H65" s="47">
        <f>SUM(H63:H64)</f>
        <v>11185.560000000001</v>
      </c>
      <c r="I65" s="859"/>
      <c r="J65" s="47">
        <f>SUM(J63:J64)</f>
        <v>10078.793970753657</v>
      </c>
      <c r="K65" s="47">
        <f>SUM(K63:K64)</f>
        <v>1106.7660292463443</v>
      </c>
      <c r="L65" s="49"/>
      <c r="M65" s="49"/>
    </row>
    <row r="66" spans="1:18" ht="5.25" customHeight="1">
      <c r="C66" s="42"/>
      <c r="D66" s="46"/>
      <c r="E66" s="46"/>
      <c r="G66" s="46"/>
      <c r="H66" s="46"/>
      <c r="I66" s="860"/>
      <c r="J66" s="42"/>
      <c r="K66" s="42"/>
    </row>
    <row r="67" spans="1:18">
      <c r="A67" s="65">
        <v>42100</v>
      </c>
      <c r="B67" s="54" t="s">
        <v>60</v>
      </c>
      <c r="C67" s="56"/>
      <c r="D67" s="57"/>
      <c r="E67" s="57"/>
      <c r="F67" s="58"/>
      <c r="G67" s="57"/>
      <c r="H67" s="57"/>
      <c r="I67" s="862"/>
      <c r="J67" s="56"/>
      <c r="K67" s="56"/>
      <c r="L67" s="59"/>
      <c r="M67" s="59"/>
    </row>
    <row r="68" spans="1:18">
      <c r="A68" s="39">
        <v>56010</v>
      </c>
      <c r="B68" s="7" t="s">
        <v>61</v>
      </c>
      <c r="C68" s="42">
        <f>+IFERROR(VLOOKUP(A68,'2025 IS'!$D:$AH,31,FALSE),0)</f>
        <v>48334.17</v>
      </c>
      <c r="D68" s="81">
        <f>+'Restating Adj''s'!V28</f>
        <v>43.077889588074854</v>
      </c>
      <c r="E68" s="43">
        <f>SUM(C68:D68)</f>
        <v>48377.24788958807</v>
      </c>
      <c r="F68" s="498" t="s">
        <v>76</v>
      </c>
      <c r="G68" s="81">
        <f>+'Pro-forma Adj''s'!B10</f>
        <v>1049.3024472397017</v>
      </c>
      <c r="H68" s="43">
        <f>C68+D68+G68</f>
        <v>49426.550336827771</v>
      </c>
      <c r="I68" s="498" t="s">
        <v>568</v>
      </c>
      <c r="J68" s="42">
        <f>H68*Ratios!$C$24</f>
        <v>44535.992612794696</v>
      </c>
      <c r="K68" s="42">
        <f>H68*Ratios!$D$24</f>
        <v>4890.5577240330776</v>
      </c>
      <c r="L68" s="317" t="s">
        <v>23</v>
      </c>
      <c r="M68" s="8">
        <f t="shared" ref="M68:M70" si="20">H68-J68-K68</f>
        <v>0</v>
      </c>
      <c r="N68" s="12"/>
      <c r="O68" s="8"/>
      <c r="P68" s="8"/>
      <c r="Q68" s="12"/>
      <c r="R68" s="12"/>
    </row>
    <row r="69" spans="1:18">
      <c r="A69" s="39">
        <v>56036</v>
      </c>
      <c r="B69" s="7" t="s">
        <v>37</v>
      </c>
      <c r="C69" s="42">
        <f>+IFERROR(VLOOKUP(A69,'2025 IS'!$D:$AH,31,FALSE),0)</f>
        <v>142.97</v>
      </c>
      <c r="D69" s="43"/>
      <c r="E69" s="43"/>
      <c r="F69" s="44"/>
      <c r="G69" s="43"/>
      <c r="H69" s="43">
        <f>C69+D69+G69</f>
        <v>142.97</v>
      </c>
      <c r="I69" s="858"/>
      <c r="J69" s="42">
        <f>H69*Ratios!$C$24</f>
        <v>128.8236953714119</v>
      </c>
      <c r="K69" s="42">
        <f>H69*Ratios!$D$24</f>
        <v>14.146304628588094</v>
      </c>
      <c r="L69" s="317" t="s">
        <v>23</v>
      </c>
      <c r="M69" s="8">
        <f t="shared" si="20"/>
        <v>0</v>
      </c>
      <c r="N69" s="12"/>
      <c r="O69" s="8"/>
      <c r="P69" s="8"/>
      <c r="Q69" s="12"/>
      <c r="R69" s="12"/>
    </row>
    <row r="70" spans="1:18">
      <c r="A70" s="39">
        <v>56065</v>
      </c>
      <c r="B70" s="7" t="s">
        <v>31</v>
      </c>
      <c r="C70" s="42">
        <f>+IFERROR(VLOOKUP(A70,'2025 IS'!$D:$AH,31,FALSE),0)</f>
        <v>1601.5300000000002</v>
      </c>
      <c r="D70" s="43"/>
      <c r="E70" s="43">
        <f>SUM(C70:D70)</f>
        <v>1601.5300000000002</v>
      </c>
      <c r="F70" s="44"/>
      <c r="G70" s="43"/>
      <c r="H70" s="43">
        <f>C70+D70+G70</f>
        <v>1601.5300000000002</v>
      </c>
      <c r="I70" s="858"/>
      <c r="J70" s="42">
        <f>H70*Ratios!$C$24</f>
        <v>1443.0650685331002</v>
      </c>
      <c r="K70" s="42">
        <f>H70*Ratios!$D$24</f>
        <v>158.4649314669</v>
      </c>
      <c r="L70" s="317" t="s">
        <v>23</v>
      </c>
      <c r="M70" s="8">
        <f t="shared" si="20"/>
        <v>0</v>
      </c>
      <c r="N70" s="12"/>
      <c r="O70" s="8"/>
      <c r="P70" s="8"/>
      <c r="Q70" s="12"/>
      <c r="R70" s="12"/>
    </row>
    <row r="71" spans="1:18">
      <c r="A71" s="62">
        <v>42100</v>
      </c>
      <c r="B71" s="74" t="s">
        <v>60</v>
      </c>
      <c r="C71" s="47">
        <f>SUM(C68:C70)</f>
        <v>50078.67</v>
      </c>
      <c r="D71" s="47">
        <f>SUM(D68:D70)</f>
        <v>43.077889588074854</v>
      </c>
      <c r="E71" s="47">
        <f>SUM(E68:E70)</f>
        <v>49978.777889588069</v>
      </c>
      <c r="F71" s="48"/>
      <c r="G71" s="47">
        <f>SUM(G68:G70)</f>
        <v>1049.3024472397017</v>
      </c>
      <c r="H71" s="47">
        <f>SUM(H68:H70)</f>
        <v>51171.050336827771</v>
      </c>
      <c r="I71" s="859"/>
      <c r="J71" s="47">
        <f>SUM(J68:J70)</f>
        <v>46107.88137669921</v>
      </c>
      <c r="K71" s="47">
        <f>SUM(K68:K70)</f>
        <v>5063.1689601285652</v>
      </c>
      <c r="L71" s="49"/>
      <c r="M71" s="49"/>
    </row>
    <row r="72" spans="1:18" ht="6.75" customHeight="1">
      <c r="A72" s="62"/>
      <c r="B72" s="74"/>
      <c r="C72" s="63"/>
      <c r="D72" s="63"/>
      <c r="E72" s="63"/>
      <c r="F72" s="64"/>
      <c r="G72" s="63"/>
      <c r="H72" s="63"/>
      <c r="I72" s="860"/>
      <c r="J72" s="63"/>
      <c r="K72" s="63"/>
      <c r="L72" s="3"/>
      <c r="M72" s="3"/>
    </row>
    <row r="73" spans="1:18" ht="12" customHeight="1">
      <c r="A73" s="65">
        <v>42300</v>
      </c>
      <c r="B73" s="54" t="s">
        <v>63</v>
      </c>
      <c r="C73" s="56"/>
      <c r="D73" s="57"/>
      <c r="E73" s="57"/>
      <c r="F73" s="58"/>
      <c r="G73" s="57"/>
      <c r="H73" s="57"/>
      <c r="I73" s="862"/>
      <c r="J73" s="56"/>
      <c r="K73" s="56"/>
      <c r="L73" s="59"/>
      <c r="M73" s="59"/>
    </row>
    <row r="74" spans="1:18">
      <c r="A74" s="66">
        <v>50020</v>
      </c>
      <c r="B74" s="7" t="s">
        <v>34</v>
      </c>
      <c r="C74" s="42">
        <f>+IFERROR(VLOOKUP(A74,'2025 IS'!$D:$AH,31,FALSE),0)</f>
        <v>101488.26</v>
      </c>
      <c r="D74" s="81">
        <f>+'Restating Adj''s'!V29</f>
        <v>9983.744881325425</v>
      </c>
      <c r="E74" s="43">
        <f t="shared" ref="E74:E79" si="21">SUM(C74:D74)</f>
        <v>111472.00488132543</v>
      </c>
      <c r="F74" s="498" t="s">
        <v>76</v>
      </c>
      <c r="G74" s="81">
        <f>+SUM('Pro-forma Adj''s'!B8:B8)</f>
        <v>1858.3712653795151</v>
      </c>
      <c r="H74" s="43">
        <f t="shared" ref="H74:H79" si="22">C74+D74+G74</f>
        <v>113330.37614670493</v>
      </c>
      <c r="I74" s="498" t="s">
        <v>568</v>
      </c>
      <c r="J74" s="42">
        <f>H74*Ratios!$C$24</f>
        <v>102116.79270511746</v>
      </c>
      <c r="K74" s="42">
        <f>H74*Ratios!$D$24</f>
        <v>11213.583441587478</v>
      </c>
      <c r="L74" s="317" t="s">
        <v>23</v>
      </c>
      <c r="M74" s="8">
        <f t="shared" ref="M74:M79" si="23">H74-J74-K74</f>
        <v>0</v>
      </c>
      <c r="N74" s="12"/>
      <c r="O74" s="8"/>
      <c r="P74" s="8"/>
      <c r="Q74" s="12"/>
      <c r="R74" s="12"/>
    </row>
    <row r="75" spans="1:18">
      <c r="A75" s="66">
        <v>50025</v>
      </c>
      <c r="B75" s="7" t="s">
        <v>64</v>
      </c>
      <c r="C75" s="42">
        <f>+IFERROR(VLOOKUP(A75,'2025 IS'!$D:$AH,31,FALSE),0)</f>
        <v>29497.24</v>
      </c>
      <c r="D75" s="67"/>
      <c r="E75" s="43">
        <f t="shared" si="21"/>
        <v>29497.24</v>
      </c>
      <c r="F75" s="44"/>
      <c r="G75" s="46"/>
      <c r="H75" s="43">
        <f t="shared" si="22"/>
        <v>29497.24</v>
      </c>
      <c r="I75" s="858"/>
      <c r="J75" s="42">
        <f>H75*Ratios!$C$24</f>
        <v>26578.607120776571</v>
      </c>
      <c r="K75" s="42">
        <f>H75*Ratios!$D$24</f>
        <v>2918.6328792234308</v>
      </c>
      <c r="L75" s="317" t="s">
        <v>23</v>
      </c>
      <c r="M75" s="8">
        <f t="shared" si="23"/>
        <v>0</v>
      </c>
      <c r="N75" s="12"/>
      <c r="O75" s="8"/>
      <c r="P75" s="8"/>
      <c r="Q75" s="12"/>
      <c r="R75" s="12"/>
    </row>
    <row r="76" spans="1:18">
      <c r="A76" s="75">
        <v>50035</v>
      </c>
      <c r="B76" s="7" t="s">
        <v>29</v>
      </c>
      <c r="C76" s="42">
        <f>+IFERROR(VLOOKUP(A76,'2025 IS'!$D:$AH,31,FALSE),0)</f>
        <v>-236.5</v>
      </c>
      <c r="D76" s="46"/>
      <c r="E76" s="43">
        <f t="shared" si="21"/>
        <v>-236.5</v>
      </c>
      <c r="F76" s="44"/>
      <c r="G76" s="46"/>
      <c r="H76" s="43">
        <f t="shared" si="22"/>
        <v>-236.5</v>
      </c>
      <c r="I76" s="858"/>
      <c r="J76" s="42">
        <f>H76*Ratios!$C$24</f>
        <v>-213.09927925675956</v>
      </c>
      <c r="K76" s="42">
        <f>H76*Ratios!$D$24</f>
        <v>-23.400720743240427</v>
      </c>
      <c r="L76" s="317" t="s">
        <v>23</v>
      </c>
      <c r="M76" s="8">
        <f t="shared" si="23"/>
        <v>0</v>
      </c>
      <c r="N76" s="12"/>
      <c r="O76" s="8"/>
      <c r="P76" s="8"/>
      <c r="Q76" s="12"/>
      <c r="R76" s="12"/>
    </row>
    <row r="77" spans="1:18">
      <c r="A77" s="75">
        <v>50036</v>
      </c>
      <c r="B77" s="7" t="s">
        <v>30</v>
      </c>
      <c r="C77" s="42">
        <f>+IFERROR(VLOOKUP(A77,'2025 IS'!$D:$AH,31,FALSE),0)</f>
        <v>3557.26</v>
      </c>
      <c r="D77" s="46"/>
      <c r="E77" s="43">
        <f t="shared" si="21"/>
        <v>3557.26</v>
      </c>
      <c r="F77" s="44"/>
      <c r="G77" s="46"/>
      <c r="H77" s="43">
        <f t="shared" si="22"/>
        <v>3557.26</v>
      </c>
      <c r="I77" s="858"/>
      <c r="J77" s="42">
        <f>H77*Ratios!$C$24</f>
        <v>3205.2834762321377</v>
      </c>
      <c r="K77" s="42">
        <f>H77*Ratios!$D$24</f>
        <v>351.97652376786237</v>
      </c>
      <c r="L77" s="317" t="s">
        <v>23</v>
      </c>
      <c r="M77" s="8">
        <f t="shared" si="23"/>
        <v>0</v>
      </c>
      <c r="N77" s="12"/>
      <c r="O77" s="8"/>
      <c r="P77" s="8"/>
      <c r="Q77" s="12"/>
      <c r="R77" s="12"/>
    </row>
    <row r="78" spans="1:18">
      <c r="A78" s="66">
        <v>50065</v>
      </c>
      <c r="B78" s="7" t="s">
        <v>31</v>
      </c>
      <c r="C78" s="42">
        <f>+IFERROR(VLOOKUP(A78,'2025 IS'!$D:$AH,31,FALSE),0)</f>
        <v>3193.8500000000004</v>
      </c>
      <c r="D78" s="46"/>
      <c r="E78" s="43">
        <f t="shared" si="21"/>
        <v>3193.8500000000004</v>
      </c>
      <c r="F78" s="44"/>
      <c r="G78" s="46"/>
      <c r="H78" s="43">
        <f t="shared" si="22"/>
        <v>3193.8500000000004</v>
      </c>
      <c r="I78" s="858"/>
      <c r="J78" s="42">
        <f>H78*Ratios!$C$24</f>
        <v>2877.8314294046581</v>
      </c>
      <c r="K78" s="42">
        <f>H78*Ratios!$D$24</f>
        <v>316.01857059534228</v>
      </c>
      <c r="L78" s="317" t="s">
        <v>23</v>
      </c>
      <c r="M78" s="8">
        <f t="shared" si="23"/>
        <v>0</v>
      </c>
      <c r="N78" s="12"/>
      <c r="O78" s="8"/>
      <c r="P78" s="8"/>
      <c r="Q78" s="12"/>
      <c r="R78" s="12"/>
    </row>
    <row r="79" spans="1:18">
      <c r="A79" s="66">
        <v>50070</v>
      </c>
      <c r="B79" s="7" t="s">
        <v>32</v>
      </c>
      <c r="C79" s="42">
        <f>+IFERROR(VLOOKUP(A79,'2025 IS'!$D:$AH,31,FALSE),0)</f>
        <v>0</v>
      </c>
      <c r="D79" s="46"/>
      <c r="E79" s="43">
        <f t="shared" si="21"/>
        <v>0</v>
      </c>
      <c r="F79" s="44"/>
      <c r="G79" s="46"/>
      <c r="H79" s="43">
        <f t="shared" si="22"/>
        <v>0</v>
      </c>
      <c r="I79" s="858"/>
      <c r="J79" s="42">
        <f>H79*Ratios!$C$24</f>
        <v>0</v>
      </c>
      <c r="K79" s="42">
        <f>H79*Ratios!$D$24</f>
        <v>0</v>
      </c>
      <c r="L79" s="317" t="s">
        <v>23</v>
      </c>
      <c r="M79" s="8">
        <f t="shared" si="23"/>
        <v>0</v>
      </c>
      <c r="N79" s="12"/>
      <c r="O79" s="8"/>
      <c r="P79" s="8"/>
      <c r="Q79" s="12"/>
      <c r="R79" s="12"/>
    </row>
    <row r="80" spans="1:18">
      <c r="A80" s="62">
        <v>42300</v>
      </c>
      <c r="B80" s="2" t="s">
        <v>65</v>
      </c>
      <c r="C80" s="47">
        <f>SUM(C74:C79)</f>
        <v>137500.11000000002</v>
      </c>
      <c r="D80" s="47">
        <f>SUM(D74:D79)</f>
        <v>9983.744881325425</v>
      </c>
      <c r="E80" s="47">
        <f>SUM(E74:E79)</f>
        <v>147483.85488132545</v>
      </c>
      <c r="F80" s="48"/>
      <c r="G80" s="47">
        <f>SUM(G74:G79)</f>
        <v>1858.3712653795151</v>
      </c>
      <c r="H80" s="47">
        <f>SUM(H74:H79)</f>
        <v>149342.22614670495</v>
      </c>
      <c r="I80" s="859"/>
      <c r="J80" s="47">
        <f>SUM(J74:J79)</f>
        <v>134565.41545227409</v>
      </c>
      <c r="K80" s="47">
        <f>SUM(K74:K79)</f>
        <v>14776.810694430873</v>
      </c>
      <c r="L80" s="49"/>
      <c r="M80" s="49"/>
      <c r="N80" s="76"/>
      <c r="O80" s="12"/>
      <c r="P80" s="12"/>
      <c r="Q80" s="12"/>
      <c r="R80" s="12"/>
    </row>
    <row r="81" spans="1:18" ht="6.75" customHeight="1">
      <c r="A81" s="62"/>
      <c r="B81" s="2"/>
      <c r="C81" s="63"/>
      <c r="D81" s="63"/>
      <c r="E81" s="63"/>
      <c r="F81" s="64"/>
      <c r="G81" s="63"/>
      <c r="H81" s="63"/>
      <c r="I81" s="860"/>
      <c r="J81" s="63"/>
      <c r="K81" s="63"/>
      <c r="L81" s="3"/>
      <c r="M81" s="3"/>
      <c r="N81" s="76"/>
      <c r="O81" s="12"/>
      <c r="P81" s="12"/>
      <c r="Q81" s="12"/>
      <c r="R81" s="12"/>
    </row>
    <row r="82" spans="1:18">
      <c r="A82" s="77">
        <v>42315</v>
      </c>
      <c r="B82" s="54" t="s">
        <v>48</v>
      </c>
      <c r="C82" s="70"/>
      <c r="D82" s="57"/>
      <c r="E82" s="57"/>
      <c r="F82" s="58"/>
      <c r="G82" s="57"/>
      <c r="H82" s="57"/>
      <c r="I82" s="862"/>
      <c r="J82" s="56"/>
      <c r="K82" s="56"/>
      <c r="L82" s="59"/>
      <c r="M82" s="59"/>
    </row>
    <row r="83" spans="1:18">
      <c r="A83" s="60">
        <v>50045</v>
      </c>
      <c r="B83" s="7" t="s">
        <v>48</v>
      </c>
      <c r="C83" s="42">
        <f>+IFERROR(VLOOKUP(A83,'2025 IS'!$D:$AH,31,FALSE),0)</f>
        <v>944.78</v>
      </c>
      <c r="D83" s="46"/>
      <c r="E83" s="43">
        <f>SUM(C83:D83)</f>
        <v>944.78</v>
      </c>
      <c r="F83" s="44"/>
      <c r="G83" s="46"/>
      <c r="H83" s="43">
        <f>C83+D83+G83</f>
        <v>944.78</v>
      </c>
      <c r="I83" s="858"/>
      <c r="J83" s="42">
        <f>H83*Ratios!$C$24</f>
        <v>851.29783110444521</v>
      </c>
      <c r="K83" s="42">
        <f>H83*Ratios!$D$24</f>
        <v>93.482168895554722</v>
      </c>
      <c r="L83" s="317" t="s">
        <v>23</v>
      </c>
      <c r="M83" s="8">
        <f t="shared" ref="M83" si="24">H83-J83-K83</f>
        <v>0</v>
      </c>
    </row>
    <row r="84" spans="1:18">
      <c r="A84" s="62">
        <v>42315</v>
      </c>
      <c r="B84" s="2" t="s">
        <v>48</v>
      </c>
      <c r="C84" s="47">
        <f>SUM(C83:C83)</f>
        <v>944.78</v>
      </c>
      <c r="D84" s="47">
        <f>SUM(D83:D83)</f>
        <v>0</v>
      </c>
      <c r="E84" s="47">
        <f>SUM(E83:E83)</f>
        <v>944.78</v>
      </c>
      <c r="F84" s="48"/>
      <c r="G84" s="47">
        <f>SUM(G83:G83)</f>
        <v>0</v>
      </c>
      <c r="H84" s="47">
        <f>SUM(H83:H83)</f>
        <v>944.78</v>
      </c>
      <c r="I84" s="859"/>
      <c r="J84" s="47">
        <f>SUM(J83:J83)</f>
        <v>851.29783110444521</v>
      </c>
      <c r="K84" s="47">
        <f>SUM(K83:K83)</f>
        <v>93.482168895554722</v>
      </c>
      <c r="L84" s="49"/>
      <c r="M84" s="49"/>
    </row>
    <row r="85" spans="1:18" ht="6.75" customHeight="1">
      <c r="A85" s="62"/>
      <c r="B85" s="2"/>
      <c r="C85" s="63"/>
      <c r="D85" s="63"/>
      <c r="E85" s="63"/>
      <c r="F85" s="64"/>
      <c r="G85" s="63"/>
      <c r="H85" s="63"/>
      <c r="I85" s="860"/>
      <c r="J85" s="63"/>
      <c r="K85" s="63"/>
      <c r="L85" s="3"/>
      <c r="M85" s="3"/>
    </row>
    <row r="86" spans="1:18">
      <c r="A86" s="65">
        <v>42400</v>
      </c>
      <c r="B86" s="54" t="s">
        <v>66</v>
      </c>
      <c r="C86" s="56"/>
      <c r="D86" s="57"/>
      <c r="E86" s="57"/>
      <c r="F86" s="58"/>
      <c r="G86" s="57"/>
      <c r="H86" s="57"/>
      <c r="I86" s="862"/>
      <c r="J86" s="56"/>
      <c r="K86" s="56"/>
      <c r="L86" s="59"/>
      <c r="M86" s="59"/>
    </row>
    <row r="87" spans="1:18">
      <c r="A87" s="66">
        <v>52142</v>
      </c>
      <c r="B87" s="7" t="s">
        <v>67</v>
      </c>
      <c r="C87" s="42">
        <f>+IFERROR(VLOOKUP(A87,'2025 IS'!$D:$AH,31,FALSE),0)</f>
        <v>49840.82</v>
      </c>
      <c r="D87" s="43"/>
      <c r="E87" s="43">
        <f>SUM(C87:D87)</f>
        <v>49840.82</v>
      </c>
      <c r="F87" s="814"/>
      <c r="G87" s="81">
        <f>+'Pro-forma Adj''s'!B43</f>
        <v>3315.4400000000023</v>
      </c>
      <c r="H87" s="43">
        <f>C87+D87+G87</f>
        <v>53156.26</v>
      </c>
      <c r="I87" s="498" t="s">
        <v>585</v>
      </c>
      <c r="J87" s="42">
        <f>H87*Ratios!$C$24</f>
        <v>47896.66255384744</v>
      </c>
      <c r="K87" s="42">
        <f>H87*Ratios!$D$24</f>
        <v>5259.5974461525648</v>
      </c>
      <c r="L87" s="317" t="s">
        <v>23</v>
      </c>
      <c r="M87" s="8">
        <f t="shared" ref="M87:M88" si="25">H87-J87-K87</f>
        <v>0</v>
      </c>
      <c r="N87" s="12"/>
      <c r="O87" s="8"/>
      <c r="P87" s="8"/>
      <c r="Q87" s="12"/>
      <c r="R87" s="12"/>
    </row>
    <row r="88" spans="1:18">
      <c r="A88" s="66">
        <v>52146</v>
      </c>
      <c r="B88" s="7" t="s">
        <v>68</v>
      </c>
      <c r="C88" s="42">
        <f>+IFERROR(VLOOKUP(A88,'2025 IS'!$D:$AH,31,FALSE),0)</f>
        <v>2494.0400000000004</v>
      </c>
      <c r="D88" s="46"/>
      <c r="E88" s="43">
        <f>SUM(C88:D88)</f>
        <v>2494.0400000000004</v>
      </c>
      <c r="F88" s="44"/>
      <c r="G88" s="46"/>
      <c r="H88" s="43">
        <f>C88+D88+G88</f>
        <v>2494.0400000000004</v>
      </c>
      <c r="I88" s="858"/>
      <c r="J88" s="42">
        <f>H88*Ratios!$C$24</f>
        <v>2247.2648052326795</v>
      </c>
      <c r="K88" s="42">
        <f>H88*Ratios!$D$24</f>
        <v>246.77519476732081</v>
      </c>
      <c r="L88" s="317" t="s">
        <v>23</v>
      </c>
      <c r="M88" s="8">
        <f t="shared" si="25"/>
        <v>0</v>
      </c>
      <c r="N88" s="12"/>
      <c r="O88" s="8"/>
      <c r="P88" s="8"/>
      <c r="Q88" s="12"/>
      <c r="R88" s="12"/>
    </row>
    <row r="89" spans="1:18">
      <c r="A89" s="62">
        <v>42400</v>
      </c>
      <c r="B89" s="2" t="s">
        <v>69</v>
      </c>
      <c r="C89" s="47">
        <f>SUM(C87:C88)</f>
        <v>52334.86</v>
      </c>
      <c r="D89" s="47">
        <f>SUM(D87:D88)</f>
        <v>0</v>
      </c>
      <c r="E89" s="47">
        <f>SUM(E87:E88)</f>
        <v>52334.86</v>
      </c>
      <c r="F89" s="48"/>
      <c r="G89" s="47">
        <f>SUM(G87:G88)</f>
        <v>3315.4400000000023</v>
      </c>
      <c r="H89" s="47">
        <f>SUM(H87:H88)</f>
        <v>55650.3</v>
      </c>
      <c r="I89" s="859"/>
      <c r="J89" s="47">
        <f>SUM(J87:J88)</f>
        <v>50143.927359080117</v>
      </c>
      <c r="K89" s="47">
        <f>SUM(K87:K88)</f>
        <v>5506.3726409198853</v>
      </c>
      <c r="L89" s="49"/>
      <c r="M89" s="49"/>
    </row>
    <row r="90" spans="1:18" ht="5.25" customHeight="1">
      <c r="A90" s="62"/>
      <c r="B90" s="2"/>
      <c r="C90" s="63"/>
      <c r="D90" s="63"/>
      <c r="E90" s="63"/>
      <c r="F90" s="64"/>
      <c r="G90" s="63"/>
      <c r="H90" s="63"/>
      <c r="I90" s="860"/>
      <c r="J90" s="63"/>
      <c r="K90" s="63"/>
      <c r="L90" s="3"/>
      <c r="M90" s="3"/>
    </row>
    <row r="91" spans="1:18">
      <c r="A91" s="78"/>
      <c r="B91" s="54" t="s">
        <v>70</v>
      </c>
      <c r="C91" s="56"/>
      <c r="D91" s="57"/>
      <c r="E91" s="57"/>
      <c r="F91" s="58"/>
      <c r="G91" s="57"/>
      <c r="H91" s="57"/>
      <c r="I91" s="862"/>
      <c r="J91" s="56"/>
      <c r="K91" s="56"/>
      <c r="L91" s="59"/>
      <c r="M91" s="59"/>
    </row>
    <row r="92" spans="1:18">
      <c r="A92" s="79">
        <v>41121</v>
      </c>
      <c r="B92" s="80" t="s">
        <v>71</v>
      </c>
      <c r="C92" s="42">
        <f>+IFERROR(VLOOKUP(A92,'2025 IS'!$D:$AH,31,FALSE),0)</f>
        <v>323.52</v>
      </c>
      <c r="D92" s="81"/>
      <c r="E92" s="81">
        <f t="shared" ref="E92:E95" si="26">SUM(C92:D92)</f>
        <v>323.52</v>
      </c>
      <c r="F92" s="82"/>
      <c r="G92" s="83"/>
      <c r="H92" s="81">
        <f t="shared" ref="H92:H95" si="27">C92+D92+G92</f>
        <v>323.52</v>
      </c>
      <c r="I92" s="816"/>
      <c r="J92" s="42">
        <f>H92*Ratios!$C$24</f>
        <v>291.50900137482813</v>
      </c>
      <c r="K92" s="42">
        <f>H92*Ratios!$D$24</f>
        <v>32.010998625171851</v>
      </c>
      <c r="L92" s="317" t="s">
        <v>23</v>
      </c>
      <c r="M92" s="8">
        <f t="shared" ref="M92:M95" si="28">H92-J92-K92</f>
        <v>0</v>
      </c>
      <c r="N92" s="12"/>
      <c r="O92" s="8"/>
      <c r="P92" s="8"/>
      <c r="Q92" s="12"/>
    </row>
    <row r="93" spans="1:18">
      <c r="A93" s="66">
        <v>50086</v>
      </c>
      <c r="B93" s="7" t="s">
        <v>55</v>
      </c>
      <c r="C93" s="42">
        <f>+IFERROR(VLOOKUP(A93,'2025 IS'!$D:$AH,31,FALSE),0)</f>
        <v>1807.7700000000002</v>
      </c>
      <c r="D93" s="46"/>
      <c r="E93" s="43">
        <f t="shared" si="26"/>
        <v>1807.7700000000002</v>
      </c>
      <c r="F93" s="44"/>
      <c r="G93" s="46"/>
      <c r="H93" s="43">
        <f t="shared" si="27"/>
        <v>1807.7700000000002</v>
      </c>
      <c r="I93" s="858"/>
      <c r="J93" s="42">
        <f>H93*Ratios!$C$24</f>
        <v>1628.8984526934134</v>
      </c>
      <c r="K93" s="42">
        <f>H93*Ratios!$D$24</f>
        <v>178.87154730658671</v>
      </c>
      <c r="L93" s="317" t="s">
        <v>23</v>
      </c>
      <c r="M93" s="8">
        <f t="shared" si="28"/>
        <v>0</v>
      </c>
      <c r="N93" s="12"/>
      <c r="O93" s="8"/>
      <c r="P93" s="8"/>
      <c r="Q93" s="12"/>
      <c r="R93" s="12"/>
    </row>
    <row r="94" spans="1:18">
      <c r="A94" s="66">
        <v>50090</v>
      </c>
      <c r="B94" s="7" t="s">
        <v>49</v>
      </c>
      <c r="C94" s="42">
        <f>+IFERROR(VLOOKUP(A94,'2025 IS'!$D:$AH,31,FALSE),0)</f>
        <v>3041.2399999999993</v>
      </c>
      <c r="D94" s="46"/>
      <c r="E94" s="43">
        <f t="shared" si="26"/>
        <v>3041.2399999999993</v>
      </c>
      <c r="F94" s="44"/>
      <c r="G94" s="46"/>
      <c r="H94" s="43">
        <f t="shared" si="27"/>
        <v>3041.2399999999993</v>
      </c>
      <c r="I94" s="858"/>
      <c r="J94" s="42">
        <f>H94*Ratios!$C$24</f>
        <v>2740.3215731366909</v>
      </c>
      <c r="K94" s="42">
        <f>H94*Ratios!$D$24</f>
        <v>300.9184268633087</v>
      </c>
      <c r="L94" s="317" t="s">
        <v>23</v>
      </c>
      <c r="M94" s="8">
        <f t="shared" si="28"/>
        <v>0</v>
      </c>
      <c r="N94" s="12"/>
      <c r="O94" s="8"/>
      <c r="P94" s="8"/>
      <c r="Q94" s="12"/>
      <c r="R94" s="12"/>
    </row>
    <row r="95" spans="1:18">
      <c r="A95" s="66">
        <v>57165</v>
      </c>
      <c r="B95" s="7" t="s">
        <v>50</v>
      </c>
      <c r="C95" s="42">
        <f>+IFERROR(VLOOKUP(A95,'2025 IS'!$D:$AH,31,FALSE),0)</f>
        <v>2348.4799999999996</v>
      </c>
      <c r="D95" s="46"/>
      <c r="E95" s="43">
        <f t="shared" si="26"/>
        <v>2348.4799999999996</v>
      </c>
      <c r="F95" s="44"/>
      <c r="G95" s="46"/>
      <c r="H95" s="43">
        <f t="shared" si="27"/>
        <v>2348.4799999999996</v>
      </c>
      <c r="I95" s="858"/>
      <c r="J95" s="42">
        <f>H95*Ratios!$C$24</f>
        <v>2116.107379910844</v>
      </c>
      <c r="K95" s="42">
        <f>H95*Ratios!$D$24</f>
        <v>232.37262008915548</v>
      </c>
      <c r="L95" s="317" t="s">
        <v>23</v>
      </c>
      <c r="M95" s="8">
        <f t="shared" si="28"/>
        <v>0</v>
      </c>
      <c r="N95" s="12"/>
      <c r="O95" s="8"/>
      <c r="P95" s="8"/>
      <c r="Q95" s="12"/>
      <c r="R95" s="12"/>
    </row>
    <row r="96" spans="1:18">
      <c r="A96" s="68">
        <v>42800</v>
      </c>
      <c r="B96" s="2" t="s">
        <v>70</v>
      </c>
      <c r="C96" s="47">
        <f>SUM(C92:C95)</f>
        <v>7521.0099999999984</v>
      </c>
      <c r="D96" s="47">
        <f>SUM(D92:D95)</f>
        <v>0</v>
      </c>
      <c r="E96" s="47">
        <f>SUM(E92:E95)</f>
        <v>7521.0099999999984</v>
      </c>
      <c r="F96" s="48"/>
      <c r="G96" s="47">
        <f>SUM(G92:G95)</f>
        <v>0</v>
      </c>
      <c r="H96" s="47">
        <f>SUM(H92:H95)</f>
        <v>7521.0099999999984</v>
      </c>
      <c r="I96" s="859"/>
      <c r="J96" s="47">
        <f>SUM(J92:J95)</f>
        <v>6776.8364071157757</v>
      </c>
      <c r="K96" s="47">
        <f>SUM(K92:K95)</f>
        <v>744.17359288422267</v>
      </c>
      <c r="L96" s="49"/>
      <c r="M96" s="49"/>
    </row>
    <row r="97" spans="1:17" ht="6" customHeight="1">
      <c r="A97" s="68"/>
      <c r="B97" s="2"/>
      <c r="C97" s="63"/>
      <c r="D97" s="63"/>
      <c r="E97" s="63"/>
      <c r="F97" s="64"/>
      <c r="G97" s="63"/>
      <c r="H97" s="63"/>
      <c r="I97" s="860"/>
      <c r="J97" s="63"/>
      <c r="K97" s="63"/>
      <c r="L97" s="3"/>
      <c r="M97" s="3"/>
    </row>
    <row r="98" spans="1:17">
      <c r="A98" s="78"/>
      <c r="B98" s="54" t="s">
        <v>74</v>
      </c>
      <c r="C98" s="56"/>
      <c r="D98" s="57"/>
      <c r="E98" s="57"/>
      <c r="F98" s="58"/>
      <c r="G98" s="57"/>
      <c r="H98" s="57"/>
      <c r="I98" s="862"/>
      <c r="J98" s="56"/>
      <c r="K98" s="56"/>
      <c r="L98" s="59"/>
      <c r="M98" s="59"/>
    </row>
    <row r="99" spans="1:17">
      <c r="A99" s="84">
        <v>40101</v>
      </c>
      <c r="B99" s="80" t="s">
        <v>75</v>
      </c>
      <c r="C99" s="45">
        <f>+IFERROR(VLOOKUP(A99,'2025 IS'!$D:$AH,31,FALSE),0)</f>
        <v>353320.73000000004</v>
      </c>
      <c r="D99" s="81">
        <f>-D100-D101</f>
        <v>-160601.85999999999</v>
      </c>
      <c r="E99" s="81">
        <f>SUM(C99:D99)</f>
        <v>192718.87000000005</v>
      </c>
      <c r="F99" s="82"/>
      <c r="G99" s="83"/>
      <c r="H99" s="81">
        <f>C99+D99+G99</f>
        <v>192718.87000000005</v>
      </c>
      <c r="I99" s="816"/>
      <c r="J99" s="45">
        <f>'DF Schedule'!O13</f>
        <v>190360.75</v>
      </c>
      <c r="K99" s="45">
        <f>'DF Schedule'!O25</f>
        <v>2359.5699999999997</v>
      </c>
      <c r="L99" s="317" t="s">
        <v>77</v>
      </c>
      <c r="M99" s="744">
        <f t="shared" ref="M99:M100" si="29">H99-J99-K99</f>
        <v>-1.4499999999461579</v>
      </c>
      <c r="O99" s="8"/>
      <c r="P99" s="8"/>
      <c r="Q99" s="12"/>
    </row>
    <row r="100" spans="1:17">
      <c r="A100" s="84"/>
      <c r="B100" s="80" t="s">
        <v>17</v>
      </c>
      <c r="C100" s="45">
        <f>+IFERROR(VLOOKUP(A100,'2025 IS'!$D:$AH,31,FALSE),0)</f>
        <v>0</v>
      </c>
      <c r="D100" s="81">
        <f>C13+D13</f>
        <v>161289.21</v>
      </c>
      <c r="E100" s="81">
        <f>SUM(C100:D100)</f>
        <v>161289.21</v>
      </c>
      <c r="F100" s="82"/>
      <c r="G100" s="83"/>
      <c r="H100" s="81">
        <f>C100+D100+G100</f>
        <v>161289.21</v>
      </c>
      <c r="I100" s="816"/>
      <c r="J100" s="45">
        <f>J13</f>
        <v>157844.15</v>
      </c>
      <c r="K100" s="45">
        <f>K13</f>
        <v>3445.06</v>
      </c>
      <c r="L100" s="317" t="s">
        <v>78</v>
      </c>
      <c r="M100" s="744">
        <f t="shared" si="29"/>
        <v>0</v>
      </c>
      <c r="O100" s="8"/>
      <c r="P100" s="8"/>
      <c r="Q100" s="12"/>
    </row>
    <row r="101" spans="1:17">
      <c r="A101" s="84">
        <v>40139</v>
      </c>
      <c r="B101" s="80" t="s">
        <v>226</v>
      </c>
      <c r="C101" s="45">
        <f>+IFERROR(VLOOKUP(A101,'2025 IS'!$D:$AH,31,FALSE),0)</f>
        <v>687.35</v>
      </c>
      <c r="D101" s="81">
        <f>-C101</f>
        <v>-687.35</v>
      </c>
      <c r="E101" s="81">
        <f>SUM(C101:D101)</f>
        <v>0</v>
      </c>
      <c r="F101" s="82"/>
      <c r="G101" s="83"/>
      <c r="H101" s="81">
        <f>C101+D101+G101</f>
        <v>0</v>
      </c>
      <c r="I101" s="816"/>
      <c r="J101" s="45">
        <f>H101</f>
        <v>0</v>
      </c>
      <c r="K101" s="45">
        <v>0</v>
      </c>
      <c r="L101" s="317" t="s">
        <v>77</v>
      </c>
      <c r="M101" s="744"/>
    </row>
    <row r="102" spans="1:17">
      <c r="A102" s="68">
        <v>43600</v>
      </c>
      <c r="B102" s="2" t="s">
        <v>74</v>
      </c>
      <c r="C102" s="47">
        <f>SUM(C99:C101)</f>
        <v>354008.08</v>
      </c>
      <c r="D102" s="47">
        <f>SUM(D99:D101)</f>
        <v>5.7980287238024175E-12</v>
      </c>
      <c r="E102" s="47">
        <f>SUM(E99:E101)</f>
        <v>354008.08000000007</v>
      </c>
      <c r="F102" s="48"/>
      <c r="G102" s="47">
        <f>SUM(G99:G101)</f>
        <v>0</v>
      </c>
      <c r="H102" s="47">
        <f>SUM(H99:H101)</f>
        <v>354008.08000000007</v>
      </c>
      <c r="I102" s="859"/>
      <c r="J102" s="47">
        <f>SUM(J99:J101)</f>
        <v>348204.9</v>
      </c>
      <c r="K102" s="47">
        <f>SUM(K99:K101)</f>
        <v>5804.6299999999992</v>
      </c>
      <c r="L102" s="47">
        <f>SUM(L99:L101)</f>
        <v>0</v>
      </c>
      <c r="M102" s="47"/>
    </row>
    <row r="103" spans="1:17" ht="6" customHeight="1">
      <c r="A103" s="68"/>
      <c r="B103" s="2"/>
      <c r="C103" s="63"/>
      <c r="D103" s="63"/>
      <c r="E103" s="63"/>
      <c r="F103" s="64"/>
      <c r="G103" s="63"/>
      <c r="H103" s="63"/>
      <c r="I103" s="860"/>
      <c r="J103" s="63"/>
      <c r="K103" s="63"/>
      <c r="L103" s="85"/>
      <c r="M103" s="85"/>
    </row>
    <row r="104" spans="1:17" hidden="1">
      <c r="A104" s="65">
        <v>43800</v>
      </c>
      <c r="B104" s="54" t="s">
        <v>79</v>
      </c>
      <c r="C104" s="56"/>
      <c r="D104" s="57"/>
      <c r="E104" s="57"/>
      <c r="F104" s="58"/>
      <c r="G104" s="57"/>
      <c r="H104" s="57"/>
      <c r="I104" s="862"/>
      <c r="J104" s="56"/>
      <c r="K104" s="56"/>
      <c r="L104" s="59"/>
      <c r="M104" s="59"/>
    </row>
    <row r="105" spans="1:17" hidden="1">
      <c r="A105" s="39">
        <v>40869</v>
      </c>
      <c r="B105" s="7" t="s">
        <v>79</v>
      </c>
      <c r="C105" s="42">
        <f>+IFERROR(VLOOKUP(A105,'2025 IS'!$D:$AH,31,FALSE),0)</f>
        <v>0</v>
      </c>
      <c r="D105" s="43"/>
      <c r="E105" s="43">
        <f>SUM(C105:D105)</f>
        <v>0</v>
      </c>
      <c r="F105" s="44"/>
      <c r="G105" s="43"/>
      <c r="H105" s="43">
        <f>C105+D105+G105</f>
        <v>0</v>
      </c>
      <c r="I105" s="858"/>
      <c r="J105" s="42"/>
      <c r="K105" s="42"/>
      <c r="L105" s="42"/>
      <c r="M105" s="42"/>
    </row>
    <row r="106" spans="1:17" hidden="1">
      <c r="A106" s="68">
        <v>43800</v>
      </c>
      <c r="B106" s="2" t="s">
        <v>79</v>
      </c>
      <c r="C106" s="47">
        <f>SUM(C105)</f>
        <v>0</v>
      </c>
      <c r="D106" s="47">
        <f>SUM(D105)</f>
        <v>0</v>
      </c>
      <c r="E106" s="47">
        <f>SUM(E105)</f>
        <v>0</v>
      </c>
      <c r="F106" s="48"/>
      <c r="G106" s="47">
        <f>SUM(G105)</f>
        <v>0</v>
      </c>
      <c r="H106" s="47">
        <f>SUM(H105)</f>
        <v>0</v>
      </c>
      <c r="I106" s="859"/>
      <c r="J106" s="47">
        <f>SUM(J105)</f>
        <v>0</v>
      </c>
      <c r="K106" s="47">
        <f>SUM(K105)</f>
        <v>0</v>
      </c>
      <c r="L106" s="49"/>
      <c r="M106" s="49"/>
    </row>
    <row r="107" spans="1:17" hidden="1">
      <c r="A107" s="68"/>
      <c r="B107" s="2"/>
      <c r="C107" s="63"/>
      <c r="D107" s="63"/>
      <c r="E107" s="63"/>
      <c r="F107" s="64"/>
      <c r="G107" s="63"/>
      <c r="H107" s="63"/>
      <c r="I107" s="860"/>
      <c r="J107" s="63"/>
      <c r="K107" s="63"/>
      <c r="L107" s="3"/>
      <c r="M107" s="3"/>
    </row>
    <row r="108" spans="1:17" hidden="1">
      <c r="A108" s="65">
        <v>44000</v>
      </c>
      <c r="B108" s="54" t="s">
        <v>80</v>
      </c>
      <c r="C108" s="56"/>
      <c r="D108" s="57"/>
      <c r="E108" s="57"/>
      <c r="F108" s="58"/>
      <c r="G108" s="57"/>
      <c r="H108" s="57"/>
      <c r="I108" s="862"/>
      <c r="J108" s="56"/>
      <c r="K108" s="56"/>
      <c r="L108" s="59"/>
      <c r="M108" s="59"/>
    </row>
    <row r="109" spans="1:17" hidden="1">
      <c r="A109" s="86">
        <v>44000</v>
      </c>
      <c r="B109" s="74" t="s">
        <v>80</v>
      </c>
      <c r="C109" s="49">
        <f>+IFERROR(VLOOKUP(A109,'2025 IS'!$D:$AH,31,FALSE),0)</f>
        <v>0</v>
      </c>
      <c r="D109" s="47">
        <v>0</v>
      </c>
      <c r="E109" s="87">
        <f>SUM(C109:D109)</f>
        <v>0</v>
      </c>
      <c r="F109" s="48"/>
      <c r="G109" s="47">
        <v>0</v>
      </c>
      <c r="H109" s="47">
        <v>0</v>
      </c>
      <c r="I109" s="859"/>
      <c r="J109" s="47"/>
      <c r="K109" s="47">
        <v>0</v>
      </c>
      <c r="L109" s="49"/>
      <c r="M109" s="49"/>
    </row>
    <row r="110" spans="1:17" ht="0.75" customHeight="1">
      <c r="A110" s="86"/>
      <c r="B110" s="74"/>
      <c r="C110" s="42"/>
      <c r="D110" s="63"/>
      <c r="E110" s="43"/>
      <c r="F110" s="64"/>
      <c r="G110" s="63"/>
      <c r="H110" s="63"/>
      <c r="I110" s="860"/>
      <c r="J110" s="63"/>
      <c r="K110" s="63"/>
      <c r="L110" s="3"/>
      <c r="M110" s="3"/>
    </row>
    <row r="111" spans="1:17">
      <c r="A111" s="65">
        <v>44300</v>
      </c>
      <c r="B111" s="54" t="s">
        <v>81</v>
      </c>
      <c r="C111" s="56"/>
      <c r="D111" s="57"/>
      <c r="E111" s="57"/>
      <c r="F111" s="58"/>
      <c r="G111" s="57"/>
      <c r="H111" s="57"/>
      <c r="I111" s="862"/>
      <c r="J111" s="56"/>
      <c r="K111" s="56"/>
      <c r="L111" s="59"/>
      <c r="M111" s="59"/>
    </row>
    <row r="112" spans="1:17">
      <c r="A112" s="66">
        <v>43002</v>
      </c>
      <c r="B112" s="7" t="s">
        <v>82</v>
      </c>
      <c r="C112" s="42">
        <f>+IFERROR(VLOOKUP(A112,'2025 IS'!$D:$AH,31,FALSE),0)</f>
        <v>6692.3</v>
      </c>
      <c r="D112" s="81">
        <f>+'Restating Adj''s'!V40</f>
        <v>-53.758876999998392</v>
      </c>
      <c r="E112" s="43">
        <f>SUM(C112:D112)</f>
        <v>6638.5411230000018</v>
      </c>
      <c r="F112" s="498" t="s">
        <v>94</v>
      </c>
      <c r="G112" s="46"/>
      <c r="H112" s="43">
        <f>C112+D112+G112</f>
        <v>6638.5411230000018</v>
      </c>
      <c r="I112" s="858"/>
      <c r="J112" s="42">
        <f>$H$112*$J$17</f>
        <v>6190.8416267007888</v>
      </c>
      <c r="K112" s="42">
        <f>$H$112*$K$17</f>
        <v>447.69949629921274</v>
      </c>
      <c r="L112" s="317" t="s">
        <v>84</v>
      </c>
      <c r="M112" s="8">
        <f t="shared" ref="M112" si="30">H112-J112-K112</f>
        <v>0</v>
      </c>
      <c r="O112" s="8"/>
      <c r="P112" s="8"/>
      <c r="Q112" s="12"/>
    </row>
    <row r="113" spans="1:18">
      <c r="A113" s="86">
        <v>44300</v>
      </c>
      <c r="B113" s="74" t="s">
        <v>81</v>
      </c>
      <c r="C113" s="47">
        <f>SUM(C112)</f>
        <v>6692.3</v>
      </c>
      <c r="D113" s="47">
        <f>SUM(D112)</f>
        <v>-53.758876999998392</v>
      </c>
      <c r="E113" s="47">
        <f>SUM(E112)</f>
        <v>6638.5411230000018</v>
      </c>
      <c r="F113" s="48"/>
      <c r="G113" s="47">
        <f>SUM(G112)</f>
        <v>0</v>
      </c>
      <c r="H113" s="47">
        <f>SUM(H112)</f>
        <v>6638.5411230000018</v>
      </c>
      <c r="I113" s="859"/>
      <c r="J113" s="47">
        <f>SUM(J112)</f>
        <v>6190.8416267007888</v>
      </c>
      <c r="K113" s="47">
        <f>SUM(K112)</f>
        <v>447.69949629921274</v>
      </c>
      <c r="L113" s="49"/>
      <c r="M113" s="49"/>
    </row>
    <row r="114" spans="1:18" ht="6" customHeight="1">
      <c r="A114" s="86"/>
      <c r="B114" s="74"/>
      <c r="C114" s="63"/>
      <c r="D114" s="63"/>
      <c r="E114" s="63"/>
      <c r="F114" s="64"/>
      <c r="G114" s="63"/>
      <c r="H114" s="63"/>
      <c r="I114" s="860"/>
      <c r="J114" s="63"/>
      <c r="K114" s="63"/>
      <c r="L114" s="3"/>
      <c r="M114" s="3"/>
    </row>
    <row r="115" spans="1:18" hidden="1">
      <c r="A115" s="65">
        <v>44500</v>
      </c>
      <c r="B115" s="54" t="s">
        <v>85</v>
      </c>
      <c r="C115" s="56"/>
      <c r="D115" s="57"/>
      <c r="E115" s="57"/>
      <c r="F115" s="58"/>
      <c r="G115" s="57"/>
      <c r="H115" s="57"/>
      <c r="I115" s="862"/>
      <c r="J115" s="56"/>
      <c r="K115" s="56"/>
      <c r="L115" s="59"/>
      <c r="M115" s="59"/>
    </row>
    <row r="116" spans="1:18" hidden="1">
      <c r="A116" s="39">
        <v>60225</v>
      </c>
      <c r="B116" s="7" t="s">
        <v>86</v>
      </c>
      <c r="C116" s="42">
        <f>+IFERROR(VLOOKUP(A116,'2025 IS'!$D:$AH,31,FALSE),0)</f>
        <v>0</v>
      </c>
      <c r="D116" s="46"/>
      <c r="E116" s="43">
        <f>SUM(C116:D116)</f>
        <v>0</v>
      </c>
      <c r="F116" s="44"/>
      <c r="G116" s="46"/>
      <c r="H116" s="43">
        <f>C116+D116+G116</f>
        <v>0</v>
      </c>
      <c r="I116" s="860"/>
      <c r="J116" s="42">
        <f>H116*Ratios!$C$13</f>
        <v>0</v>
      </c>
      <c r="K116" s="42">
        <f t="shared" ref="K116:K117" si="31">+H116-J116</f>
        <v>0</v>
      </c>
      <c r="L116" s="318" t="s">
        <v>120</v>
      </c>
      <c r="M116" s="8">
        <f t="shared" ref="M116:M117" si="32">H116-J116-K116</f>
        <v>0</v>
      </c>
      <c r="N116" s="12"/>
      <c r="O116" s="12"/>
      <c r="P116" s="12"/>
      <c r="Q116" s="12"/>
      <c r="R116" s="12"/>
    </row>
    <row r="117" spans="1:18" hidden="1">
      <c r="A117" s="66">
        <v>70225</v>
      </c>
      <c r="B117" s="7" t="s">
        <v>87</v>
      </c>
      <c r="C117" s="42">
        <f>+IFERROR(VLOOKUP(A117,'2025 IS'!$D:$AH,31,FALSE),0)</f>
        <v>0</v>
      </c>
      <c r="D117" s="42"/>
      <c r="E117" s="43">
        <f>SUM(C117:D117)</f>
        <v>0</v>
      </c>
      <c r="F117" s="44"/>
      <c r="G117" s="46"/>
      <c r="H117" s="43">
        <f>C117+D117+G117</f>
        <v>0</v>
      </c>
      <c r="I117" s="858"/>
      <c r="J117" s="42">
        <f>H117*Ratios!$C$13</f>
        <v>0</v>
      </c>
      <c r="K117" s="42">
        <f t="shared" si="31"/>
        <v>0</v>
      </c>
      <c r="L117" s="318" t="s">
        <v>120</v>
      </c>
      <c r="M117" s="8">
        <f t="shared" si="32"/>
        <v>0</v>
      </c>
      <c r="N117" s="12"/>
      <c r="O117" s="12"/>
      <c r="P117" s="12"/>
      <c r="Q117" s="12"/>
      <c r="R117" s="12"/>
    </row>
    <row r="118" spans="1:18" hidden="1">
      <c r="A118" s="68">
        <v>44500</v>
      </c>
      <c r="B118" s="2" t="s">
        <v>88</v>
      </c>
      <c r="C118" s="47">
        <f>SUM(C116:C117)</f>
        <v>0</v>
      </c>
      <c r="D118" s="47">
        <f t="shared" ref="D118:G118" si="33">SUM(D116:D117)</f>
        <v>0</v>
      </c>
      <c r="E118" s="47">
        <f>SUM(E116:E117)</f>
        <v>0</v>
      </c>
      <c r="F118" s="48"/>
      <c r="G118" s="47">
        <f t="shared" si="33"/>
        <v>0</v>
      </c>
      <c r="H118" s="47">
        <f>SUM(H116:H117)</f>
        <v>0</v>
      </c>
      <c r="I118" s="859"/>
      <c r="J118" s="47">
        <f t="shared" ref="J118:K118" si="34">SUM(J116:J117)</f>
        <v>0</v>
      </c>
      <c r="K118" s="47">
        <f t="shared" si="34"/>
        <v>0</v>
      </c>
      <c r="L118" s="49"/>
      <c r="M118" s="49"/>
    </row>
    <row r="119" spans="1:18" ht="0.75" customHeight="1">
      <c r="A119" s="68"/>
      <c r="B119" s="2"/>
      <c r="C119" s="63"/>
      <c r="D119" s="63"/>
      <c r="E119" s="63"/>
      <c r="F119" s="64"/>
      <c r="G119" s="63"/>
      <c r="H119" s="63"/>
      <c r="I119" s="860"/>
      <c r="J119" s="63"/>
      <c r="K119" s="63"/>
      <c r="L119" s="3"/>
      <c r="M119" s="3"/>
    </row>
    <row r="120" spans="1:18">
      <c r="A120" s="65">
        <v>45300</v>
      </c>
      <c r="B120" s="54" t="s">
        <v>89</v>
      </c>
      <c r="C120" s="56"/>
      <c r="D120" s="57"/>
      <c r="E120" s="57"/>
      <c r="F120" s="58"/>
      <c r="G120" s="57"/>
      <c r="H120" s="57"/>
      <c r="I120" s="862"/>
      <c r="J120" s="56"/>
      <c r="K120" s="56"/>
      <c r="L120" s="59"/>
      <c r="M120" s="59"/>
    </row>
    <row r="121" spans="1:18">
      <c r="A121" s="66">
        <v>59340</v>
      </c>
      <c r="B121" s="7" t="s">
        <v>90</v>
      </c>
      <c r="C121" s="42">
        <f>+IFERROR(VLOOKUP(A121,'2025 IS'!$D:$AH,31,FALSE),0)</f>
        <v>8749.44</v>
      </c>
      <c r="D121" s="46"/>
      <c r="E121" s="43">
        <f>SUM(C121:D121)</f>
        <v>8749.44</v>
      </c>
      <c r="F121" s="44"/>
      <c r="G121" s="46"/>
      <c r="H121" s="43">
        <f>C121+D121+G121</f>
        <v>8749.44</v>
      </c>
      <c r="I121" s="858"/>
      <c r="J121" s="42">
        <f>H121*Ratios!$C$24</f>
        <v>7883.7182152230971</v>
      </c>
      <c r="K121" s="42">
        <f>H121*Ratios!$D$24</f>
        <v>865.72178477690295</v>
      </c>
      <c r="L121" s="317" t="s">
        <v>23</v>
      </c>
      <c r="M121" s="8">
        <f t="shared" ref="M121" si="35">H121-J121-K121</f>
        <v>0</v>
      </c>
      <c r="N121" s="12"/>
      <c r="O121" s="8"/>
      <c r="P121" s="8"/>
      <c r="Q121" s="12"/>
      <c r="R121" s="12"/>
    </row>
    <row r="122" spans="1:18">
      <c r="A122" s="86">
        <v>45300</v>
      </c>
      <c r="B122" s="2" t="s">
        <v>89</v>
      </c>
      <c r="C122" s="47">
        <f>SUM(C121:C121)</f>
        <v>8749.44</v>
      </c>
      <c r="D122" s="47">
        <f>SUM(D121:D121)</f>
        <v>0</v>
      </c>
      <c r="E122" s="47">
        <f>SUM(E121:E121)</f>
        <v>8749.44</v>
      </c>
      <c r="F122" s="48"/>
      <c r="G122" s="47">
        <f>SUM(G121:G121)</f>
        <v>0</v>
      </c>
      <c r="H122" s="47">
        <f>SUM(H121:H121)</f>
        <v>8749.44</v>
      </c>
      <c r="I122" s="859"/>
      <c r="J122" s="47">
        <f>SUM(J121:J121)</f>
        <v>7883.7182152230971</v>
      </c>
      <c r="K122" s="47">
        <f>SUM(K121:K121)</f>
        <v>865.72178477690295</v>
      </c>
      <c r="L122" s="49"/>
      <c r="M122" s="49"/>
    </row>
    <row r="123" spans="1:18" ht="6" customHeight="1">
      <c r="A123" s="86"/>
      <c r="B123" s="2"/>
      <c r="C123" s="63"/>
      <c r="D123" s="63"/>
      <c r="E123" s="63"/>
      <c r="F123" s="64"/>
      <c r="G123" s="63"/>
      <c r="H123" s="63"/>
      <c r="I123" s="860"/>
      <c r="J123" s="63"/>
      <c r="K123" s="63"/>
      <c r="L123" s="3"/>
      <c r="M123" s="3"/>
    </row>
    <row r="124" spans="1:18">
      <c r="A124" s="65">
        <v>45400</v>
      </c>
      <c r="B124" s="54" t="s">
        <v>91</v>
      </c>
      <c r="C124" s="56"/>
      <c r="D124" s="57"/>
      <c r="E124" s="57"/>
      <c r="F124" s="58"/>
      <c r="G124" s="57"/>
      <c r="H124" s="57"/>
      <c r="I124" s="862"/>
      <c r="J124" s="56"/>
      <c r="K124" s="56"/>
      <c r="L124" s="59"/>
      <c r="M124" s="59"/>
    </row>
    <row r="125" spans="1:18">
      <c r="A125" s="66">
        <v>59343</v>
      </c>
      <c r="B125" s="7" t="s">
        <v>92</v>
      </c>
      <c r="C125" s="42">
        <f>+IFERROR(VLOOKUP(A125,'2025 IS'!$D:$AH,31,FALSE),0)</f>
        <v>32179.77</v>
      </c>
      <c r="D125" s="44">
        <f>'Restating Adj''s'!S43</f>
        <v>-16089.885</v>
      </c>
      <c r="E125" s="43">
        <f>SUM(C125:D125)</f>
        <v>16089.885</v>
      </c>
      <c r="F125" s="498" t="s">
        <v>155</v>
      </c>
      <c r="G125" s="46"/>
      <c r="H125" s="43">
        <f>C125+D125+G125</f>
        <v>16089.885</v>
      </c>
      <c r="I125" s="858"/>
      <c r="J125" s="42">
        <f>H125*Ratios!$C$24</f>
        <v>14497.855800524934</v>
      </c>
      <c r="K125" s="42">
        <f>H125*Ratios!$D$24</f>
        <v>1592.0291994750658</v>
      </c>
      <c r="L125" s="317" t="s">
        <v>23</v>
      </c>
      <c r="M125" s="8">
        <f t="shared" ref="M125:M128" si="36">H125-J125-K125</f>
        <v>0</v>
      </c>
      <c r="N125" s="12"/>
      <c r="O125" s="8"/>
      <c r="P125" s="8"/>
      <c r="Q125" s="12"/>
      <c r="R125" s="12"/>
    </row>
    <row r="126" spans="1:18">
      <c r="A126" s="66">
        <v>59344</v>
      </c>
      <c r="B126" s="7" t="s">
        <v>93</v>
      </c>
      <c r="C126" s="42">
        <f>+IFERROR(VLOOKUP(A126,'2025 IS'!$D:$AH,31,FALSE),0)</f>
        <v>0</v>
      </c>
      <c r="D126" s="82">
        <f>+'Restating Adj''s'!V42</f>
        <v>0</v>
      </c>
      <c r="E126" s="81">
        <f>SUM(C126:D126)</f>
        <v>0</v>
      </c>
      <c r="F126" s="816"/>
      <c r="G126" s="46"/>
      <c r="H126" s="43">
        <f>C126+D126+G126</f>
        <v>0</v>
      </c>
      <c r="I126" s="858"/>
      <c r="J126" s="42">
        <f>H126*Ratios!$C$24</f>
        <v>0</v>
      </c>
      <c r="K126" s="42">
        <f>H126*Ratios!$D$24</f>
        <v>0</v>
      </c>
      <c r="L126" s="317" t="s">
        <v>23</v>
      </c>
      <c r="M126" s="8">
        <f t="shared" si="36"/>
        <v>0</v>
      </c>
      <c r="N126" s="12"/>
      <c r="O126" s="8"/>
      <c r="P126" s="8"/>
      <c r="Q126" s="12"/>
      <c r="R126" s="12"/>
    </row>
    <row r="127" spans="1:18">
      <c r="A127" s="66">
        <v>59500</v>
      </c>
      <c r="B127" s="7" t="s">
        <v>95</v>
      </c>
      <c r="C127" s="42">
        <f>+IFERROR(VLOOKUP(A127,'2025 IS'!$D:$AH,31,FALSE),0)</f>
        <v>2133.63</v>
      </c>
      <c r="D127" s="83"/>
      <c r="E127" s="81">
        <f>SUM(C127:D127)</f>
        <v>2133.63</v>
      </c>
      <c r="F127" s="82"/>
      <c r="G127" s="46"/>
      <c r="H127" s="43">
        <f>C127+D127+G127</f>
        <v>2133.63</v>
      </c>
      <c r="I127" s="858"/>
      <c r="J127" s="42">
        <f>H127*Ratios!$C$24</f>
        <v>1922.5159205099364</v>
      </c>
      <c r="K127" s="42">
        <f>H127*Ratios!$D$24</f>
        <v>211.11407949006377</v>
      </c>
      <c r="L127" s="317" t="s">
        <v>23</v>
      </c>
      <c r="M127" s="8">
        <f t="shared" si="36"/>
        <v>0</v>
      </c>
      <c r="N127" s="12"/>
      <c r="O127" s="8"/>
      <c r="P127" s="8"/>
      <c r="Q127" s="12"/>
      <c r="R127" s="12"/>
    </row>
    <row r="128" spans="1:18">
      <c r="A128" s="39">
        <v>57370</v>
      </c>
      <c r="B128" s="7" t="s">
        <v>96</v>
      </c>
      <c r="C128" s="42">
        <f>+IFERROR(VLOOKUP(A128,'2025 IS'!$D:$AH,31,FALSE),0)</f>
        <v>132.89000000000001</v>
      </c>
      <c r="D128" s="46"/>
      <c r="E128" s="43">
        <f>SUM(C128:D128)</f>
        <v>132.89000000000001</v>
      </c>
      <c r="F128" s="44"/>
      <c r="G128" s="46"/>
      <c r="H128" s="43">
        <f>C128+D128+G128</f>
        <v>132.89000000000001</v>
      </c>
      <c r="I128" s="858"/>
      <c r="J128" s="42">
        <f>H128*Ratios!$C$24</f>
        <v>119.74107069949591</v>
      </c>
      <c r="K128" s="42">
        <f>H128*Ratios!$D$24</f>
        <v>13.148929300504106</v>
      </c>
      <c r="L128" s="317" t="s">
        <v>23</v>
      </c>
      <c r="M128" s="8">
        <f t="shared" si="36"/>
        <v>0</v>
      </c>
      <c r="N128" s="12"/>
      <c r="O128" s="8"/>
      <c r="P128" s="8"/>
      <c r="Q128" s="12"/>
      <c r="R128" s="12"/>
    </row>
    <row r="129" spans="1:18">
      <c r="A129" s="68">
        <v>45400</v>
      </c>
      <c r="B129" s="2" t="s">
        <v>91</v>
      </c>
      <c r="C129" s="47">
        <f>SUM(C125:C128)</f>
        <v>34446.29</v>
      </c>
      <c r="D129" s="47">
        <f>SUM(D125:D128)</f>
        <v>-16089.885</v>
      </c>
      <c r="E129" s="47">
        <f>SUM(E125:E128)</f>
        <v>18356.404999999999</v>
      </c>
      <c r="F129" s="48"/>
      <c r="G129" s="47">
        <f>SUM(G125:G128)</f>
        <v>0</v>
      </c>
      <c r="H129" s="47">
        <f>SUM(H125:H128)</f>
        <v>18356.404999999999</v>
      </c>
      <c r="I129" s="859"/>
      <c r="J129" s="47">
        <f t="shared" ref="J129:K129" si="37">SUM(J125:J128)</f>
        <v>16540.112791734366</v>
      </c>
      <c r="K129" s="47">
        <f t="shared" si="37"/>
        <v>1816.2922082656335</v>
      </c>
      <c r="L129" s="49"/>
      <c r="M129" s="49"/>
    </row>
    <row r="130" spans="1:18" ht="6" customHeight="1">
      <c r="A130" s="68"/>
      <c r="B130" s="2"/>
      <c r="C130" s="63"/>
      <c r="D130" s="63"/>
      <c r="E130" s="63"/>
      <c r="F130" s="64"/>
      <c r="G130" s="63"/>
      <c r="H130" s="63"/>
      <c r="I130" s="860"/>
      <c r="J130" s="63"/>
      <c r="K130" s="63"/>
      <c r="L130" s="3"/>
      <c r="M130" s="3"/>
    </row>
    <row r="131" spans="1:18">
      <c r="A131" s="65">
        <v>46130</v>
      </c>
      <c r="B131" s="54" t="s">
        <v>97</v>
      </c>
      <c r="C131" s="56"/>
      <c r="D131" s="57"/>
      <c r="E131" s="57"/>
      <c r="F131" s="58"/>
      <c r="G131" s="57"/>
      <c r="H131" s="57"/>
      <c r="I131" s="862"/>
      <c r="J131" s="56"/>
      <c r="K131" s="56"/>
      <c r="L131" s="59"/>
      <c r="M131" s="59"/>
    </row>
    <row r="132" spans="1:18">
      <c r="A132" s="66">
        <v>70010</v>
      </c>
      <c r="B132" s="7" t="s">
        <v>26</v>
      </c>
      <c r="C132" s="42">
        <f>+IFERROR(VLOOKUP(A132,'2025 IS'!$D:$AH,31,FALSE),0)</f>
        <v>44192.149999999994</v>
      </c>
      <c r="D132" s="81">
        <f>+'Restating Adj''s'!N45+'Restating Adj''s'!T45</f>
        <v>3950.6742006552404</v>
      </c>
      <c r="E132" s="43">
        <f t="shared" ref="E132:E137" si="38">SUM(C132:D132)</f>
        <v>48142.824200655232</v>
      </c>
      <c r="F132" s="815" t="s">
        <v>1313</v>
      </c>
      <c r="G132" s="81">
        <f>+'Pro-forma Adj''s'!B11</f>
        <v>458.33525000000003</v>
      </c>
      <c r="H132" s="43">
        <f t="shared" ref="H132:H137" si="39">C132+D132+G132</f>
        <v>48601.159450655228</v>
      </c>
      <c r="I132" s="498"/>
      <c r="J132" s="42">
        <f>H132*Ratios!$C$13</f>
        <v>43629.626617995964</v>
      </c>
      <c r="K132" s="42">
        <f>H132*Ratios!$D$13</f>
        <v>4971.5328326592662</v>
      </c>
      <c r="L132" s="317" t="s">
        <v>23</v>
      </c>
      <c r="M132" s="8">
        <f t="shared" ref="M132:M137" si="40">H132-J132-K132</f>
        <v>0</v>
      </c>
      <c r="N132" s="12"/>
      <c r="O132" s="8"/>
      <c r="P132" s="8"/>
      <c r="Q132" s="12"/>
      <c r="R132" s="12"/>
    </row>
    <row r="133" spans="1:18">
      <c r="A133" s="66">
        <v>70020</v>
      </c>
      <c r="B133" s="7" t="s">
        <v>34</v>
      </c>
      <c r="C133" s="42">
        <f>+IFERROR(VLOOKUP(A133,'2025 IS'!$D:$AH,31,FALSE),0)</f>
        <v>26646.870000000003</v>
      </c>
      <c r="D133" s="43"/>
      <c r="E133" s="43">
        <f t="shared" si="38"/>
        <v>26646.870000000003</v>
      </c>
      <c r="F133" s="44"/>
      <c r="G133" s="43"/>
      <c r="H133" s="43">
        <f t="shared" si="39"/>
        <v>26646.870000000003</v>
      </c>
      <c r="I133" s="858"/>
      <c r="J133" s="42">
        <f>H133*Ratios!$C$13</f>
        <v>23921.095747081079</v>
      </c>
      <c r="K133" s="42">
        <f>H133*Ratios!$D$13</f>
        <v>2725.7742529189236</v>
      </c>
      <c r="L133" s="318" t="s">
        <v>120</v>
      </c>
      <c r="M133" s="8">
        <f t="shared" si="40"/>
        <v>0</v>
      </c>
      <c r="N133" s="12"/>
      <c r="O133" s="8"/>
      <c r="P133" s="8"/>
      <c r="Q133" s="12"/>
      <c r="R133" s="12"/>
    </row>
    <row r="134" spans="1:18">
      <c r="A134" s="66">
        <v>70025</v>
      </c>
      <c r="B134" s="7" t="s">
        <v>64</v>
      </c>
      <c r="C134" s="42">
        <f>+IFERROR(VLOOKUP(A134,'2025 IS'!$D:$AH,31,FALSE),0)</f>
        <v>2907.61</v>
      </c>
      <c r="D134" s="46"/>
      <c r="E134" s="43">
        <f t="shared" si="38"/>
        <v>2907.61</v>
      </c>
      <c r="F134" s="44"/>
      <c r="G134" s="46"/>
      <c r="H134" s="43">
        <f t="shared" si="39"/>
        <v>2907.61</v>
      </c>
      <c r="I134" s="858"/>
      <c r="J134" s="42">
        <f>H134*Ratios!$C$13</f>
        <v>2610.1833800806776</v>
      </c>
      <c r="K134" s="42">
        <f>H134*Ratios!$D$13</f>
        <v>297.42661991932226</v>
      </c>
      <c r="L134" s="318" t="s">
        <v>120</v>
      </c>
      <c r="M134" s="8">
        <f t="shared" si="40"/>
        <v>0</v>
      </c>
      <c r="N134" s="12"/>
      <c r="O134" s="8"/>
      <c r="P134" s="8"/>
      <c r="Q134" s="12"/>
      <c r="R134" s="12"/>
    </row>
    <row r="135" spans="1:18">
      <c r="A135" s="66">
        <v>70036</v>
      </c>
      <c r="B135" s="7" t="s">
        <v>30</v>
      </c>
      <c r="C135" s="42">
        <f>+IFERROR(VLOOKUP(A135,'2025 IS'!$D:$AH,31,FALSE),0)</f>
        <v>2634.27</v>
      </c>
      <c r="D135" s="46"/>
      <c r="E135" s="43">
        <f t="shared" si="38"/>
        <v>2634.27</v>
      </c>
      <c r="F135" s="44"/>
      <c r="G135" s="46"/>
      <c r="H135" s="43">
        <f t="shared" si="39"/>
        <v>2634.27</v>
      </c>
      <c r="I135" s="858"/>
      <c r="J135" s="42">
        <f>H135*Ratios!$C$13</f>
        <v>2364.8040048854991</v>
      </c>
      <c r="K135" s="42">
        <f>H135*Ratios!$D$13</f>
        <v>269.46599511450057</v>
      </c>
      <c r="L135" s="318" t="s">
        <v>120</v>
      </c>
      <c r="M135" s="8">
        <f t="shared" si="40"/>
        <v>0</v>
      </c>
      <c r="N135" s="12"/>
      <c r="O135" s="8"/>
      <c r="P135" s="8"/>
      <c r="Q135" s="12"/>
      <c r="R135" s="12"/>
    </row>
    <row r="136" spans="1:18">
      <c r="A136" s="66">
        <v>70065</v>
      </c>
      <c r="B136" s="7" t="s">
        <v>98</v>
      </c>
      <c r="C136" s="42">
        <f>+IFERROR(VLOOKUP(A136,'2025 IS'!$D:$AH,31,FALSE),0)</f>
        <v>1627.82</v>
      </c>
      <c r="D136" s="46"/>
      <c r="E136" s="43">
        <f t="shared" si="38"/>
        <v>1627.82</v>
      </c>
      <c r="F136" s="44"/>
      <c r="G136" s="46"/>
      <c r="H136" s="43">
        <f t="shared" si="39"/>
        <v>1627.82</v>
      </c>
      <c r="I136" s="858"/>
      <c r="J136" s="42">
        <f>H136*Ratios!$C$13</f>
        <v>1461.3062652016358</v>
      </c>
      <c r="K136" s="42">
        <f>H136*Ratios!$D$13</f>
        <v>166.513734798364</v>
      </c>
      <c r="L136" s="318" t="s">
        <v>120</v>
      </c>
      <c r="M136" s="8">
        <f t="shared" si="40"/>
        <v>0</v>
      </c>
      <c r="N136" s="12"/>
      <c r="O136" s="8"/>
      <c r="P136" s="8"/>
      <c r="Q136" s="12"/>
      <c r="R136" s="12"/>
    </row>
    <row r="137" spans="1:18">
      <c r="A137" s="39">
        <v>70070</v>
      </c>
      <c r="B137" s="7" t="s">
        <v>99</v>
      </c>
      <c r="C137" s="42">
        <f>+IFERROR(VLOOKUP(A137,'2025 IS'!$D:$AH,31,FALSE),0)</f>
        <v>905.64999999999986</v>
      </c>
      <c r="D137" s="46"/>
      <c r="E137" s="43">
        <f t="shared" si="38"/>
        <v>905.64999999999986</v>
      </c>
      <c r="F137" s="44"/>
      <c r="G137" s="46"/>
      <c r="H137" s="43">
        <f t="shared" si="39"/>
        <v>905.64999999999986</v>
      </c>
      <c r="I137" s="858"/>
      <c r="J137" s="42">
        <f>H137*Ratios!$C$13</f>
        <v>813.00882104892514</v>
      </c>
      <c r="K137" s="42">
        <f>H137*Ratios!$D$13</f>
        <v>92.64117895107465</v>
      </c>
      <c r="L137" s="318" t="s">
        <v>120</v>
      </c>
      <c r="M137" s="8">
        <f t="shared" si="40"/>
        <v>0</v>
      </c>
      <c r="N137" s="12"/>
      <c r="O137" s="8"/>
      <c r="P137" s="8"/>
      <c r="Q137" s="12"/>
      <c r="R137" s="12"/>
    </row>
    <row r="138" spans="1:18">
      <c r="A138" s="68">
        <v>46130</v>
      </c>
      <c r="B138" s="2" t="s">
        <v>100</v>
      </c>
      <c r="C138" s="47">
        <f>SUM(C132:C137)</f>
        <v>78914.37</v>
      </c>
      <c r="D138" s="47">
        <f>SUM(D132:D137)</f>
        <v>3950.6742006552404</v>
      </c>
      <c r="E138" s="47">
        <f>SUM(E132:E137)</f>
        <v>82865.044200655248</v>
      </c>
      <c r="F138" s="48"/>
      <c r="G138" s="47">
        <f>SUM(G132:G137)</f>
        <v>458.33525000000003</v>
      </c>
      <c r="H138" s="47">
        <f>SUM(H132:H137)</f>
        <v>83323.379450655237</v>
      </c>
      <c r="I138" s="859"/>
      <c r="J138" s="47">
        <f>SUM(J132:J137)</f>
        <v>74800.024836293785</v>
      </c>
      <c r="K138" s="47">
        <f>SUM(K132:K137)</f>
        <v>8523.3546143614512</v>
      </c>
      <c r="L138" s="49"/>
      <c r="M138" s="49"/>
    </row>
    <row r="139" spans="1:18" ht="6" customHeight="1">
      <c r="A139" s="68"/>
      <c r="B139" s="2"/>
      <c r="C139" s="63"/>
      <c r="D139" s="63"/>
      <c r="E139" s="63"/>
      <c r="F139" s="64"/>
      <c r="G139" s="63"/>
      <c r="H139" s="63"/>
      <c r="I139" s="860"/>
      <c r="J139" s="63"/>
      <c r="K139" s="63"/>
      <c r="L139" s="3"/>
      <c r="M139" s="3"/>
    </row>
    <row r="140" spans="1:18">
      <c r="A140" s="65">
        <v>70149</v>
      </c>
      <c r="B140" s="54" t="s">
        <v>101</v>
      </c>
      <c r="C140" s="56"/>
      <c r="D140" s="57"/>
      <c r="E140" s="57"/>
      <c r="F140" s="58"/>
      <c r="G140" s="57"/>
      <c r="H140" s="57"/>
      <c r="I140" s="862"/>
      <c r="J140" s="56"/>
      <c r="K140" s="56"/>
      <c r="L140" s="59"/>
      <c r="M140" s="59"/>
    </row>
    <row r="141" spans="1:18">
      <c r="A141" s="39">
        <v>70149</v>
      </c>
      <c r="B141" s="7" t="s">
        <v>102</v>
      </c>
      <c r="C141" s="42">
        <f>+IFERROR(VLOOKUP(A141,'2025 IS'!$D:$AH,31,FALSE),0)</f>
        <v>26605.780000000002</v>
      </c>
      <c r="D141" s="81">
        <f>+'Restating Adj''s'!O44</f>
        <v>-2938.9316043951294</v>
      </c>
      <c r="E141" s="43">
        <f>SUM(C141:D141)</f>
        <v>23666.848395604873</v>
      </c>
      <c r="F141" s="498" t="s">
        <v>103</v>
      </c>
      <c r="G141" s="43"/>
      <c r="H141" s="43">
        <f>C141+D141+G141</f>
        <v>23666.848395604873</v>
      </c>
      <c r="I141" s="858"/>
      <c r="J141" s="42">
        <f>$H$141*J17</f>
        <v>22070.769391289854</v>
      </c>
      <c r="K141" s="42">
        <f>$H$141*K17</f>
        <v>1596.0790043150164</v>
      </c>
      <c r="L141" s="7" t="s">
        <v>84</v>
      </c>
      <c r="M141" s="8">
        <f t="shared" ref="M141" si="41">H141-J141-K141</f>
        <v>2.7284841053187847E-12</v>
      </c>
      <c r="O141" s="8"/>
      <c r="P141" s="8"/>
      <c r="Q141" s="12"/>
    </row>
    <row r="142" spans="1:18">
      <c r="A142" s="68">
        <v>46100</v>
      </c>
      <c r="B142" s="2" t="s">
        <v>101</v>
      </c>
      <c r="C142" s="47">
        <f>SUM(C141)</f>
        <v>26605.780000000002</v>
      </c>
      <c r="D142" s="47">
        <f>SUM(D141)</f>
        <v>-2938.9316043951294</v>
      </c>
      <c r="E142" s="47">
        <f>SUM(E141)</f>
        <v>23666.848395604873</v>
      </c>
      <c r="F142" s="88"/>
      <c r="G142" s="47">
        <f>SUM(G141)</f>
        <v>0</v>
      </c>
      <c r="H142" s="47">
        <f>SUM(H141)</f>
        <v>23666.848395604873</v>
      </c>
      <c r="I142" s="859"/>
      <c r="J142" s="47">
        <f>SUM(J141)</f>
        <v>22070.769391289854</v>
      </c>
      <c r="K142" s="47">
        <f>SUM(K141)</f>
        <v>1596.0790043150164</v>
      </c>
      <c r="L142" s="89"/>
      <c r="M142" s="89"/>
    </row>
    <row r="143" spans="1:18" ht="6" customHeight="1">
      <c r="A143" s="68"/>
      <c r="B143" s="2"/>
      <c r="C143" s="63"/>
      <c r="D143" s="63"/>
      <c r="E143" s="63"/>
      <c r="F143" s="64"/>
      <c r="G143" s="63"/>
      <c r="H143" s="63"/>
      <c r="I143" s="860"/>
      <c r="J143" s="63"/>
      <c r="K143" s="63"/>
      <c r="L143" s="3"/>
      <c r="M143" s="3"/>
    </row>
    <row r="144" spans="1:18">
      <c r="A144" s="65">
        <v>46200</v>
      </c>
      <c r="B144" s="54" t="s">
        <v>104</v>
      </c>
      <c r="C144" s="56"/>
      <c r="D144" s="57"/>
      <c r="E144" s="57"/>
      <c r="F144" s="58"/>
      <c r="G144" s="57"/>
      <c r="H144" s="57"/>
      <c r="I144" s="862"/>
      <c r="J144" s="56"/>
      <c r="K144" s="56"/>
      <c r="L144" s="59"/>
      <c r="M144" s="59"/>
    </row>
    <row r="145" spans="1:18">
      <c r="A145" s="39">
        <v>70147</v>
      </c>
      <c r="B145" s="7" t="s">
        <v>108</v>
      </c>
      <c r="C145" s="42">
        <f>+IFERROR(VLOOKUP(A145,'2025 IS'!$D:$AH,31,FALSE),0)</f>
        <v>4585.87</v>
      </c>
      <c r="D145" s="46"/>
      <c r="E145" s="43">
        <f t="shared" ref="E145:E151" si="42">SUM(C145:D145)</f>
        <v>4585.87</v>
      </c>
      <c r="G145" s="46"/>
      <c r="H145" s="43">
        <f t="shared" ref="H145:H151" si="43">C145+D145+G145</f>
        <v>4585.87</v>
      </c>
      <c r="I145" s="858"/>
      <c r="J145" s="42">
        <f>H145*Ratios!$C$13</f>
        <v>4116.7700129008281</v>
      </c>
      <c r="K145" s="42">
        <f>H145*Ratios!$D$13</f>
        <v>469.09998709917159</v>
      </c>
      <c r="L145" s="318" t="s">
        <v>120</v>
      </c>
      <c r="M145" s="8">
        <f t="shared" ref="M145:M151" si="44">H145-J145-K145</f>
        <v>0</v>
      </c>
      <c r="N145" s="12"/>
      <c r="O145" s="8"/>
      <c r="P145" s="8"/>
      <c r="Q145" s="12"/>
      <c r="R145" s="12"/>
    </row>
    <row r="146" spans="1:18">
      <c r="A146" s="66">
        <v>70210</v>
      </c>
      <c r="B146" s="7" t="s">
        <v>109</v>
      </c>
      <c r="C146" s="42">
        <f>+IFERROR(VLOOKUP(A146,'2025 IS'!$D:$AH,31,FALSE),0)</f>
        <v>68.41</v>
      </c>
      <c r="D146" s="46"/>
      <c r="E146" s="43">
        <f t="shared" si="42"/>
        <v>68.41</v>
      </c>
      <c r="G146" s="46"/>
      <c r="H146" s="43">
        <f t="shared" si="43"/>
        <v>68.41</v>
      </c>
      <c r="I146" s="858"/>
      <c r="J146" s="42">
        <f>H146*Ratios!$C$13</f>
        <v>61.412171863255097</v>
      </c>
      <c r="K146" s="42">
        <f>H146*Ratios!$D$13</f>
        <v>6.9978281367448982</v>
      </c>
      <c r="L146" s="318" t="s">
        <v>120</v>
      </c>
      <c r="M146" s="8">
        <f t="shared" si="44"/>
        <v>0</v>
      </c>
      <c r="N146" s="12"/>
      <c r="O146" s="8"/>
      <c r="P146" s="8"/>
      <c r="Q146" s="12"/>
      <c r="R146" s="12"/>
    </row>
    <row r="147" spans="1:18">
      <c r="A147" s="39">
        <v>70245</v>
      </c>
      <c r="B147" s="7" t="s">
        <v>111</v>
      </c>
      <c r="C147" s="42">
        <f>+IFERROR(VLOOKUP(A147,'2025 IS'!$D:$AH,31,FALSE),0)</f>
        <v>53.25</v>
      </c>
      <c r="D147" s="46"/>
      <c r="E147" s="43">
        <f t="shared" si="42"/>
        <v>53.25</v>
      </c>
      <c r="G147" s="46"/>
      <c r="H147" s="43">
        <f t="shared" si="43"/>
        <v>53.25</v>
      </c>
      <c r="I147" s="858"/>
      <c r="J147" s="42">
        <f>H147*Ratios!$C$24</f>
        <v>47.981127359080112</v>
      </c>
      <c r="K147" s="42">
        <f>H147*Ratios!$D$24</f>
        <v>5.2688726409198852</v>
      </c>
      <c r="L147" s="317" t="s">
        <v>23</v>
      </c>
      <c r="M147" s="8">
        <f t="shared" si="44"/>
        <v>0</v>
      </c>
      <c r="N147" s="12"/>
      <c r="O147" s="8"/>
      <c r="P147" s="8"/>
      <c r="Q147" s="12"/>
      <c r="R147" s="12"/>
    </row>
    <row r="148" spans="1:18">
      <c r="A148" s="79">
        <v>70300</v>
      </c>
      <c r="B148" s="80" t="s">
        <v>112</v>
      </c>
      <c r="C148" s="42">
        <f>+IFERROR(VLOOKUP(A148,'2025 IS'!$D:$AH,31,FALSE),0)</f>
        <v>10634.52</v>
      </c>
      <c r="D148" s="46"/>
      <c r="E148" s="43">
        <f t="shared" si="42"/>
        <v>10634.52</v>
      </c>
      <c r="G148" s="46"/>
      <c r="H148" s="43">
        <f t="shared" si="43"/>
        <v>10634.52</v>
      </c>
      <c r="I148" s="858"/>
      <c r="J148" s="42">
        <f>H148*Ratios!$C$13</f>
        <v>9546.6886408891041</v>
      </c>
      <c r="K148" s="42">
        <f>+H148-J148</f>
        <v>1087.8313591108963</v>
      </c>
      <c r="L148" s="318" t="s">
        <v>120</v>
      </c>
      <c r="M148" s="8">
        <f t="shared" si="44"/>
        <v>0</v>
      </c>
      <c r="N148" s="12"/>
      <c r="O148" s="8"/>
      <c r="P148" s="8"/>
      <c r="Q148" s="12"/>
      <c r="R148" s="12"/>
    </row>
    <row r="149" spans="1:18">
      <c r="B149" s="7" t="s">
        <v>113</v>
      </c>
      <c r="C149" s="42">
        <f>+IFERROR(VLOOKUP(A149,'2025 IS'!$D:$AH,31,FALSE),0)</f>
        <v>0</v>
      </c>
      <c r="D149" s="46"/>
      <c r="E149" s="43">
        <f t="shared" si="42"/>
        <v>0</v>
      </c>
      <c r="G149" s="81">
        <f>+'Pro-forma Adj''s'!D34</f>
        <v>630.0146521976402</v>
      </c>
      <c r="H149" s="43">
        <f t="shared" si="43"/>
        <v>630.0146521976402</v>
      </c>
      <c r="I149" s="858"/>
      <c r="J149" s="42">
        <f>H149*Ratios!$C$13</f>
        <v>565.56889485645911</v>
      </c>
      <c r="K149" s="42">
        <f>H149*Ratios!$D$13</f>
        <v>64.445757341181078</v>
      </c>
      <c r="L149" s="318" t="s">
        <v>120</v>
      </c>
      <c r="M149" s="8">
        <f t="shared" si="44"/>
        <v>0</v>
      </c>
      <c r="O149" s="8"/>
      <c r="P149" s="8"/>
      <c r="Q149" s="12"/>
    </row>
    <row r="150" spans="1:18">
      <c r="A150" s="39">
        <v>70320</v>
      </c>
      <c r="B150" s="7" t="s">
        <v>115</v>
      </c>
      <c r="C150" s="42">
        <f>+IFERROR(VLOOKUP(A150,'2025 IS'!$D:$AH,31,FALSE),0)</f>
        <v>1417.1399999999999</v>
      </c>
      <c r="D150" s="46"/>
      <c r="E150" s="43">
        <f t="shared" si="42"/>
        <v>1417.1399999999999</v>
      </c>
      <c r="G150" s="46"/>
      <c r="H150" s="43">
        <f t="shared" si="43"/>
        <v>1417.1399999999999</v>
      </c>
      <c r="I150" s="858"/>
      <c r="J150" s="42">
        <f>H150*Ratios!$C$13</f>
        <v>1272.177243594406</v>
      </c>
      <c r="K150" s="42">
        <f>H150*Ratios!$D$13</f>
        <v>144.96275640559369</v>
      </c>
      <c r="L150" s="318" t="s">
        <v>120</v>
      </c>
      <c r="M150" s="8">
        <f t="shared" si="44"/>
        <v>0</v>
      </c>
      <c r="N150" s="12"/>
      <c r="O150" s="8"/>
      <c r="P150" s="8"/>
      <c r="Q150" s="12"/>
      <c r="R150" s="12"/>
    </row>
    <row r="151" spans="1:18">
      <c r="A151" s="39">
        <v>91002</v>
      </c>
      <c r="B151" s="7" t="s">
        <v>116</v>
      </c>
      <c r="C151" s="42">
        <f>+IFERROR(VLOOKUP(A151,'2025 IS'!$D:$AH,31,FALSE),0)</f>
        <v>-25</v>
      </c>
      <c r="D151" s="43"/>
      <c r="E151" s="43">
        <f t="shared" si="42"/>
        <v>-25</v>
      </c>
      <c r="F151" s="90"/>
      <c r="G151" s="46"/>
      <c r="H151" s="43">
        <f t="shared" si="43"/>
        <v>-25</v>
      </c>
      <c r="I151" s="858"/>
      <c r="J151" s="42">
        <f>H151*Ratios!$C$13</f>
        <v>-22.442688153506467</v>
      </c>
      <c r="K151" s="42">
        <f>H151*Ratios!$D$13</f>
        <v>-2.5573118464935312</v>
      </c>
      <c r="L151" s="318" t="s">
        <v>120</v>
      </c>
      <c r="M151" s="8">
        <f t="shared" si="44"/>
        <v>0</v>
      </c>
      <c r="O151" s="8"/>
      <c r="P151" s="8"/>
      <c r="Q151" s="12"/>
    </row>
    <row r="152" spans="1:18">
      <c r="A152" s="68">
        <v>46200</v>
      </c>
      <c r="B152" s="2" t="s">
        <v>117</v>
      </c>
      <c r="C152" s="47">
        <f>SUM(C145:C151)</f>
        <v>16734.189999999999</v>
      </c>
      <c r="D152" s="47">
        <f>SUM(D145:D151)</f>
        <v>0</v>
      </c>
      <c r="E152" s="47">
        <f>SUM(E145:E151)</f>
        <v>16734.189999999999</v>
      </c>
      <c r="F152" s="88"/>
      <c r="G152" s="47">
        <f>SUM(G145:G151)</f>
        <v>630.0146521976402</v>
      </c>
      <c r="H152" s="47">
        <f>SUM(H145:H151)</f>
        <v>17364.204652197641</v>
      </c>
      <c r="I152" s="859"/>
      <c r="J152" s="47">
        <f>SUM(J145:J151)</f>
        <v>15588.155403309625</v>
      </c>
      <c r="K152" s="47">
        <f>SUM(K145:K151)</f>
        <v>1776.0492488880136</v>
      </c>
      <c r="L152" s="91"/>
      <c r="M152" s="91"/>
    </row>
    <row r="153" spans="1:18" ht="6" customHeight="1">
      <c r="A153" s="92"/>
      <c r="B153" s="2"/>
      <c r="C153" s="63"/>
      <c r="D153" s="63"/>
      <c r="E153" s="63"/>
      <c r="F153" s="64"/>
      <c r="G153" s="63"/>
      <c r="H153" s="63"/>
      <c r="I153" s="860"/>
      <c r="J153" s="63"/>
      <c r="K153" s="63"/>
      <c r="L153" s="85"/>
      <c r="M153" s="85"/>
    </row>
    <row r="154" spans="1:18" hidden="1">
      <c r="A154" s="65">
        <v>46300</v>
      </c>
      <c r="B154" s="54" t="s">
        <v>118</v>
      </c>
      <c r="C154" s="56"/>
      <c r="D154" s="57"/>
      <c r="E154" s="57"/>
      <c r="F154" s="58"/>
      <c r="G154" s="57"/>
      <c r="H154" s="57"/>
      <c r="I154" s="862"/>
      <c r="J154" s="56"/>
      <c r="K154" s="56"/>
      <c r="L154" s="59"/>
      <c r="M154" s="59"/>
    </row>
    <row r="155" spans="1:18" hidden="1">
      <c r="A155" s="39">
        <v>70235</v>
      </c>
      <c r="B155" s="7" t="s">
        <v>119</v>
      </c>
      <c r="C155" s="42">
        <f>+IFERROR(VLOOKUP(A155,'2025 IS'!$D:$AH,31,FALSE),0)</f>
        <v>0</v>
      </c>
      <c r="D155" s="46"/>
      <c r="E155" s="43">
        <f>SUM(C155:D155)</f>
        <v>0</v>
      </c>
      <c r="G155" s="46"/>
      <c r="H155" s="43">
        <f>C155+D155+G155</f>
        <v>0</v>
      </c>
      <c r="I155" s="858"/>
      <c r="J155" s="42">
        <f>H155*Ratios!$C$13</f>
        <v>0</v>
      </c>
      <c r="K155" s="42">
        <f>+H155-J155</f>
        <v>0</v>
      </c>
      <c r="L155" s="318" t="s">
        <v>120</v>
      </c>
      <c r="M155" s="8">
        <f t="shared" ref="M155" si="45">H155-J155-K155</f>
        <v>0</v>
      </c>
      <c r="N155" s="12"/>
      <c r="O155" s="12"/>
      <c r="P155" s="12"/>
      <c r="Q155" s="12"/>
      <c r="R155" s="12"/>
    </row>
    <row r="156" spans="1:18" hidden="1">
      <c r="A156" s="68">
        <v>46300</v>
      </c>
      <c r="B156" s="2" t="s">
        <v>118</v>
      </c>
      <c r="C156" s="47">
        <f>SUM(C155)</f>
        <v>0</v>
      </c>
      <c r="D156" s="47">
        <f>SUM(D155)</f>
        <v>0</v>
      </c>
      <c r="E156" s="47">
        <f>SUM(E155)</f>
        <v>0</v>
      </c>
      <c r="F156" s="88"/>
      <c r="G156" s="47">
        <f>SUM(G155)</f>
        <v>0</v>
      </c>
      <c r="H156" s="47">
        <f>SUM(H155)</f>
        <v>0</v>
      </c>
      <c r="I156" s="859"/>
      <c r="J156" s="47">
        <f>SUM(J155)</f>
        <v>0</v>
      </c>
      <c r="K156" s="47">
        <f>SUM(K155)</f>
        <v>0</v>
      </c>
      <c r="L156" s="89"/>
      <c r="M156" s="89"/>
    </row>
    <row r="157" spans="1:18" hidden="1">
      <c r="A157" s="68"/>
      <c r="B157" s="2"/>
      <c r="C157" s="63"/>
      <c r="D157" s="63"/>
      <c r="E157" s="63"/>
      <c r="F157" s="64"/>
      <c r="G157" s="63"/>
      <c r="H157" s="63"/>
      <c r="I157" s="860"/>
      <c r="J157" s="63"/>
      <c r="K157" s="63"/>
      <c r="L157" s="3"/>
      <c r="M157" s="3"/>
    </row>
    <row r="158" spans="1:18" hidden="1">
      <c r="A158" s="65">
        <v>46400</v>
      </c>
      <c r="B158" s="54" t="s">
        <v>121</v>
      </c>
      <c r="C158" s="56"/>
      <c r="D158" s="57"/>
      <c r="E158" s="57"/>
      <c r="F158" s="58"/>
      <c r="G158" s="57"/>
      <c r="H158" s="57"/>
      <c r="I158" s="862"/>
      <c r="J158" s="56"/>
      <c r="K158" s="56"/>
      <c r="L158" s="59"/>
      <c r="M158" s="59"/>
    </row>
    <row r="159" spans="1:18" hidden="1">
      <c r="A159" s="39">
        <v>52150</v>
      </c>
      <c r="B159" s="7" t="s">
        <v>121</v>
      </c>
      <c r="C159" s="42">
        <f>+IFERROR(VLOOKUP(A159,'2025 IS'!$D:$AH,31,FALSE),0)</f>
        <v>0</v>
      </c>
      <c r="D159" s="46"/>
      <c r="E159" s="43">
        <f>SUM(C159:D159)</f>
        <v>0</v>
      </c>
      <c r="G159" s="46"/>
      <c r="H159" s="43">
        <f>C159+D159+G159</f>
        <v>0</v>
      </c>
      <c r="I159" s="858"/>
      <c r="J159" s="42">
        <f>H159*Ratios!$C$24</f>
        <v>0</v>
      </c>
      <c r="K159" s="42">
        <f t="shared" ref="K159:K160" si="46">+H159-J159</f>
        <v>0</v>
      </c>
      <c r="L159" s="317" t="s">
        <v>23</v>
      </c>
      <c r="M159" s="8">
        <f t="shared" ref="M159:M160" si="47">H159-J159-K159</f>
        <v>0</v>
      </c>
      <c r="N159" s="12"/>
      <c r="O159" s="12"/>
      <c r="P159" s="12"/>
      <c r="Q159" s="12"/>
      <c r="R159" s="12"/>
    </row>
    <row r="160" spans="1:18" hidden="1">
      <c r="A160" s="39">
        <v>57150</v>
      </c>
      <c r="B160" s="7" t="s">
        <v>121</v>
      </c>
      <c r="C160" s="42">
        <f>+IFERROR(VLOOKUP(A160,'2025 IS'!$D:$AH,31,FALSE),0)</f>
        <v>0</v>
      </c>
      <c r="D160" s="46"/>
      <c r="E160" s="43">
        <f>SUM(C160:D160)</f>
        <v>0</v>
      </c>
      <c r="G160" s="46"/>
      <c r="H160" s="43">
        <f>C160+D160+G160</f>
        <v>0</v>
      </c>
      <c r="I160" s="858"/>
      <c r="J160" s="42">
        <f>H160*Ratios!$C$24</f>
        <v>0</v>
      </c>
      <c r="K160" s="42">
        <f t="shared" si="46"/>
        <v>0</v>
      </c>
      <c r="L160" s="317" t="s">
        <v>23</v>
      </c>
      <c r="M160" s="8">
        <f t="shared" si="47"/>
        <v>0</v>
      </c>
      <c r="N160" s="12"/>
      <c r="O160" s="12"/>
      <c r="P160" s="12"/>
      <c r="Q160" s="12"/>
      <c r="R160" s="12"/>
    </row>
    <row r="161" spans="1:18" hidden="1">
      <c r="A161" s="68">
        <v>46400</v>
      </c>
      <c r="B161" s="2" t="s">
        <v>121</v>
      </c>
      <c r="C161" s="47">
        <f>SUM(C159:C160)</f>
        <v>0</v>
      </c>
      <c r="D161" s="47">
        <f>SUM(D159:D160)</f>
        <v>0</v>
      </c>
      <c r="E161" s="47">
        <f>SUM(E159:E160)</f>
        <v>0</v>
      </c>
      <c r="F161" s="88"/>
      <c r="G161" s="47">
        <f>SUM(G159:G160)</f>
        <v>0</v>
      </c>
      <c r="H161" s="47">
        <f>SUM(H159:H160)</f>
        <v>0</v>
      </c>
      <c r="I161" s="859"/>
      <c r="J161" s="47">
        <f>SUM(J159:J160)</f>
        <v>0</v>
      </c>
      <c r="K161" s="47">
        <f>SUM(K159:K160)</f>
        <v>0</v>
      </c>
      <c r="L161" s="89"/>
      <c r="M161" s="89"/>
    </row>
    <row r="162" spans="1:18" hidden="1">
      <c r="A162" s="68"/>
      <c r="B162" s="2"/>
      <c r="C162" s="63"/>
      <c r="D162" s="63"/>
      <c r="E162" s="63"/>
      <c r="F162" s="64"/>
      <c r="G162" s="63"/>
      <c r="H162" s="63"/>
      <c r="I162" s="860"/>
      <c r="J162" s="63"/>
      <c r="K162" s="63"/>
      <c r="L162" s="3"/>
      <c r="M162" s="3"/>
    </row>
    <row r="163" spans="1:18">
      <c r="A163" s="65">
        <v>46410</v>
      </c>
      <c r="B163" s="54" t="s">
        <v>122</v>
      </c>
      <c r="C163" s="56"/>
      <c r="D163" s="57"/>
      <c r="E163" s="57"/>
      <c r="F163" s="58"/>
      <c r="G163" s="57"/>
      <c r="H163" s="57"/>
      <c r="I163" s="862"/>
      <c r="J163" s="56"/>
      <c r="K163" s="56"/>
      <c r="L163" s="59"/>
      <c r="M163" s="59"/>
    </row>
    <row r="164" spans="1:18">
      <c r="A164" s="39">
        <v>70165</v>
      </c>
      <c r="B164" s="7" t="s">
        <v>122</v>
      </c>
      <c r="C164" s="42">
        <f>+IFERROR(VLOOKUP(A164,'2025 IS'!$D:$AH,31,FALSE),0)</f>
        <v>5533.8799999999992</v>
      </c>
      <c r="D164" s="46"/>
      <c r="E164" s="43">
        <f>SUM(C164:D164)</f>
        <v>5533.8799999999992</v>
      </c>
      <c r="G164" s="46"/>
      <c r="H164" s="43">
        <f>C164+D164+G164</f>
        <v>5533.8799999999992</v>
      </c>
      <c r="I164" s="858"/>
      <c r="J164" s="42">
        <f>H164*Ratios!$C$13</f>
        <v>4967.8057247570541</v>
      </c>
      <c r="K164" s="42">
        <f>H164*Ratios!$D$13</f>
        <v>566.07427524294485</v>
      </c>
      <c r="L164" s="318" t="s">
        <v>120</v>
      </c>
      <c r="M164" s="8">
        <f t="shared" ref="M164" si="48">H164-J164-K164</f>
        <v>0</v>
      </c>
      <c r="N164" s="12"/>
      <c r="O164" s="8"/>
      <c r="P164" s="8"/>
      <c r="Q164" s="12"/>
      <c r="R164" s="12"/>
    </row>
    <row r="165" spans="1:18">
      <c r="A165" s="68">
        <v>46410</v>
      </c>
      <c r="B165" s="2" t="s">
        <v>122</v>
      </c>
      <c r="C165" s="47">
        <f>SUM(C164:C164)</f>
        <v>5533.8799999999992</v>
      </c>
      <c r="D165" s="47">
        <f>SUM(D164:D164)</f>
        <v>0</v>
      </c>
      <c r="E165" s="47">
        <f>SUM(E164:E164)</f>
        <v>5533.8799999999992</v>
      </c>
      <c r="F165" s="88"/>
      <c r="G165" s="47">
        <f>SUM(G164:G164)</f>
        <v>0</v>
      </c>
      <c r="H165" s="47">
        <f>SUM(H164:H164)</f>
        <v>5533.8799999999992</v>
      </c>
      <c r="I165" s="859"/>
      <c r="J165" s="47">
        <f>SUM(J164:J164)</f>
        <v>4967.8057247570541</v>
      </c>
      <c r="K165" s="47">
        <f>SUM(K164:K164)</f>
        <v>566.07427524294485</v>
      </c>
      <c r="L165" s="89"/>
      <c r="M165" s="89"/>
    </row>
    <row r="166" spans="1:18" ht="6" customHeight="1">
      <c r="A166" s="68"/>
      <c r="B166" s="2"/>
      <c r="C166" s="63"/>
      <c r="D166" s="63"/>
      <c r="E166" s="63"/>
      <c r="F166" s="64"/>
      <c r="G166" s="63"/>
      <c r="H166" s="63"/>
      <c r="I166" s="860"/>
      <c r="J166" s="63"/>
      <c r="K166" s="63"/>
      <c r="L166" s="3"/>
      <c r="M166" s="3"/>
    </row>
    <row r="167" spans="1:18">
      <c r="A167" s="65">
        <v>46500</v>
      </c>
      <c r="B167" s="54" t="s">
        <v>123</v>
      </c>
      <c r="C167" s="56"/>
      <c r="D167" s="57"/>
      <c r="E167" s="57"/>
      <c r="F167" s="58"/>
      <c r="G167" s="57"/>
      <c r="H167" s="57"/>
      <c r="I167" s="862"/>
      <c r="J167" s="56"/>
      <c r="K167" s="56"/>
      <c r="L167" s="59"/>
      <c r="M167" s="59"/>
    </row>
    <row r="168" spans="1:18">
      <c r="A168" s="39">
        <v>50060</v>
      </c>
      <c r="B168" s="7" t="s">
        <v>124</v>
      </c>
      <c r="C168" s="42">
        <f>+IFERROR(VLOOKUP(A168,'2025 IS'!$D:$AH,31,FALSE),0)</f>
        <v>26014.320000000007</v>
      </c>
      <c r="D168" s="43"/>
      <c r="E168" s="43">
        <f>SUM(C168:D168)</f>
        <v>26014.320000000007</v>
      </c>
      <c r="G168" s="46"/>
      <c r="H168" s="43">
        <f>C168+D168+G168</f>
        <v>26014.320000000007</v>
      </c>
      <c r="I168" s="858"/>
      <c r="J168" s="42">
        <f>H168*Ratios!$C$24</f>
        <v>23440.30800149982</v>
      </c>
      <c r="K168" s="42">
        <f>H168*Ratios!$D$24</f>
        <v>2574.0119985001884</v>
      </c>
      <c r="L168" s="317" t="s">
        <v>23</v>
      </c>
      <c r="M168" s="8">
        <f t="shared" ref="M168:M171" si="49">H168-J168-K168</f>
        <v>0</v>
      </c>
      <c r="N168" s="12"/>
      <c r="O168" s="8"/>
      <c r="P168" s="8"/>
      <c r="Q168" s="12"/>
      <c r="R168" s="12"/>
    </row>
    <row r="169" spans="1:18">
      <c r="A169" s="39">
        <v>52060</v>
      </c>
      <c r="B169" s="7" t="s">
        <v>124</v>
      </c>
      <c r="C169" s="42">
        <f>+IFERROR(VLOOKUP(A169,'2025 IS'!$D:$AH,31,FALSE),0)</f>
        <v>10326.65</v>
      </c>
      <c r="D169" s="46"/>
      <c r="E169" s="43">
        <f>SUM(C169:D169)</f>
        <v>10326.65</v>
      </c>
      <c r="G169" s="46"/>
      <c r="H169" s="43">
        <f>C169+D169+G169</f>
        <v>10326.65</v>
      </c>
      <c r="I169" s="858"/>
      <c r="J169" s="42">
        <f>H169*Ratios!$C$24</f>
        <v>9304.8696496271295</v>
      </c>
      <c r="K169" s="42">
        <f>H169*Ratios!$D$24</f>
        <v>1021.7803503728701</v>
      </c>
      <c r="L169" s="317" t="s">
        <v>23</v>
      </c>
      <c r="M169" s="8">
        <f t="shared" si="49"/>
        <v>0</v>
      </c>
      <c r="N169" s="12"/>
      <c r="O169" s="8"/>
      <c r="P169" s="8"/>
      <c r="Q169" s="12"/>
      <c r="R169" s="12"/>
    </row>
    <row r="170" spans="1:18">
      <c r="A170" s="39">
        <v>56060</v>
      </c>
      <c r="B170" s="7" t="s">
        <v>124</v>
      </c>
      <c r="C170" s="42">
        <f>+IFERROR(VLOOKUP(A170,'2025 IS'!$D:$AH,31,FALSE),0)</f>
        <v>6003.4</v>
      </c>
      <c r="D170" s="81"/>
      <c r="E170" s="43">
        <f>SUM(C170:D170)</f>
        <v>6003.4</v>
      </c>
      <c r="G170" s="43"/>
      <c r="H170" s="43">
        <f>C170+D170+G170</f>
        <v>6003.4</v>
      </c>
      <c r="I170" s="858"/>
      <c r="J170" s="42">
        <f>H170*Ratios!$C$24</f>
        <v>5409.3877931925172</v>
      </c>
      <c r="K170" s="42">
        <f>H170*Ratios!$D$24</f>
        <v>594.01220680748236</v>
      </c>
      <c r="L170" s="317" t="s">
        <v>23</v>
      </c>
      <c r="M170" s="8">
        <f t="shared" si="49"/>
        <v>0</v>
      </c>
      <c r="N170" s="12"/>
      <c r="O170" s="8"/>
      <c r="P170" s="8"/>
      <c r="Q170" s="12"/>
      <c r="R170" s="12"/>
    </row>
    <row r="171" spans="1:18">
      <c r="A171" s="39">
        <v>70060</v>
      </c>
      <c r="B171" s="7" t="s">
        <v>124</v>
      </c>
      <c r="C171" s="42">
        <f>+IFERROR(VLOOKUP(A171,'2025 IS'!$D:$AH,31,FALSE),0)</f>
        <v>16290.560000000001</v>
      </c>
      <c r="D171" s="81"/>
      <c r="E171" s="43">
        <f>SUM(C171:D171)</f>
        <v>16290.560000000001</v>
      </c>
      <c r="G171" s="46"/>
      <c r="H171" s="43">
        <f>C171+D171+G171</f>
        <v>16290.560000000001</v>
      </c>
      <c r="I171" s="858"/>
      <c r="J171" s="42">
        <f>H171*Ratios!$C$13</f>
        <v>14624.158317039455</v>
      </c>
      <c r="K171" s="42">
        <f>H171*Ratios!$D$13</f>
        <v>1666.4016829605464</v>
      </c>
      <c r="L171" s="318" t="s">
        <v>120</v>
      </c>
      <c r="M171" s="8">
        <f t="shared" si="49"/>
        <v>0</v>
      </c>
      <c r="N171" s="12"/>
      <c r="O171" s="8"/>
      <c r="P171" s="8"/>
      <c r="Q171" s="12"/>
      <c r="R171" s="12"/>
    </row>
    <row r="172" spans="1:18">
      <c r="A172" s="68">
        <v>46500</v>
      </c>
      <c r="B172" s="2" t="s">
        <v>123</v>
      </c>
      <c r="C172" s="47">
        <f>SUM(C168:C171)</f>
        <v>58634.930000000008</v>
      </c>
      <c r="D172" s="47">
        <f>SUM(D168:D171)</f>
        <v>0</v>
      </c>
      <c r="E172" s="47">
        <f>SUM(E168:E171)</f>
        <v>58634.930000000008</v>
      </c>
      <c r="F172" s="88"/>
      <c r="G172" s="47">
        <f>SUM(G168:G171)</f>
        <v>0</v>
      </c>
      <c r="H172" s="47">
        <f>SUM(H168:H171)</f>
        <v>58634.930000000008</v>
      </c>
      <c r="I172" s="859"/>
      <c r="J172" s="47">
        <f>SUM(J168:J171)</f>
        <v>52778.723761358924</v>
      </c>
      <c r="K172" s="47">
        <f>SUM(K168:K171)</f>
        <v>5856.2062386410871</v>
      </c>
      <c r="L172" s="89"/>
      <c r="M172" s="89"/>
    </row>
    <row r="173" spans="1:18" ht="6" customHeight="1">
      <c r="C173" s="42"/>
      <c r="D173" s="46"/>
      <c r="E173" s="46"/>
      <c r="G173" s="46"/>
      <c r="H173" s="46"/>
      <c r="I173" s="860"/>
      <c r="J173" s="42"/>
      <c r="K173" s="42"/>
    </row>
    <row r="174" spans="1:18">
      <c r="A174" s="65">
        <v>46510</v>
      </c>
      <c r="B174" s="54" t="s">
        <v>125</v>
      </c>
      <c r="C174" s="56"/>
      <c r="D174" s="57"/>
      <c r="E174" s="57"/>
      <c r="F174" s="58"/>
      <c r="G174" s="57"/>
      <c r="H174" s="57"/>
      <c r="I174" s="862"/>
      <c r="J174" s="56"/>
      <c r="K174" s="56"/>
      <c r="L174" s="59"/>
      <c r="M174" s="59"/>
    </row>
    <row r="175" spans="1:18">
      <c r="A175" s="39">
        <v>56115</v>
      </c>
      <c r="B175" s="7" t="s">
        <v>125</v>
      </c>
      <c r="C175" s="42">
        <f>+IFERROR(VLOOKUP(A175,'2025 IS'!$D:$AH,31,FALSE),0)</f>
        <v>1179.1199999999999</v>
      </c>
      <c r="D175" s="46"/>
      <c r="E175" s="43">
        <f t="shared" ref="E175:E176" si="50">SUM(C175:D175)</f>
        <v>1179.1199999999999</v>
      </c>
      <c r="G175" s="46"/>
      <c r="H175" s="43">
        <f t="shared" ref="H175:H176" si="51">C175+D175+G175</f>
        <v>1179.1199999999999</v>
      </c>
      <c r="I175" s="858"/>
      <c r="J175" s="42">
        <f>H175*Ratios!$C$24</f>
        <v>1062.4508336457941</v>
      </c>
      <c r="K175" s="42">
        <f>H175*Ratios!$D$24</f>
        <v>116.66916635420571</v>
      </c>
      <c r="L175" s="317" t="s">
        <v>23</v>
      </c>
      <c r="M175" s="8">
        <f t="shared" ref="M175:M176" si="52">H175-J175-K175</f>
        <v>0</v>
      </c>
      <c r="N175" s="12"/>
      <c r="O175" s="8"/>
      <c r="P175" s="8"/>
      <c r="Q175" s="12"/>
      <c r="R175" s="12"/>
    </row>
    <row r="176" spans="1:18">
      <c r="A176" s="39">
        <v>70116</v>
      </c>
      <c r="B176" s="7" t="s">
        <v>125</v>
      </c>
      <c r="C176" s="42">
        <f>+IFERROR(VLOOKUP(A176,'2025 IS'!$D:$AH,31,FALSE),0)</f>
        <v>1514.0500000000002</v>
      </c>
      <c r="D176" s="46"/>
      <c r="E176" s="43">
        <f t="shared" si="50"/>
        <v>1514.0500000000002</v>
      </c>
      <c r="G176" s="46"/>
      <c r="H176" s="43">
        <f t="shared" si="51"/>
        <v>1514.0500000000002</v>
      </c>
      <c r="I176" s="858"/>
      <c r="J176" s="42">
        <f>H176*Ratios!$C$13</f>
        <v>1359.174079952659</v>
      </c>
      <c r="K176" s="42">
        <f>H176*Ratios!$D$13</f>
        <v>154.87592004734125</v>
      </c>
      <c r="L176" s="318" t="s">
        <v>120</v>
      </c>
      <c r="M176" s="8">
        <f t="shared" si="52"/>
        <v>0</v>
      </c>
      <c r="N176" s="12"/>
      <c r="O176" s="8"/>
      <c r="P176" s="8"/>
      <c r="Q176" s="12"/>
      <c r="R176" s="12"/>
    </row>
    <row r="177" spans="1:18">
      <c r="A177" s="68">
        <v>46510</v>
      </c>
      <c r="B177" s="2" t="s">
        <v>125</v>
      </c>
      <c r="C177" s="47">
        <f t="shared" ref="C177:H177" si="53">SUM(C175:C176)</f>
        <v>2693.17</v>
      </c>
      <c r="D177" s="47">
        <f t="shared" si="53"/>
        <v>0</v>
      </c>
      <c r="E177" s="47">
        <f t="shared" si="53"/>
        <v>2693.17</v>
      </c>
      <c r="F177" s="47">
        <f t="shared" si="53"/>
        <v>0</v>
      </c>
      <c r="G177" s="47">
        <f t="shared" si="53"/>
        <v>0</v>
      </c>
      <c r="H177" s="47">
        <f t="shared" si="53"/>
        <v>2693.17</v>
      </c>
      <c r="I177" s="859"/>
      <c r="J177" s="47">
        <f>SUM(J175:J176)</f>
        <v>2421.6249135984531</v>
      </c>
      <c r="K177" s="47">
        <f>SUM(K175:K176)</f>
        <v>271.545086401547</v>
      </c>
      <c r="L177" s="89"/>
      <c r="M177" s="89"/>
    </row>
    <row r="178" spans="1:18" ht="6" customHeight="1">
      <c r="A178" s="68"/>
      <c r="B178" s="2"/>
      <c r="C178" s="63"/>
      <c r="D178" s="63"/>
      <c r="E178" s="63"/>
      <c r="F178" s="64"/>
      <c r="G178" s="42"/>
      <c r="H178" s="63"/>
      <c r="I178" s="860"/>
      <c r="J178" s="63"/>
      <c r="K178" s="63"/>
      <c r="L178" s="3"/>
      <c r="M178" s="3"/>
    </row>
    <row r="179" spans="1:18">
      <c r="A179" s="65">
        <v>46700</v>
      </c>
      <c r="B179" s="54" t="s">
        <v>126</v>
      </c>
      <c r="C179" s="56"/>
      <c r="D179" s="57"/>
      <c r="E179" s="57"/>
      <c r="F179" s="58"/>
      <c r="G179" s="57"/>
      <c r="H179" s="57"/>
      <c r="I179" s="862"/>
      <c r="J179" s="56"/>
      <c r="K179" s="56"/>
      <c r="L179" s="59"/>
      <c r="M179" s="59"/>
    </row>
    <row r="180" spans="1:18">
      <c r="A180" s="39">
        <v>70310</v>
      </c>
      <c r="B180" s="7" t="s">
        <v>127</v>
      </c>
      <c r="C180" s="42">
        <f>+IFERROR(VLOOKUP(A180,'2025 IS'!$D:$AH,31,FALSE),0)</f>
        <v>7715.35</v>
      </c>
      <c r="D180" s="81">
        <f>+'Restating Adj''s'!R52</f>
        <v>-670.48999999999887</v>
      </c>
      <c r="E180" s="81">
        <f>SUM(C180:D180)</f>
        <v>7044.8600000000015</v>
      </c>
      <c r="F180" s="498" t="s">
        <v>83</v>
      </c>
      <c r="G180" s="46"/>
      <c r="H180" s="43">
        <f>C180+D180+G180</f>
        <v>7044.8600000000015</v>
      </c>
      <c r="I180" s="858"/>
      <c r="J180" s="42">
        <f>$H$180*$J$17</f>
        <v>6569.7585861409925</v>
      </c>
      <c r="K180" s="42">
        <f>$H$180*$K$17</f>
        <v>475.10141385900874</v>
      </c>
      <c r="L180" s="42" t="s">
        <v>84</v>
      </c>
      <c r="M180" s="8">
        <f t="shared" ref="M180" si="54">H180-J180-K180</f>
        <v>0</v>
      </c>
      <c r="O180" s="8"/>
      <c r="P180" s="8"/>
      <c r="Q180" s="12"/>
    </row>
    <row r="181" spans="1:18">
      <c r="A181" s="68">
        <v>46700</v>
      </c>
      <c r="B181" s="2" t="s">
        <v>129</v>
      </c>
      <c r="C181" s="47">
        <f>SUM(C180:C180)</f>
        <v>7715.35</v>
      </c>
      <c r="D181" s="47">
        <f>SUM(D180:D180)</f>
        <v>-670.48999999999887</v>
      </c>
      <c r="E181" s="47">
        <f>SUM(E180:E180)</f>
        <v>7044.8600000000015</v>
      </c>
      <c r="F181" s="88"/>
      <c r="G181" s="47">
        <f>SUM(G180:G180)</f>
        <v>0</v>
      </c>
      <c r="H181" s="47">
        <f>SUM(H180:H180)</f>
        <v>7044.8600000000015</v>
      </c>
      <c r="I181" s="859"/>
      <c r="J181" s="47">
        <f>SUM(J180:J180)</f>
        <v>6569.7585861409925</v>
      </c>
      <c r="K181" s="47">
        <f>SUM(K180:K180)</f>
        <v>475.10141385900874</v>
      </c>
      <c r="L181" s="89"/>
      <c r="M181" s="89"/>
    </row>
    <row r="182" spans="1:18" ht="6" customHeight="1">
      <c r="A182" s="68"/>
      <c r="B182" s="2"/>
      <c r="C182" s="63"/>
      <c r="D182" s="63"/>
      <c r="E182" s="63"/>
      <c r="F182" s="64"/>
      <c r="G182" s="63"/>
      <c r="H182" s="63"/>
      <c r="I182" s="860"/>
      <c r="J182" s="63"/>
      <c r="K182" s="63"/>
      <c r="L182" s="3"/>
      <c r="M182" s="3"/>
    </row>
    <row r="183" spans="1:18">
      <c r="A183" s="65">
        <v>46900</v>
      </c>
      <c r="B183" s="54" t="s">
        <v>130</v>
      </c>
      <c r="C183" s="56"/>
      <c r="D183" s="57"/>
      <c r="E183" s="57"/>
      <c r="F183" s="58"/>
      <c r="G183" s="57"/>
      <c r="H183" s="57"/>
      <c r="I183" s="862"/>
      <c r="J183" s="56"/>
      <c r="K183" s="56"/>
      <c r="L183" s="59"/>
      <c r="M183" s="59"/>
    </row>
    <row r="184" spans="1:18">
      <c r="A184" s="39">
        <v>70086</v>
      </c>
      <c r="B184" s="7" t="s">
        <v>55</v>
      </c>
      <c r="C184" s="42">
        <f>+IFERROR(VLOOKUP(A184,'2025 IS'!$D:$AH,31,FALSE),0)</f>
        <v>50</v>
      </c>
      <c r="D184" s="46"/>
      <c r="E184" s="43">
        <f t="shared" ref="E184:E198" si="55">SUM(C184:D184)</f>
        <v>50</v>
      </c>
      <c r="G184" s="46"/>
      <c r="H184" s="43">
        <f t="shared" ref="H184:H198" si="56">C184+D184+G184</f>
        <v>50</v>
      </c>
      <c r="I184" s="858"/>
      <c r="J184" s="42">
        <f>H184*Ratios!$C$24</f>
        <v>45.052701745615131</v>
      </c>
      <c r="K184" s="42">
        <f>H184*Ratios!$D$24</f>
        <v>4.9472982543848687</v>
      </c>
      <c r="L184" s="317" t="s">
        <v>23</v>
      </c>
      <c r="M184" s="8">
        <f t="shared" ref="M184:M198" si="57">H184-J184-K184</f>
        <v>0</v>
      </c>
      <c r="N184" s="12"/>
      <c r="O184" s="8"/>
      <c r="P184" s="8"/>
      <c r="Q184" s="12"/>
      <c r="R184" s="12"/>
    </row>
    <row r="185" spans="1:18">
      <c r="A185" s="39">
        <v>70095</v>
      </c>
      <c r="B185" s="7" t="s">
        <v>132</v>
      </c>
      <c r="C185" s="42">
        <f>+IFERROR(VLOOKUP(A185,'2025 IS'!$D:$AH,31,FALSE),0)</f>
        <v>1666.4900000000002</v>
      </c>
      <c r="D185" s="46"/>
      <c r="E185" s="43">
        <f t="shared" si="55"/>
        <v>1666.4900000000002</v>
      </c>
      <c r="F185" s="46"/>
      <c r="G185" s="46"/>
      <c r="H185" s="43">
        <f t="shared" si="56"/>
        <v>1666.4900000000002</v>
      </c>
      <c r="I185" s="858"/>
      <c r="J185" s="42">
        <f>H185*Ratios!$C$24</f>
        <v>1501.5975386410034</v>
      </c>
      <c r="K185" s="42">
        <f>H185*Ratios!$D$24</f>
        <v>164.89246135899683</v>
      </c>
      <c r="L185" s="317" t="s">
        <v>23</v>
      </c>
      <c r="M185" s="8">
        <f t="shared" si="57"/>
        <v>0</v>
      </c>
      <c r="N185" s="12"/>
      <c r="O185" s="8"/>
      <c r="P185" s="8"/>
      <c r="Q185" s="12"/>
      <c r="R185" s="12"/>
    </row>
    <row r="186" spans="1:18">
      <c r="A186" s="39">
        <v>70110</v>
      </c>
      <c r="B186" s="7" t="s">
        <v>135</v>
      </c>
      <c r="C186" s="42">
        <f>+IFERROR(VLOOKUP(A186,'2025 IS'!$D:$AH,31,FALSE),0)</f>
        <v>670</v>
      </c>
      <c r="D186" s="81">
        <f>-C186</f>
        <v>-670</v>
      </c>
      <c r="E186" s="43">
        <f t="shared" si="55"/>
        <v>0</v>
      </c>
      <c r="G186" s="46"/>
      <c r="H186" s="43">
        <f t="shared" si="56"/>
        <v>0</v>
      </c>
      <c r="I186" s="858"/>
      <c r="J186" s="42"/>
      <c r="K186" s="42">
        <f>H186</f>
        <v>0</v>
      </c>
      <c r="L186" s="317" t="s">
        <v>14</v>
      </c>
      <c r="M186" s="8">
        <f t="shared" si="57"/>
        <v>0</v>
      </c>
      <c r="O186" s="8"/>
      <c r="P186" s="8"/>
      <c r="Q186" s="12"/>
    </row>
    <row r="187" spans="1:18">
      <c r="A187" s="39">
        <v>70148</v>
      </c>
      <c r="B187" s="7" t="s">
        <v>136</v>
      </c>
      <c r="C187" s="42">
        <f>+IFERROR(VLOOKUP(A187,'2025 IS'!$D:$AH,31,FALSE),0)</f>
        <v>4429.28</v>
      </c>
      <c r="D187" s="81">
        <f>+'Restating Adj''s'!B54</f>
        <v>-666.02681519441603</v>
      </c>
      <c r="E187" s="43">
        <f t="shared" si="55"/>
        <v>3763.2531848055837</v>
      </c>
      <c r="F187" s="498" t="s">
        <v>103</v>
      </c>
      <c r="G187" s="46"/>
      <c r="H187" s="43">
        <f t="shared" si="56"/>
        <v>3763.2531848055837</v>
      </c>
      <c r="I187" s="858"/>
      <c r="J187" s="42">
        <f>H187*Ratios!$C$13</f>
        <v>3378.3007067712706</v>
      </c>
      <c r="K187" s="42">
        <f>H187*Ratios!$D$13</f>
        <v>384.95247803431317</v>
      </c>
      <c r="L187" s="318" t="s">
        <v>120</v>
      </c>
      <c r="M187" s="8">
        <f t="shared" si="57"/>
        <v>0</v>
      </c>
      <c r="N187" s="12"/>
      <c r="O187" s="8"/>
      <c r="P187" s="8"/>
      <c r="Q187" s="12"/>
      <c r="R187" s="12"/>
    </row>
    <row r="188" spans="1:18">
      <c r="A188" s="39">
        <v>70150</v>
      </c>
      <c r="B188" s="7" t="s">
        <v>121</v>
      </c>
      <c r="C188" s="42">
        <f>+IFERROR(VLOOKUP(A188,'2025 IS'!$D:$AH,31,FALSE),0)</f>
        <v>1942.74</v>
      </c>
      <c r="D188" s="67"/>
      <c r="E188" s="43">
        <f t="shared" si="55"/>
        <v>1942.74</v>
      </c>
      <c r="G188" s="83"/>
      <c r="H188" s="43">
        <f t="shared" si="56"/>
        <v>1942.74</v>
      </c>
      <c r="I188" s="858"/>
      <c r="J188" s="42">
        <f>H188*Ratios!$C$13</f>
        <v>1744.0123193337263</v>
      </c>
      <c r="K188" s="42">
        <f>H188*Ratios!$D$13</f>
        <v>198.7276806662737</v>
      </c>
      <c r="L188" s="318" t="s">
        <v>120</v>
      </c>
      <c r="M188" s="8">
        <f t="shared" si="57"/>
        <v>0</v>
      </c>
      <c r="N188" s="12"/>
      <c r="O188" s="8"/>
      <c r="P188" s="8"/>
      <c r="Q188" s="12"/>
      <c r="R188" s="12"/>
    </row>
    <row r="189" spans="1:18">
      <c r="A189" s="39">
        <v>70167</v>
      </c>
      <c r="B189" s="7" t="s">
        <v>137</v>
      </c>
      <c r="C189" s="42">
        <f>+IFERROR(VLOOKUP(A189,'2025 IS'!$D:$AH,31,FALSE),0)</f>
        <v>1873.3500000000004</v>
      </c>
      <c r="D189" s="67"/>
      <c r="E189" s="43">
        <f t="shared" si="55"/>
        <v>1873.3500000000004</v>
      </c>
      <c r="G189" s="46"/>
      <c r="H189" s="43">
        <f t="shared" si="56"/>
        <v>1873.3500000000004</v>
      </c>
      <c r="I189" s="858"/>
      <c r="J189" s="42">
        <f>H189*Ratios!$C$13</f>
        <v>1681.7203940948541</v>
      </c>
      <c r="K189" s="42">
        <f>H189*Ratios!$D$13</f>
        <v>191.62960590514629</v>
      </c>
      <c r="L189" s="318" t="s">
        <v>120</v>
      </c>
      <c r="M189" s="8">
        <f t="shared" si="57"/>
        <v>0</v>
      </c>
      <c r="N189" s="12"/>
      <c r="O189" s="8"/>
      <c r="P189" s="8"/>
      <c r="Q189" s="12"/>
      <c r="R189" s="12"/>
    </row>
    <row r="190" spans="1:18">
      <c r="A190" s="39">
        <v>70175</v>
      </c>
      <c r="B190" s="7" t="s">
        <v>51</v>
      </c>
      <c r="C190" s="42">
        <f>+IFERROR(VLOOKUP(A190,'2025 IS'!$D:$AH,31,FALSE),0)</f>
        <v>2664.07</v>
      </c>
      <c r="D190" s="67"/>
      <c r="E190" s="43">
        <f t="shared" si="55"/>
        <v>2664.07</v>
      </c>
      <c r="G190" s="46"/>
      <c r="H190" s="43">
        <f t="shared" si="56"/>
        <v>2664.07</v>
      </c>
      <c r="I190" s="858"/>
      <c r="J190" s="42">
        <f>H190*Ratios!$C$13</f>
        <v>2391.5556891644792</v>
      </c>
      <c r="K190" s="42">
        <f>H190*Ratios!$D$13</f>
        <v>272.51431083552086</v>
      </c>
      <c r="L190" s="318" t="s">
        <v>120</v>
      </c>
      <c r="M190" s="8">
        <f t="shared" si="57"/>
        <v>0</v>
      </c>
      <c r="N190" s="12"/>
      <c r="O190" s="8"/>
      <c r="P190" s="8"/>
      <c r="Q190" s="12"/>
      <c r="R190" s="12"/>
    </row>
    <row r="191" spans="1:18">
      <c r="A191" s="39">
        <v>70201</v>
      </c>
      <c r="B191" s="7" t="s">
        <v>139</v>
      </c>
      <c r="C191" s="42">
        <f>+IFERROR(VLOOKUP(A191,'2025 IS'!$D:$AH,31,FALSE),0)</f>
        <v>278.27</v>
      </c>
      <c r="D191" s="67"/>
      <c r="E191" s="43">
        <f t="shared" si="55"/>
        <v>278.27</v>
      </c>
      <c r="G191" s="46"/>
      <c r="H191" s="43">
        <f t="shared" si="56"/>
        <v>278.27</v>
      </c>
      <c r="I191" s="858"/>
      <c r="J191" s="42">
        <f>H191*Ratios!$C$24</f>
        <v>250.73630629504643</v>
      </c>
      <c r="K191" s="42">
        <f>H191*Ratios!$D$24</f>
        <v>27.533693704953546</v>
      </c>
      <c r="L191" s="317" t="s">
        <v>23</v>
      </c>
      <c r="M191" s="8">
        <f t="shared" si="57"/>
        <v>0</v>
      </c>
      <c r="N191" s="12"/>
      <c r="O191" s="8"/>
      <c r="P191" s="8"/>
      <c r="Q191" s="12"/>
      <c r="R191" s="12"/>
    </row>
    <row r="192" spans="1:18">
      <c r="A192" s="39">
        <v>70205</v>
      </c>
      <c r="B192" s="7" t="s">
        <v>141</v>
      </c>
      <c r="C192" s="42">
        <f>+IFERROR(VLOOKUP(A192,'2025 IS'!$D:$AH,31,FALSE),0)</f>
        <v>1174.28</v>
      </c>
      <c r="D192" s="67"/>
      <c r="E192" s="43">
        <f t="shared" si="55"/>
        <v>1174.28</v>
      </c>
      <c r="G192" s="46"/>
      <c r="H192" s="43">
        <f t="shared" si="56"/>
        <v>1174.28</v>
      </c>
      <c r="I192" s="858"/>
      <c r="J192" s="42">
        <f>H192*Ratios!$C$24</f>
        <v>1058.0897321168186</v>
      </c>
      <c r="K192" s="42">
        <f>H192*Ratios!$D$24</f>
        <v>116.19026788318126</v>
      </c>
      <c r="L192" s="317" t="s">
        <v>23</v>
      </c>
      <c r="M192" s="8">
        <f t="shared" si="57"/>
        <v>1.1368683772161603E-13</v>
      </c>
      <c r="N192" s="12"/>
      <c r="O192" s="8"/>
      <c r="P192" s="8"/>
      <c r="Q192" s="12"/>
      <c r="R192" s="12"/>
    </row>
    <row r="193" spans="1:18">
      <c r="A193" s="39">
        <v>70206</v>
      </c>
      <c r="B193" s="7" t="s">
        <v>142</v>
      </c>
      <c r="C193" s="42">
        <f>+IFERROR(VLOOKUP(A193,'2025 IS'!$D:$AH,31,FALSE),0)</f>
        <v>100</v>
      </c>
      <c r="D193" s="67"/>
      <c r="E193" s="43">
        <f t="shared" si="55"/>
        <v>100</v>
      </c>
      <c r="G193" s="46"/>
      <c r="H193" s="43">
        <f t="shared" si="56"/>
        <v>100</v>
      </c>
      <c r="I193" s="858"/>
      <c r="J193" s="42">
        <f>H193*Ratios!$C$24</f>
        <v>90.105403491230263</v>
      </c>
      <c r="K193" s="42">
        <f>H193*Ratios!$D$24</f>
        <v>9.8945965087697374</v>
      </c>
      <c r="L193" s="317" t="s">
        <v>23</v>
      </c>
      <c r="M193" s="8">
        <f t="shared" si="57"/>
        <v>0</v>
      </c>
      <c r="N193" s="12"/>
      <c r="O193" s="8"/>
      <c r="P193" s="8"/>
      <c r="Q193" s="12"/>
      <c r="R193" s="12"/>
    </row>
    <row r="194" spans="1:18">
      <c r="A194" s="39">
        <v>70214</v>
      </c>
      <c r="B194" s="7" t="s">
        <v>144</v>
      </c>
      <c r="C194" s="42">
        <f>+IFERROR(VLOOKUP(A194,'2025 IS'!$D:$AH,31,FALSE),0)</f>
        <v>18195.04</v>
      </c>
      <c r="D194" s="67"/>
      <c r="E194" s="43">
        <f t="shared" si="55"/>
        <v>18195.04</v>
      </c>
      <c r="G194" s="46"/>
      <c r="H194" s="43">
        <f t="shared" si="56"/>
        <v>18195.04</v>
      </c>
      <c r="I194" s="858"/>
      <c r="J194" s="42">
        <f>H194*Ratios!$C$13</f>
        <v>16333.824346423055</v>
      </c>
      <c r="K194" s="42">
        <f>H194*Ratios!$D$13</f>
        <v>1861.2156535769464</v>
      </c>
      <c r="L194" s="318" t="s">
        <v>120</v>
      </c>
      <c r="M194" s="8">
        <f t="shared" si="57"/>
        <v>0</v>
      </c>
      <c r="N194" s="12"/>
      <c r="O194" s="8"/>
      <c r="P194" s="8"/>
      <c r="Q194" s="12"/>
      <c r="R194" s="12"/>
    </row>
    <row r="195" spans="1:18">
      <c r="A195" s="39">
        <v>70231</v>
      </c>
      <c r="B195" s="7" t="s">
        <v>146</v>
      </c>
      <c r="C195" s="42">
        <f>+IFERROR(VLOOKUP(A195,'2025 IS'!$D:$AH,31,FALSE),0)</f>
        <v>35</v>
      </c>
      <c r="D195" s="67"/>
      <c r="E195" s="43">
        <f t="shared" si="55"/>
        <v>35</v>
      </c>
      <c r="G195" s="46"/>
      <c r="H195" s="43">
        <f t="shared" si="56"/>
        <v>35</v>
      </c>
      <c r="I195" s="858"/>
      <c r="J195" s="42">
        <f>H195*Ratios!$C$24</f>
        <v>31.536891221930592</v>
      </c>
      <c r="K195" s="42">
        <f>H195*Ratios!$D$24</f>
        <v>3.4631087780694081</v>
      </c>
      <c r="L195" s="317" t="s">
        <v>23</v>
      </c>
      <c r="M195" s="8">
        <f t="shared" si="57"/>
        <v>0</v>
      </c>
      <c r="N195" s="12"/>
      <c r="O195" s="8"/>
      <c r="P195" s="8"/>
      <c r="Q195" s="12"/>
      <c r="R195" s="12"/>
    </row>
    <row r="196" spans="1:18">
      <c r="A196" s="66">
        <v>70255</v>
      </c>
      <c r="B196" s="7" t="s">
        <v>148</v>
      </c>
      <c r="C196" s="42">
        <f>+IFERROR(VLOOKUP(A196,'2025 IS'!$D:$AH,31,FALSE),0)</f>
        <v>427.74999999999994</v>
      </c>
      <c r="D196" s="67"/>
      <c r="E196" s="43">
        <f t="shared" si="55"/>
        <v>427.74999999999994</v>
      </c>
      <c r="G196" s="46"/>
      <c r="H196" s="43">
        <f t="shared" si="56"/>
        <v>427.74999999999994</v>
      </c>
      <c r="I196" s="858"/>
      <c r="J196" s="42">
        <f>H196*Ratios!$C$13</f>
        <v>383.99439430649562</v>
      </c>
      <c r="K196" s="42">
        <f t="shared" ref="K196" si="58">+H196-J196</f>
        <v>43.755605693504322</v>
      </c>
      <c r="L196" s="318" t="s">
        <v>120</v>
      </c>
      <c r="M196" s="8">
        <f t="shared" si="57"/>
        <v>0</v>
      </c>
      <c r="N196" s="12"/>
      <c r="O196" s="8"/>
      <c r="P196" s="8"/>
      <c r="Q196" s="12"/>
      <c r="R196" s="12"/>
    </row>
    <row r="197" spans="1:18">
      <c r="A197" s="66">
        <v>70335</v>
      </c>
      <c r="B197" s="7" t="s">
        <v>72</v>
      </c>
      <c r="C197" s="42">
        <f>+IFERROR(VLOOKUP(A197,'2025 IS'!$D:$AH,31,FALSE),0)</f>
        <v>993.97</v>
      </c>
      <c r="D197" s="67"/>
      <c r="E197" s="43">
        <f t="shared" si="55"/>
        <v>993.97</v>
      </c>
      <c r="G197" s="46"/>
      <c r="H197" s="43">
        <f t="shared" si="56"/>
        <v>993.97</v>
      </c>
      <c r="I197" s="858"/>
      <c r="J197" s="42">
        <f>H197*Ratios!$C$13</f>
        <v>892.29434975763297</v>
      </c>
      <c r="K197" s="42">
        <f>H197*Ratios!$D$13</f>
        <v>101.67565024236701</v>
      </c>
      <c r="L197" s="318" t="s">
        <v>120</v>
      </c>
      <c r="M197" s="8">
        <f t="shared" si="57"/>
        <v>0</v>
      </c>
      <c r="N197" s="12"/>
      <c r="O197" s="8"/>
      <c r="P197" s="8"/>
      <c r="Q197" s="12"/>
      <c r="R197" s="12"/>
    </row>
    <row r="198" spans="1:18">
      <c r="A198" s="66">
        <v>70336</v>
      </c>
      <c r="B198" s="7" t="s">
        <v>150</v>
      </c>
      <c r="C198" s="42">
        <f>+IFERROR(VLOOKUP(A198,'2025 IS'!$D:$AH,31,FALSE),0)</f>
        <v>76</v>
      </c>
      <c r="D198" s="46"/>
      <c r="E198" s="43">
        <f t="shared" si="55"/>
        <v>76</v>
      </c>
      <c r="G198" s="46"/>
      <c r="H198" s="43">
        <f t="shared" si="56"/>
        <v>76</v>
      </c>
      <c r="I198" s="858"/>
      <c r="J198" s="42">
        <f>H198*Ratios!$C$13</f>
        <v>68.225771986659666</v>
      </c>
      <c r="K198" s="42">
        <f>H198*Ratios!$D$13</f>
        <v>7.774228013340335</v>
      </c>
      <c r="L198" s="318" t="s">
        <v>120</v>
      </c>
      <c r="M198" s="8">
        <f t="shared" si="57"/>
        <v>0</v>
      </c>
      <c r="N198" s="12"/>
      <c r="O198" s="8"/>
      <c r="P198" s="8"/>
      <c r="Q198" s="12"/>
      <c r="R198" s="12"/>
    </row>
    <row r="199" spans="1:18">
      <c r="A199" s="68">
        <v>46900</v>
      </c>
      <c r="B199" s="2" t="s">
        <v>130</v>
      </c>
      <c r="C199" s="47">
        <f>SUM(C184:C198)</f>
        <v>34576.240000000005</v>
      </c>
      <c r="D199" s="47">
        <f>SUM(D184:D198)</f>
        <v>-1336.026815194416</v>
      </c>
      <c r="E199" s="47">
        <f>SUM(E184:E198)</f>
        <v>33240.213184805587</v>
      </c>
      <c r="F199" s="88"/>
      <c r="G199" s="47">
        <f>SUM(G184:G198)</f>
        <v>0</v>
      </c>
      <c r="H199" s="47">
        <f>SUM(H184:H198)</f>
        <v>33240.213184805587</v>
      </c>
      <c r="I199" s="859"/>
      <c r="J199" s="47">
        <f>SUM(J184:J198)</f>
        <v>29851.046545349822</v>
      </c>
      <c r="K199" s="47">
        <f>SUM(K184:K198)</f>
        <v>3389.1666394557674</v>
      </c>
      <c r="L199" s="89"/>
      <c r="M199" s="89"/>
    </row>
    <row r="200" spans="1:18" ht="6" customHeight="1">
      <c r="A200" s="68"/>
      <c r="B200" s="2"/>
      <c r="C200" s="63"/>
      <c r="D200" s="63"/>
      <c r="E200" s="63"/>
      <c r="F200" s="64"/>
      <c r="G200" s="63"/>
      <c r="H200" s="63"/>
      <c r="I200" s="860"/>
      <c r="J200" s="63"/>
      <c r="K200" s="63"/>
      <c r="L200" s="3"/>
      <c r="M200" s="3"/>
    </row>
    <row r="201" spans="1:18">
      <c r="A201" s="65"/>
      <c r="B201" s="54" t="s">
        <v>153</v>
      </c>
      <c r="C201" s="56"/>
      <c r="D201" s="57"/>
      <c r="E201" s="57"/>
      <c r="F201" s="58"/>
      <c r="G201" s="57"/>
      <c r="H201" s="57"/>
      <c r="I201" s="862"/>
      <c r="J201" s="56"/>
      <c r="K201" s="56"/>
      <c r="L201" s="59"/>
      <c r="M201" s="59"/>
    </row>
    <row r="202" spans="1:18">
      <c r="A202" s="39">
        <v>51260</v>
      </c>
      <c r="B202" s="7" t="s">
        <v>154</v>
      </c>
      <c r="C202" s="42">
        <f>+IFERROR(VLOOKUP(A202,'2025 IS'!$D:$AH,31,FALSE),0)</f>
        <v>131907.93000000002</v>
      </c>
      <c r="D202" s="81">
        <f>+'Restating Adj''s'!Q54</f>
        <v>34471.038113015849</v>
      </c>
      <c r="E202" s="43">
        <f t="shared" ref="E202:E207" si="59">SUM(C202:D202)</f>
        <v>166378.96811301587</v>
      </c>
      <c r="F202" s="395" t="s">
        <v>62</v>
      </c>
      <c r="G202" s="46"/>
      <c r="H202" s="43">
        <f t="shared" ref="H202:H207" si="60">C202+D202+G202</f>
        <v>166378.96811301587</v>
      </c>
      <c r="I202" s="858"/>
      <c r="J202" s="42">
        <f>H202*Ratios!$C$24</f>
        <v>149916.44054277829</v>
      </c>
      <c r="K202" s="42">
        <f>H202*Ratios!$D$24</f>
        <v>16462.527570237584</v>
      </c>
      <c r="L202" s="317" t="s">
        <v>23</v>
      </c>
      <c r="M202" s="8">
        <f>H202-J202-K202</f>
        <v>0</v>
      </c>
    </row>
    <row r="203" spans="1:18">
      <c r="A203" s="39">
        <v>54260</v>
      </c>
      <c r="B203" s="7" t="s">
        <v>157</v>
      </c>
      <c r="C203" s="42">
        <f>+IFERROR(VLOOKUP(A203,'2025 IS'!$D:$AH,31,FALSE),0)</f>
        <v>23734.6</v>
      </c>
      <c r="D203" s="81">
        <f>+'Restating Adj''s'!Q55</f>
        <v>6131.6271111106398</v>
      </c>
      <c r="E203" s="43">
        <f t="shared" si="59"/>
        <v>29866.227111110638</v>
      </c>
      <c r="F203" s="395" t="s">
        <v>62</v>
      </c>
      <c r="G203" s="46"/>
      <c r="H203" s="43">
        <f t="shared" si="60"/>
        <v>29866.227111110638</v>
      </c>
      <c r="I203" s="858"/>
      <c r="J203" s="42">
        <f>H203*Ratios!$C$13</f>
        <v>26811.136855058256</v>
      </c>
      <c r="K203" s="42">
        <f>H203*Ratios!$D$13</f>
        <v>3055.0902560523805</v>
      </c>
      <c r="L203" s="318" t="s">
        <v>120</v>
      </c>
      <c r="M203" s="8">
        <f t="shared" ref="M203:M207" si="61">H203-J203-K203</f>
        <v>0</v>
      </c>
    </row>
    <row r="204" spans="1:18">
      <c r="B204" s="7" t="s">
        <v>158</v>
      </c>
      <c r="C204" s="42">
        <f>+IFERROR(VLOOKUP(A204,'2025 IS'!$D:$AH,31,FALSE),0)</f>
        <v>0</v>
      </c>
      <c r="D204" s="81">
        <f>+'Restating Adj''s'!Q56</f>
        <v>0</v>
      </c>
      <c r="E204" s="43">
        <f t="shared" si="59"/>
        <v>0</v>
      </c>
      <c r="F204" s="395" t="s">
        <v>62</v>
      </c>
      <c r="G204" s="46"/>
      <c r="H204" s="43">
        <f t="shared" si="60"/>
        <v>0</v>
      </c>
      <c r="I204" s="858"/>
      <c r="J204" s="45"/>
      <c r="K204" s="45"/>
      <c r="L204" s="80"/>
      <c r="M204" s="8">
        <f t="shared" si="61"/>
        <v>0</v>
      </c>
    </row>
    <row r="205" spans="1:18">
      <c r="A205" s="39">
        <v>57260</v>
      </c>
      <c r="B205" s="7" t="s">
        <v>159</v>
      </c>
      <c r="C205" s="42">
        <f>+IFERROR(VLOOKUP(A205,'2025 IS'!$D:$AH,31,FALSE),0)</f>
        <v>0</v>
      </c>
      <c r="D205" s="81">
        <f>+'Restating Adj''s'!Q57</f>
        <v>14554.21441</v>
      </c>
      <c r="E205" s="43">
        <f t="shared" si="59"/>
        <v>14554.21441</v>
      </c>
      <c r="F205" s="395" t="s">
        <v>62</v>
      </c>
      <c r="G205" s="46"/>
      <c r="H205" s="43">
        <f t="shared" si="60"/>
        <v>14554.21441</v>
      </c>
      <c r="I205" s="858"/>
      <c r="J205" s="42">
        <f>H205*Ratios!$C$24</f>
        <v>13114.133619109278</v>
      </c>
      <c r="K205" s="42">
        <f>H205*Ratios!$D$24</f>
        <v>1440.080790890722</v>
      </c>
      <c r="L205" s="317" t="s">
        <v>23</v>
      </c>
      <c r="M205" s="8">
        <f t="shared" si="61"/>
        <v>0</v>
      </c>
    </row>
    <row r="206" spans="1:18">
      <c r="A206" s="39">
        <v>70260</v>
      </c>
      <c r="B206" s="7" t="s">
        <v>160</v>
      </c>
      <c r="C206" s="42">
        <f>+IFERROR(VLOOKUP(A206,'2025 IS'!$D:$AH,31,FALSE),0)</f>
        <v>3288.2799999999997</v>
      </c>
      <c r="D206" s="81">
        <f>+'Restating Adj''s'!Q58</f>
        <v>-1579.2359999999999</v>
      </c>
      <c r="E206" s="43">
        <f t="shared" si="59"/>
        <v>1709.0439999999999</v>
      </c>
      <c r="F206" s="395" t="s">
        <v>62</v>
      </c>
      <c r="G206" s="46"/>
      <c r="H206" s="43">
        <f t="shared" si="60"/>
        <v>1709.0439999999999</v>
      </c>
      <c r="I206" s="858"/>
      <c r="J206" s="42">
        <f>H206*Ratios!$C$13</f>
        <v>1534.2216613048522</v>
      </c>
      <c r="K206" s="42">
        <f>H206*Ratios!$D$13</f>
        <v>174.82233869514761</v>
      </c>
      <c r="L206" s="318" t="s">
        <v>120</v>
      </c>
      <c r="M206" s="8">
        <f t="shared" si="61"/>
        <v>0</v>
      </c>
    </row>
    <row r="207" spans="1:18">
      <c r="B207" s="7" t="s">
        <v>161</v>
      </c>
      <c r="C207" s="42">
        <f>+IFERROR(VLOOKUP(A207,'2025 IS'!$D:$AH,31,FALSE),0)</f>
        <v>0</v>
      </c>
      <c r="D207" s="81">
        <f>+'Restating Adj''s'!Q59</f>
        <v>0</v>
      </c>
      <c r="E207" s="43">
        <f t="shared" si="59"/>
        <v>0</v>
      </c>
      <c r="F207" s="395" t="s">
        <v>62</v>
      </c>
      <c r="G207" s="46"/>
      <c r="H207" s="43">
        <f t="shared" si="60"/>
        <v>0</v>
      </c>
      <c r="I207" s="858"/>
      <c r="J207" s="45"/>
      <c r="K207" s="45"/>
      <c r="L207" s="80"/>
      <c r="M207" s="8">
        <f t="shared" si="61"/>
        <v>0</v>
      </c>
    </row>
    <row r="208" spans="1:18">
      <c r="A208" s="68"/>
      <c r="B208" s="2" t="s">
        <v>20</v>
      </c>
      <c r="C208" s="47">
        <f>SUM(C202:C207)</f>
        <v>158930.81000000003</v>
      </c>
      <c r="D208" s="47">
        <f>SUM(D202:D207)</f>
        <v>53577.643634126493</v>
      </c>
      <c r="E208" s="47">
        <f>SUM(E202:E207)</f>
        <v>212508.45363412652</v>
      </c>
      <c r="F208" s="88"/>
      <c r="G208" s="47">
        <f>SUM(G202:G207)</f>
        <v>0</v>
      </c>
      <c r="H208" s="47">
        <f>SUM(H202:H207)</f>
        <v>212508.45363412652</v>
      </c>
      <c r="I208" s="859"/>
      <c r="J208" s="47">
        <f>SUM(J202:J207)</f>
        <v>191375.93267825068</v>
      </c>
      <c r="K208" s="47">
        <f>SUM(K202:K207)</f>
        <v>21132.520955875832</v>
      </c>
      <c r="L208" s="89"/>
      <c r="M208" s="89"/>
      <c r="O208" s="592"/>
      <c r="P208" s="744"/>
      <c r="Q208" s="12"/>
    </row>
    <row r="209" spans="1:18" ht="6" customHeight="1">
      <c r="A209" s="68"/>
      <c r="B209" s="2"/>
      <c r="C209" s="63"/>
      <c r="D209" s="63"/>
      <c r="E209" s="63"/>
      <c r="F209" s="64"/>
      <c r="G209" s="63"/>
      <c r="H209" s="63"/>
      <c r="I209" s="860"/>
      <c r="J209" s="63"/>
      <c r="K209" s="63"/>
      <c r="L209" s="3"/>
      <c r="M209" s="3"/>
    </row>
    <row r="210" spans="1:18">
      <c r="A210" s="65">
        <v>52000</v>
      </c>
      <c r="B210" s="54" t="s">
        <v>163</v>
      </c>
      <c r="C210" s="56"/>
      <c r="D210" s="57"/>
      <c r="E210" s="57"/>
      <c r="F210" s="58"/>
      <c r="G210" s="57"/>
      <c r="H210" s="57"/>
      <c r="I210" s="862"/>
      <c r="J210" s="56"/>
      <c r="K210" s="56"/>
      <c r="L210" s="59"/>
      <c r="M210" s="59"/>
    </row>
    <row r="211" spans="1:18">
      <c r="A211" s="39">
        <v>57280</v>
      </c>
      <c r="B211" s="7" t="s">
        <v>164</v>
      </c>
      <c r="C211" s="42">
        <f>+IFERROR(VLOOKUP(A211,'2025 IS'!$D:$AH,31,FALSE),0)</f>
        <v>1870.4099999999999</v>
      </c>
      <c r="D211" s="46"/>
      <c r="E211" s="43">
        <f>SUM(C211:D211)</f>
        <v>1870.4099999999999</v>
      </c>
      <c r="G211" s="46"/>
      <c r="H211" s="43">
        <f>C211+D211+G211</f>
        <v>1870.4099999999999</v>
      </c>
      <c r="I211" s="858"/>
      <c r="J211" s="42">
        <f>H211*Ratios!$C$24</f>
        <v>1685.3404774403198</v>
      </c>
      <c r="K211" s="42">
        <f>H211*Ratios!$D$24</f>
        <v>185.06952255968002</v>
      </c>
      <c r="L211" s="317" t="s">
        <v>23</v>
      </c>
      <c r="M211" s="8">
        <f t="shared" ref="M211" si="62">H211-J211-K211</f>
        <v>0</v>
      </c>
      <c r="O211" s="8"/>
      <c r="P211" s="8"/>
      <c r="Q211" s="12"/>
    </row>
    <row r="212" spans="1:18">
      <c r="A212" s="68">
        <v>52000</v>
      </c>
      <c r="B212" s="2" t="s">
        <v>165</v>
      </c>
      <c r="C212" s="47">
        <f>SUM(C211:C211)</f>
        <v>1870.4099999999999</v>
      </c>
      <c r="D212" s="47">
        <f>SUM(D211:D211)</f>
        <v>0</v>
      </c>
      <c r="E212" s="47">
        <f>SUM(E211:E211)</f>
        <v>1870.4099999999999</v>
      </c>
      <c r="F212" s="88"/>
      <c r="G212" s="47">
        <f>SUM(G211:G211)</f>
        <v>0</v>
      </c>
      <c r="H212" s="47">
        <f>SUM(H211:H211)</f>
        <v>1870.4099999999999</v>
      </c>
      <c r="I212" s="859"/>
      <c r="J212" s="47">
        <f>SUM(J211:J211)</f>
        <v>1685.3404774403198</v>
      </c>
      <c r="K212" s="47">
        <f>SUM(K211:K211)</f>
        <v>185.06952255968002</v>
      </c>
      <c r="L212" s="89"/>
      <c r="M212" s="89"/>
    </row>
    <row r="213" spans="1:18" ht="6" customHeight="1">
      <c r="A213" s="68"/>
      <c r="B213" s="2"/>
      <c r="C213" s="63"/>
      <c r="D213" s="63"/>
      <c r="E213" s="63"/>
      <c r="F213" s="64"/>
      <c r="G213" s="63"/>
      <c r="H213" s="63"/>
      <c r="I213" s="860"/>
      <c r="J213" s="63"/>
      <c r="K213" s="63"/>
      <c r="L213" s="3"/>
      <c r="M213" s="3"/>
    </row>
    <row r="214" spans="1:18">
      <c r="A214" s="65">
        <v>52030</v>
      </c>
      <c r="B214" s="54" t="s">
        <v>166</v>
      </c>
      <c r="C214" s="56"/>
      <c r="D214" s="57"/>
      <c r="E214" s="57"/>
      <c r="F214" s="58"/>
      <c r="G214" s="57"/>
      <c r="H214" s="57"/>
      <c r="I214" s="862"/>
      <c r="J214" s="56"/>
      <c r="K214" s="56"/>
      <c r="L214" s="59"/>
      <c r="M214" s="59"/>
    </row>
    <row r="215" spans="1:18">
      <c r="A215" s="79">
        <v>43001</v>
      </c>
      <c r="B215" s="80" t="s">
        <v>167</v>
      </c>
      <c r="C215" s="42">
        <f>+IFERROR(VLOOKUP(A215,'2025 IS'!$D:$AH,31,FALSE),0)</f>
        <v>21509.08</v>
      </c>
      <c r="D215" s="81"/>
      <c r="E215" s="81">
        <f>SUM(C215:D215)</f>
        <v>21509.08</v>
      </c>
      <c r="F215" s="94"/>
      <c r="G215" s="81"/>
      <c r="H215" s="81">
        <f>C215+D215+G215</f>
        <v>21509.08</v>
      </c>
      <c r="I215" s="816"/>
      <c r="J215" s="45">
        <f>$H$215*J17</f>
        <v>20058.519688112108</v>
      </c>
      <c r="K215" s="45">
        <f>+H215-J215</f>
        <v>1450.5603118878935</v>
      </c>
      <c r="L215" s="318" t="s">
        <v>84</v>
      </c>
      <c r="M215" s="8">
        <f t="shared" ref="M215" si="63">H215-J215-K215</f>
        <v>0</v>
      </c>
      <c r="O215" s="8"/>
      <c r="P215" s="8"/>
      <c r="Q215" s="12"/>
    </row>
    <row r="216" spans="1:18">
      <c r="A216" s="68">
        <v>52030</v>
      </c>
      <c r="B216" s="2" t="s">
        <v>166</v>
      </c>
      <c r="C216" s="47">
        <f>SUM(C215)</f>
        <v>21509.08</v>
      </c>
      <c r="D216" s="47">
        <f>SUM(D215)</f>
        <v>0</v>
      </c>
      <c r="E216" s="47">
        <f>SUM(E215)</f>
        <v>21509.08</v>
      </c>
      <c r="F216" s="88"/>
      <c r="G216" s="47">
        <f>SUM(G215)</f>
        <v>0</v>
      </c>
      <c r="H216" s="47">
        <f>SUM(H215)</f>
        <v>21509.08</v>
      </c>
      <c r="I216" s="859"/>
      <c r="J216" s="47">
        <f>SUM(J215)</f>
        <v>20058.519688112108</v>
      </c>
      <c r="K216" s="47">
        <f>SUM(K215)</f>
        <v>1450.5603118878935</v>
      </c>
      <c r="L216" s="89"/>
      <c r="M216" s="89"/>
    </row>
    <row r="217" spans="1:18" ht="6" customHeight="1">
      <c r="A217" s="68"/>
      <c r="B217" s="2"/>
      <c r="C217" s="63"/>
      <c r="D217" s="63"/>
      <c r="E217" s="63"/>
      <c r="F217" s="64"/>
      <c r="G217" s="63"/>
      <c r="H217" s="63"/>
      <c r="I217" s="860"/>
      <c r="J217" s="63"/>
      <c r="K217" s="63"/>
      <c r="L217" s="3"/>
      <c r="M217" s="3"/>
    </row>
    <row r="218" spans="1:18">
      <c r="A218" s="65">
        <v>52200</v>
      </c>
      <c r="B218" s="54" t="s">
        <v>168</v>
      </c>
      <c r="C218" s="56"/>
      <c r="D218" s="57"/>
      <c r="E218" s="57"/>
      <c r="F218" s="58"/>
      <c r="G218" s="57"/>
      <c r="H218" s="57"/>
      <c r="I218" s="862"/>
      <c r="J218" s="56"/>
      <c r="K218" s="56"/>
      <c r="L218" s="59"/>
      <c r="M218" s="59"/>
    </row>
    <row r="219" spans="1:18">
      <c r="A219" s="39">
        <v>51295</v>
      </c>
      <c r="B219" s="7" t="s">
        <v>169</v>
      </c>
      <c r="C219" s="42">
        <f>+IFERROR(VLOOKUP(A219,'2025 IS'!$D:$AH,31,FALSE),0)</f>
        <v>5235.2700000000004</v>
      </c>
      <c r="D219" s="46"/>
      <c r="E219" s="43">
        <f>SUM(C219:D219)</f>
        <v>5235.2700000000004</v>
      </c>
      <c r="G219" s="46"/>
      <c r="H219" s="43">
        <f>C219+D219+G219</f>
        <v>5235.2700000000004</v>
      </c>
      <c r="I219" s="858"/>
      <c r="J219" s="42">
        <f>H219*Ratios!$C$24</f>
        <v>4717.2611573553313</v>
      </c>
      <c r="K219" s="42">
        <f>H219*Ratios!$D$24</f>
        <v>518.00884264466947</v>
      </c>
      <c r="L219" s="317" t="s">
        <v>23</v>
      </c>
      <c r="M219" s="8">
        <f t="shared" ref="M219:M220" si="64">H219-J219-K219</f>
        <v>0</v>
      </c>
      <c r="N219" s="12"/>
      <c r="O219" s="8"/>
      <c r="P219" s="8"/>
      <c r="Q219" s="12"/>
      <c r="R219" s="12"/>
    </row>
    <row r="220" spans="1:18">
      <c r="A220" s="39">
        <v>57357</v>
      </c>
      <c r="B220" s="7" t="s">
        <v>151</v>
      </c>
      <c r="C220" s="42">
        <f>+IFERROR(VLOOKUP(A220,'2025 IS'!$D:$AH,31,FALSE),0)</f>
        <v>1050.33</v>
      </c>
      <c r="D220" s="46"/>
      <c r="E220" s="43">
        <f>SUM(C220:D220)</f>
        <v>1050.33</v>
      </c>
      <c r="G220" s="46"/>
      <c r="H220" s="43">
        <f>C220+D220+G220</f>
        <v>1050.33</v>
      </c>
      <c r="I220" s="858"/>
      <c r="J220" s="42">
        <f>H220*Ratios!$C$24</f>
        <v>946.40408448943879</v>
      </c>
      <c r="K220" s="42">
        <f>H220*Ratios!$D$24</f>
        <v>103.92591551056118</v>
      </c>
      <c r="L220" s="317" t="s">
        <v>23</v>
      </c>
      <c r="M220" s="8">
        <f t="shared" si="64"/>
        <v>0</v>
      </c>
      <c r="N220" s="12"/>
      <c r="O220" s="8"/>
      <c r="P220" s="8"/>
      <c r="Q220" s="12"/>
      <c r="R220" s="12"/>
    </row>
    <row r="221" spans="1:18">
      <c r="A221" s="68">
        <v>52200</v>
      </c>
      <c r="B221" s="2" t="s">
        <v>168</v>
      </c>
      <c r="C221" s="47">
        <f>SUM(C219:C220)</f>
        <v>6285.6</v>
      </c>
      <c r="D221" s="47">
        <f>SUM(D219:D220)</f>
        <v>0</v>
      </c>
      <c r="E221" s="47">
        <f>SUM(E219:E220)</f>
        <v>6285.6</v>
      </c>
      <c r="F221" s="88"/>
      <c r="G221" s="47">
        <f>SUM(G219:G220)</f>
        <v>0</v>
      </c>
      <c r="H221" s="47">
        <f>SUM(H219:H220)</f>
        <v>6285.6</v>
      </c>
      <c r="I221" s="859"/>
      <c r="J221" s="47">
        <f t="shared" ref="J221:K221" si="65">SUM(J219:J220)</f>
        <v>5663.6652418447702</v>
      </c>
      <c r="K221" s="47">
        <f t="shared" si="65"/>
        <v>621.93475815523061</v>
      </c>
      <c r="L221" s="89"/>
      <c r="M221" s="89"/>
    </row>
    <row r="222" spans="1:18" ht="7.5" customHeight="1">
      <c r="A222" s="68"/>
      <c r="B222" s="2"/>
      <c r="C222" s="63"/>
      <c r="D222" s="63"/>
      <c r="E222" s="63"/>
      <c r="F222" s="64"/>
      <c r="G222" s="63"/>
      <c r="H222" s="63"/>
      <c r="I222" s="860"/>
      <c r="J222" s="63"/>
      <c r="K222" s="63"/>
      <c r="L222" s="3"/>
      <c r="M222" s="3"/>
    </row>
    <row r="223" spans="1:18">
      <c r="A223" s="65">
        <v>52300</v>
      </c>
      <c r="B223" s="54" t="s">
        <v>170</v>
      </c>
      <c r="C223" s="56"/>
      <c r="D223" s="57"/>
      <c r="E223" s="57"/>
      <c r="F223" s="58"/>
      <c r="G223" s="57"/>
      <c r="H223" s="57"/>
      <c r="I223" s="862"/>
      <c r="J223" s="56"/>
      <c r="K223" s="56"/>
      <c r="L223" s="59"/>
      <c r="M223" s="59"/>
    </row>
    <row r="224" spans="1:18">
      <c r="A224" s="39">
        <v>57275</v>
      </c>
      <c r="B224" s="7" t="s">
        <v>170</v>
      </c>
      <c r="C224" s="42">
        <f>+IFERROR(VLOOKUP(A224,'2025 IS'!$D:$AH,31,FALSE),0)</f>
        <v>776.17</v>
      </c>
      <c r="D224" s="46"/>
      <c r="E224" s="43">
        <f>SUM(C224:D224)</f>
        <v>776.17</v>
      </c>
      <c r="G224" s="46"/>
      <c r="H224" s="43">
        <f>C224+D224+G224</f>
        <v>776.17</v>
      </c>
      <c r="I224" s="858"/>
      <c r="J224" s="42">
        <f>H224*Ratios!$C$13</f>
        <v>696.77365056428459</v>
      </c>
      <c r="K224" s="42">
        <f>+H224-J224</f>
        <v>79.396349435715365</v>
      </c>
      <c r="L224" s="318" t="s">
        <v>120</v>
      </c>
      <c r="M224" s="8">
        <f t="shared" ref="M224" si="66">H224-J224-K224</f>
        <v>0</v>
      </c>
      <c r="N224" s="12"/>
      <c r="O224" s="8"/>
      <c r="P224" s="8"/>
      <c r="Q224" s="12"/>
      <c r="R224" s="12"/>
    </row>
    <row r="225" spans="1:18">
      <c r="A225" s="68">
        <v>52300</v>
      </c>
      <c r="B225" s="2" t="s">
        <v>170</v>
      </c>
      <c r="C225" s="47">
        <f>SUM(C224:C224)</f>
        <v>776.17</v>
      </c>
      <c r="D225" s="47">
        <f>SUM(D224:D224)</f>
        <v>0</v>
      </c>
      <c r="E225" s="47">
        <f>SUM(E224:E224)</f>
        <v>776.17</v>
      </c>
      <c r="F225" s="88"/>
      <c r="G225" s="47">
        <f>SUM(G224:G224)</f>
        <v>0</v>
      </c>
      <c r="H225" s="47">
        <f>SUM(H224:H224)</f>
        <v>776.17</v>
      </c>
      <c r="I225" s="859"/>
      <c r="J225" s="47">
        <f>SUM(J224:J224)</f>
        <v>696.77365056428459</v>
      </c>
      <c r="K225" s="47">
        <f>SUM(K224:K224)</f>
        <v>79.396349435715365</v>
      </c>
      <c r="L225" s="89"/>
      <c r="M225" s="89"/>
    </row>
    <row r="226" spans="1:18" ht="7.5" customHeight="1">
      <c r="C226" s="42"/>
      <c r="D226" s="46"/>
      <c r="E226" s="46"/>
      <c r="G226" s="46"/>
      <c r="H226" s="46"/>
      <c r="I226" s="860"/>
      <c r="J226" s="42"/>
      <c r="K226" s="42"/>
    </row>
    <row r="227" spans="1:18">
      <c r="A227" s="65">
        <v>52400</v>
      </c>
      <c r="B227" s="54" t="s">
        <v>171</v>
      </c>
      <c r="C227" s="56"/>
      <c r="D227" s="57"/>
      <c r="E227" s="57"/>
      <c r="F227" s="58"/>
      <c r="G227" s="57"/>
      <c r="H227" s="57"/>
      <c r="I227" s="862"/>
      <c r="J227" s="56"/>
      <c r="K227" s="56"/>
      <c r="L227" s="59"/>
      <c r="M227" s="59"/>
    </row>
    <row r="228" spans="1:18">
      <c r="A228" s="39">
        <v>50050</v>
      </c>
      <c r="B228" s="7" t="s">
        <v>171</v>
      </c>
      <c r="C228" s="42">
        <f>+IFERROR(VLOOKUP(A228,'2025 IS'!$D:$AH,31,FALSE),0)</f>
        <v>11208.820000000002</v>
      </c>
      <c r="D228" s="43">
        <f>'Restating Adj''s'!B32</f>
        <v>763.75648342139505</v>
      </c>
      <c r="E228" s="81">
        <f t="shared" ref="E228:E231" si="67">SUM(C228:D228)</f>
        <v>11972.576483421397</v>
      </c>
      <c r="F228" s="395" t="s">
        <v>62</v>
      </c>
      <c r="G228" s="81">
        <f>+'Pro-forma Adj''s'!B17</f>
        <v>142.16540180153291</v>
      </c>
      <c r="H228" s="43">
        <f t="shared" ref="H228:H231" si="68">C228+D228+G228</f>
        <v>12114.741885222929</v>
      </c>
      <c r="I228" s="858"/>
      <c r="J228" s="42">
        <f>H228*Ratios!$C$24</f>
        <v>10916.037057601196</v>
      </c>
      <c r="K228" s="42">
        <f>H228*Ratios!$D$24</f>
        <v>1198.7048276217331</v>
      </c>
      <c r="L228" s="317" t="s">
        <v>23</v>
      </c>
      <c r="M228" s="8">
        <f t="shared" ref="M228:M231" si="69">H228-J228-K228</f>
        <v>0</v>
      </c>
      <c r="N228" s="8"/>
      <c r="O228" s="8"/>
      <c r="P228" s="8"/>
      <c r="Q228" s="12"/>
      <c r="R228" s="12"/>
    </row>
    <row r="229" spans="1:18">
      <c r="A229" s="39">
        <v>52050</v>
      </c>
      <c r="B229" s="7" t="s">
        <v>171</v>
      </c>
      <c r="C229" s="42">
        <f>+IFERROR(VLOOKUP(A229,'2025 IS'!$D:$AH,31,FALSE),0)</f>
        <v>4836.33</v>
      </c>
      <c r="D229" s="43">
        <f>'Restating Adj''s'!B33</f>
        <v>772.51233581213285</v>
      </c>
      <c r="E229" s="81">
        <f t="shared" si="67"/>
        <v>5608.8423358121327</v>
      </c>
      <c r="F229" s="395" t="s">
        <v>62</v>
      </c>
      <c r="G229" s="81">
        <f>+'Pro-forma Adj''s'!B18</f>
        <v>100.21538339530332</v>
      </c>
      <c r="H229" s="43">
        <f t="shared" si="68"/>
        <v>5709.0577192074361</v>
      </c>
      <c r="I229" s="858"/>
      <c r="J229" s="42">
        <f>H229*Ratios!$C$24</f>
        <v>5144.169493439088</v>
      </c>
      <c r="K229" s="42">
        <f>H229*Ratios!$D$24</f>
        <v>564.88822576834821</v>
      </c>
      <c r="L229" s="317" t="s">
        <v>23</v>
      </c>
      <c r="M229" s="8">
        <f t="shared" si="69"/>
        <v>0</v>
      </c>
      <c r="O229" s="8"/>
      <c r="P229" s="8"/>
      <c r="Q229" s="12"/>
      <c r="R229" s="12"/>
    </row>
    <row r="230" spans="1:18">
      <c r="A230" s="39">
        <v>56050</v>
      </c>
      <c r="B230" s="7" t="s">
        <v>171</v>
      </c>
      <c r="C230" s="42">
        <f>+IFERROR(VLOOKUP(A230,'2025 IS'!$D:$AH,31,FALSE),0)</f>
        <v>3333.27</v>
      </c>
      <c r="D230" s="43">
        <f>'Restating Adj''s'!B34</f>
        <v>3.2954585534877263</v>
      </c>
      <c r="E230" s="81">
        <f t="shared" si="67"/>
        <v>3336.5654585534876</v>
      </c>
      <c r="F230" s="395" t="s">
        <v>62</v>
      </c>
      <c r="G230" s="81">
        <f>+'Pro-forma Adj''s'!B19</f>
        <v>80.271637213837181</v>
      </c>
      <c r="H230" s="43">
        <f t="shared" si="68"/>
        <v>3416.8370957673246</v>
      </c>
      <c r="I230" s="858"/>
      <c r="J230" s="42">
        <f>H230*Ratios!$C$24</f>
        <v>3078.7548517791815</v>
      </c>
      <c r="K230" s="42">
        <f>H230*Ratios!$D$24</f>
        <v>338.08224398814298</v>
      </c>
      <c r="L230" s="317" t="s">
        <v>23</v>
      </c>
      <c r="M230" s="8">
        <f t="shared" si="69"/>
        <v>0</v>
      </c>
      <c r="N230" s="12"/>
      <c r="O230" s="8"/>
      <c r="P230" s="8"/>
      <c r="Q230" s="12"/>
      <c r="R230" s="12"/>
    </row>
    <row r="231" spans="1:18">
      <c r="A231" s="39">
        <v>70050</v>
      </c>
      <c r="B231" s="7" t="s">
        <v>171</v>
      </c>
      <c r="C231" s="42">
        <f>+IFERROR(VLOOKUP(A231,'2025 IS'!$D:$AH,31,FALSE),0)</f>
        <v>5807.3600000000006</v>
      </c>
      <c r="D231" s="43">
        <f>'Restating Adj''s'!T66+'Restating Adj''s'!B35</f>
        <v>302.22657635012592</v>
      </c>
      <c r="E231" s="81">
        <f t="shared" si="67"/>
        <v>6109.5865763501261</v>
      </c>
      <c r="F231" s="395" t="s">
        <v>62</v>
      </c>
      <c r="G231" s="81">
        <f>+'Pro-forma Adj''s'!B20</f>
        <v>35.062646624999999</v>
      </c>
      <c r="H231" s="43">
        <f t="shared" si="68"/>
        <v>6144.6492229751257</v>
      </c>
      <c r="I231" s="858"/>
      <c r="J231" s="42">
        <f>H231*Ratios!$C$13</f>
        <v>5516.0978529566628</v>
      </c>
      <c r="K231" s="42">
        <f>+H231-J231</f>
        <v>628.55137001846288</v>
      </c>
      <c r="L231" s="318" t="s">
        <v>120</v>
      </c>
      <c r="M231" s="8">
        <f t="shared" si="69"/>
        <v>0</v>
      </c>
      <c r="N231" s="12"/>
      <c r="O231" s="8"/>
      <c r="P231" s="8"/>
      <c r="Q231" s="12"/>
      <c r="R231" s="12"/>
    </row>
    <row r="232" spans="1:18">
      <c r="A232" s="68">
        <v>52400</v>
      </c>
      <c r="B232" s="2" t="s">
        <v>171</v>
      </c>
      <c r="C232" s="47">
        <f>SUM(C228:C231)</f>
        <v>25185.780000000002</v>
      </c>
      <c r="D232" s="47">
        <f>SUM(D228:D231)</f>
        <v>1841.7908541371417</v>
      </c>
      <c r="E232" s="47">
        <f>SUM(E228:E231)</f>
        <v>27027.570854137142</v>
      </c>
      <c r="F232" s="88"/>
      <c r="G232" s="47">
        <f>SUM(G228:G231)</f>
        <v>357.71506903567342</v>
      </c>
      <c r="H232" s="47">
        <f>SUM(H228:H231)</f>
        <v>27385.285923172814</v>
      </c>
      <c r="I232" s="859"/>
      <c r="J232" s="47">
        <f>SUM(J228:J231)</f>
        <v>24655.059255776127</v>
      </c>
      <c r="K232" s="47">
        <f>SUM(K228:K231)</f>
        <v>2730.2266673966874</v>
      </c>
      <c r="L232" s="89"/>
      <c r="M232" s="89"/>
    </row>
    <row r="233" spans="1:18" ht="6.75" customHeight="1">
      <c r="A233" s="68"/>
      <c r="B233" s="2"/>
      <c r="C233" s="63"/>
      <c r="D233" s="63"/>
      <c r="E233" s="63"/>
      <c r="F233" s="64"/>
      <c r="G233" s="63"/>
      <c r="H233" s="63"/>
      <c r="I233" s="860"/>
      <c r="J233" s="63"/>
      <c r="K233" s="63"/>
      <c r="L233" s="3"/>
      <c r="M233" s="3"/>
    </row>
    <row r="234" spans="1:18">
      <c r="A234" s="65">
        <v>53200</v>
      </c>
      <c r="B234" s="54" t="s">
        <v>172</v>
      </c>
      <c r="C234" s="56"/>
      <c r="D234" s="57"/>
      <c r="E234" s="57"/>
      <c r="F234" s="58"/>
      <c r="G234" s="57"/>
      <c r="H234" s="57"/>
      <c r="I234" s="862"/>
      <c r="J234" s="56"/>
      <c r="K234" s="56"/>
      <c r="L234" s="59"/>
      <c r="M234" s="59"/>
    </row>
    <row r="235" spans="1:18">
      <c r="A235" s="39">
        <v>57170</v>
      </c>
      <c r="B235" s="7" t="s">
        <v>173</v>
      </c>
      <c r="C235" s="42">
        <f>+IFERROR(VLOOKUP(A235,'2025 IS'!$D:$AH,31,FALSE),0)</f>
        <v>10200</v>
      </c>
      <c r="D235" s="46"/>
      <c r="E235" s="43">
        <f>SUM(C235:D235)</f>
        <v>10200</v>
      </c>
      <c r="G235" s="46"/>
      <c r="H235" s="43">
        <f>C235+D235+G235</f>
        <v>10200</v>
      </c>
      <c r="I235" s="858"/>
      <c r="J235" s="42">
        <f>H235*Ratios!$C$24</f>
        <v>9190.7511561054871</v>
      </c>
      <c r="K235" s="42">
        <f>H235*Ratios!$D$24</f>
        <v>1009.2488438945132</v>
      </c>
      <c r="L235" s="317" t="s">
        <v>23</v>
      </c>
      <c r="M235" s="8">
        <f t="shared" ref="M235" si="70">H235-J235-K235</f>
        <v>0</v>
      </c>
      <c r="O235" s="8"/>
      <c r="P235" s="8"/>
      <c r="Q235" s="12"/>
    </row>
    <row r="236" spans="1:18">
      <c r="A236" s="68">
        <v>53200</v>
      </c>
      <c r="B236" s="2" t="s">
        <v>172</v>
      </c>
      <c r="C236" s="47">
        <f>SUM(C235:C235)</f>
        <v>10200</v>
      </c>
      <c r="D236" s="47">
        <f t="shared" ref="D236:E236" si="71">SUM(D235:D235)</f>
        <v>0</v>
      </c>
      <c r="E236" s="47">
        <f t="shared" si="71"/>
        <v>10200</v>
      </c>
      <c r="F236" s="88"/>
      <c r="G236" s="47">
        <f>SUM(G235:G235)</f>
        <v>0</v>
      </c>
      <c r="H236" s="47">
        <f>SUM(H235:H235)</f>
        <v>10200</v>
      </c>
      <c r="I236" s="859"/>
      <c r="J236" s="47">
        <f>SUM(J235:J235)</f>
        <v>9190.7511561054871</v>
      </c>
      <c r="K236" s="47">
        <f>SUM(K235:K235)</f>
        <v>1009.2488438945132</v>
      </c>
      <c r="L236" s="89"/>
      <c r="M236" s="89"/>
    </row>
    <row r="237" spans="1:18" ht="6" customHeight="1">
      <c r="A237" s="68"/>
      <c r="B237" s="2"/>
      <c r="C237" s="63"/>
      <c r="D237" s="63"/>
      <c r="E237" s="63"/>
      <c r="F237" s="64"/>
      <c r="G237" s="63"/>
      <c r="H237" s="63"/>
      <c r="I237" s="860"/>
      <c r="J237" s="63"/>
      <c r="K237" s="63"/>
      <c r="L237" s="3"/>
      <c r="M237" s="3"/>
    </row>
    <row r="238" spans="1:18" ht="4.5" hidden="1" customHeight="1">
      <c r="A238" s="65"/>
      <c r="B238" s="54" t="s">
        <v>162</v>
      </c>
      <c r="C238" s="56"/>
      <c r="D238" s="57"/>
      <c r="E238" s="57"/>
      <c r="F238" s="58"/>
      <c r="G238" s="57"/>
      <c r="H238" s="57"/>
      <c r="I238" s="862"/>
      <c r="J238" s="56"/>
      <c r="K238" s="56"/>
      <c r="L238" s="59"/>
      <c r="M238" s="59"/>
    </row>
    <row r="239" spans="1:18" ht="4.5" hidden="1" customHeight="1">
      <c r="A239" s="39">
        <v>70269</v>
      </c>
      <c r="B239" s="7" t="s">
        <v>174</v>
      </c>
      <c r="C239" s="42">
        <f>+IFERROR(VLOOKUP(A239,'2025 IS'!$D:$AH,31,FALSE),0)</f>
        <v>0</v>
      </c>
      <c r="D239" s="46"/>
      <c r="E239" s="43">
        <f>SUM(C239:D239)</f>
        <v>0</v>
      </c>
      <c r="G239" s="46"/>
      <c r="H239" s="43">
        <f>C239+D239+G239</f>
        <v>0</v>
      </c>
      <c r="I239" s="858"/>
      <c r="J239" s="63"/>
      <c r="K239" s="42">
        <f>H239</f>
        <v>0</v>
      </c>
      <c r="L239" s="93" t="s">
        <v>14</v>
      </c>
      <c r="M239" s="8">
        <f t="shared" ref="M239" si="72">H239-J239-K239</f>
        <v>0</v>
      </c>
    </row>
    <row r="240" spans="1:18" ht="4.5" hidden="1" customHeight="1">
      <c r="A240" s="68"/>
      <c r="B240" s="2" t="s">
        <v>175</v>
      </c>
      <c r="C240" s="47">
        <f>C239</f>
        <v>0</v>
      </c>
      <c r="D240" s="47">
        <f t="shared" ref="D240:E240" si="73">D239</f>
        <v>0</v>
      </c>
      <c r="E240" s="47">
        <f t="shared" si="73"/>
        <v>0</v>
      </c>
      <c r="F240" s="88"/>
      <c r="G240" s="47">
        <f>G239</f>
        <v>0</v>
      </c>
      <c r="H240" s="47">
        <f>H239</f>
        <v>0</v>
      </c>
      <c r="I240" s="859"/>
      <c r="J240" s="47">
        <f>J239</f>
        <v>0</v>
      </c>
      <c r="K240" s="47">
        <f>K239</f>
        <v>0</v>
      </c>
      <c r="L240" s="89"/>
      <c r="M240" s="89"/>
    </row>
    <row r="241" spans="1:27" ht="4.5" customHeight="1">
      <c r="C241" s="42"/>
      <c r="D241" s="46"/>
      <c r="E241" s="46"/>
      <c r="G241" s="46"/>
      <c r="H241" s="46"/>
      <c r="I241" s="860"/>
      <c r="J241" s="42"/>
      <c r="K241" s="42"/>
    </row>
    <row r="242" spans="1:27">
      <c r="B242" s="2" t="s">
        <v>20</v>
      </c>
      <c r="C242" s="47">
        <f>C24+C33+C48+C52+C56+C60+C65+C71+C80+C84+C89+C96+C102+C106+C113+C118+C122+C129+C138+C142+C152+C156+C161+C165+C172+C177+C181+C199+C208+C212+C216+C221+C225+C232+C236+C240+C42+C109</f>
        <v>1235259.3600000001</v>
      </c>
      <c r="D242" s="47">
        <f>D24+D33+D48+D52+D56+D60+D65+D71+D80+D84+D89+D96+D102+D106+D113+D118+D122+D129+D138+D142+D152+D156+D161+D165+D172+D177+D181+D199+D208+D212+D216+D221+D225+D232+D236+D240+D42+D109</f>
        <v>58406.039631375294</v>
      </c>
      <c r="E242" s="47">
        <f>E24+E33+E48+E52+E56+E60+E65+E71+E80+E84+E89+E96+E102+E106+E113+E118+E122+E129+E138+E142+E152+E156+E161+E165+E172+E177+E181+E199+E208+E212+E216+E221+E225+E232+E236+E240+E42+E109</f>
        <v>1293522.4296313755</v>
      </c>
      <c r="F242" s="48"/>
      <c r="G242" s="47">
        <f>G24+G33+G48+G52+G56+G60+G65+G71+G80+G84+G89+G96+G102+G106+G113+G118+G122+G129+G138+G142+G152+G156+G161+G165+G172+G177+G181+G199+G208+G212+G216+G221+G225+G232+G236+G240+G42+G109</f>
        <v>8979.1836955558447</v>
      </c>
      <c r="H242" s="47">
        <f>H24+H33+H48+H52+H56+H60+H65+H71+H80+H84+H89+H96+H102+H106+H113+H118+H122+H129+H138+H142+H152+H156+H161+H165+H172+H177+H181+H199+H208+H212+H216+H221+H225+H232+H236+H240+H42+H109</f>
        <v>1302644.5833269311</v>
      </c>
      <c r="I242" s="859"/>
      <c r="J242" s="47">
        <f>J24+J33+J48+J52+J56+J60+J65+J71+J80+J84+J89+J96+J102+J106+J113+J118+J122+J129+J138+J142+J152+J156+J161+J165+J172+J177+J181+J199+J208+J212+J216+J221+J225+J232+J236+J240+J42+J109</f>
        <v>1204188.2166115893</v>
      </c>
      <c r="K242" s="47">
        <f>K24+K33+K48+K52+K56+K60+K65+K71+K80+K84+K89+K96+K102+K106+K113+K118+K122+K129+K138+K142+K152+K156+K161+K165+K172+K177+K181+K199+K208+K212+K216+K221+K225+K232+K236+K240+K42+K109</f>
        <v>98457.816715341862</v>
      </c>
      <c r="L242" s="49"/>
      <c r="M242" s="49"/>
      <c r="N242" s="3"/>
      <c r="O242" s="592"/>
      <c r="P242" s="8"/>
      <c r="Q242" s="12"/>
      <c r="R242" s="593">
        <f>SUM(P228:P231,P215,P194,P168:P169,P170,P132:P134,P121,P99,P74:P79,P68,P59,P28:P29)</f>
        <v>0</v>
      </c>
    </row>
    <row r="243" spans="1:27" ht="6.75" customHeight="1">
      <c r="B243" s="2"/>
      <c r="C243" s="63"/>
    </row>
    <row r="244" spans="1:27">
      <c r="B244" s="2" t="s">
        <v>176</v>
      </c>
      <c r="C244" s="95">
        <f>C242/C16</f>
        <v>0.94302927887332244</v>
      </c>
      <c r="D244" s="96"/>
      <c r="E244" s="96"/>
      <c r="F244" s="97"/>
      <c r="G244" s="96"/>
      <c r="H244" s="95">
        <f>H242/H16</f>
        <v>1.0007450811670369</v>
      </c>
      <c r="I244" s="863"/>
      <c r="J244" s="95">
        <f>J242/J16</f>
        <v>0.99200727058365212</v>
      </c>
      <c r="K244" s="95">
        <f>K242/K16</f>
        <v>1.1215890779395692</v>
      </c>
      <c r="L244" s="73"/>
      <c r="M244" s="73"/>
    </row>
    <row r="245" spans="1:27" ht="6.75" customHeight="1"/>
    <row r="246" spans="1:27" ht="12" thickBot="1">
      <c r="B246" s="2" t="s">
        <v>177</v>
      </c>
      <c r="C246" s="98">
        <f>C16-C242</f>
        <v>74625.059999999823</v>
      </c>
      <c r="D246" s="98">
        <f>D16-D242</f>
        <v>-66615.729631375318</v>
      </c>
      <c r="E246" s="98">
        <f>E16-E242</f>
        <v>8152.3003686247393</v>
      </c>
      <c r="F246" s="99"/>
      <c r="G246" s="98">
        <f>G16-G242</f>
        <v>-8979.1836955558447</v>
      </c>
      <c r="H246" s="98">
        <f>H16-H242</f>
        <v>-969.85332693089731</v>
      </c>
      <c r="I246" s="864"/>
      <c r="J246" s="98">
        <f>J16-J242</f>
        <v>9702.2984277808573</v>
      </c>
      <c r="K246" s="98">
        <f>K16-K242</f>
        <v>-10673.601754711926</v>
      </c>
      <c r="L246" s="100"/>
      <c r="M246" s="100"/>
    </row>
    <row r="247" spans="1:27" ht="6.75" customHeight="1" thickTop="1"/>
    <row r="248" spans="1:27" s="2" customFormat="1">
      <c r="A248" s="68"/>
      <c r="B248" s="2" t="s">
        <v>178</v>
      </c>
      <c r="C248" s="396"/>
      <c r="D248" s="396"/>
      <c r="E248" s="396"/>
      <c r="F248" s="397"/>
      <c r="G248" s="396"/>
      <c r="H248" s="398">
        <f>'Depr Summary'!H32</f>
        <v>878876.96757118986</v>
      </c>
      <c r="I248" s="865"/>
      <c r="J248" s="396">
        <f>('Depr Summary'!$H$13+'Depr Summary'!$H$25)*Ratios!$C$24+('Depr Summary'!$H$21+'Depr Summary'!$H$27)*Ratios!$C$13</f>
        <v>791278.6629941737</v>
      </c>
      <c r="K248" s="396">
        <f>('Depr Summary'!$H$13+'Depr Summary'!$H$25)*Ratios!$D$24+('Depr Summary'!$H$21+'Depr Summary'!$H$27)*Ratios!$D$13</f>
        <v>87598.304577016184</v>
      </c>
      <c r="L248" s="102"/>
      <c r="M248" s="8">
        <f t="shared" ref="M248" si="74">H248-J248-K248</f>
        <v>0</v>
      </c>
      <c r="O248" s="591"/>
      <c r="P248" s="8"/>
      <c r="Q248" s="12"/>
    </row>
    <row r="249" spans="1:27">
      <c r="C249" s="103"/>
    </row>
    <row r="250" spans="1:27">
      <c r="J250" s="12">
        <f>$J$242/H242</f>
        <v>0.92441808918908175</v>
      </c>
      <c r="K250" s="12">
        <f>$K$242/H242</f>
        <v>7.5583023931118917E-2</v>
      </c>
    </row>
    <row r="251" spans="1:27" s="6" customFormat="1">
      <c r="A251" s="39"/>
      <c r="B251" s="2"/>
      <c r="C251" s="42">
        <f>+'2025 IS'!AH268-'Bingen Consolidated IS'!C246</f>
        <v>2.9103830456733704E-10</v>
      </c>
      <c r="D251" s="4"/>
      <c r="E251" s="4"/>
      <c r="F251" s="5"/>
      <c r="G251" s="4"/>
      <c r="H251" s="4"/>
      <c r="I251" s="852"/>
      <c r="J251" s="101"/>
      <c r="L251" s="7"/>
      <c r="M251" s="7"/>
      <c r="N251" s="7"/>
      <c r="O251" s="7"/>
      <c r="P251" s="7"/>
      <c r="Q251" s="7"/>
      <c r="R251" s="7"/>
      <c r="S251" s="7"/>
      <c r="T251" s="7"/>
      <c r="U251" s="7"/>
      <c r="V251" s="7"/>
      <c r="W251" s="7"/>
      <c r="X251" s="7"/>
      <c r="Y251" s="7"/>
      <c r="Z251" s="7"/>
      <c r="AA251" s="7"/>
    </row>
    <row r="252" spans="1:27">
      <c r="J252" s="12"/>
    </row>
    <row r="253" spans="1:27" s="6" customFormat="1">
      <c r="A253" s="39"/>
      <c r="B253" s="2"/>
      <c r="C253" s="3"/>
      <c r="D253" s="4"/>
      <c r="E253" s="4"/>
      <c r="F253" s="5"/>
      <c r="G253" s="4"/>
      <c r="H253" s="4"/>
      <c r="I253" s="852"/>
      <c r="L253" s="7"/>
      <c r="M253" s="7"/>
      <c r="N253" s="7"/>
      <c r="O253" s="7"/>
      <c r="P253" s="7"/>
      <c r="Q253" s="7"/>
      <c r="R253" s="7"/>
      <c r="S253" s="7"/>
      <c r="T253" s="7"/>
      <c r="U253" s="7"/>
      <c r="V253" s="7"/>
      <c r="W253" s="7"/>
      <c r="X253" s="7"/>
      <c r="Y253" s="7"/>
      <c r="Z253" s="7"/>
      <c r="AA253" s="7"/>
    </row>
    <row r="254" spans="1:27" s="6" customFormat="1">
      <c r="A254" s="39"/>
      <c r="B254" s="7"/>
      <c r="C254" s="42"/>
      <c r="D254" s="104"/>
      <c r="E254" s="4"/>
      <c r="F254" s="5"/>
      <c r="G254" s="4"/>
      <c r="H254" s="4"/>
      <c r="I254" s="852"/>
      <c r="L254" s="7"/>
      <c r="M254" s="7"/>
      <c r="N254" s="7"/>
      <c r="O254" s="7"/>
      <c r="P254" s="7"/>
      <c r="Q254" s="7"/>
      <c r="R254" s="7"/>
      <c r="S254" s="7"/>
      <c r="T254" s="7"/>
      <c r="U254" s="7"/>
      <c r="V254" s="7"/>
      <c r="W254" s="7"/>
      <c r="X254" s="7"/>
      <c r="Y254" s="7"/>
      <c r="Z254" s="7"/>
      <c r="AA254" s="7"/>
    </row>
    <row r="255" spans="1:27" s="6" customFormat="1">
      <c r="A255" s="39"/>
      <c r="B255" s="7"/>
      <c r="C255" s="42"/>
      <c r="D255" s="104"/>
      <c r="E255" s="4"/>
      <c r="F255" s="5"/>
      <c r="G255" s="4"/>
      <c r="H255" s="4"/>
      <c r="I255" s="852"/>
      <c r="L255" s="7"/>
      <c r="M255" s="7"/>
      <c r="N255" s="7"/>
      <c r="O255" s="7"/>
      <c r="P255" s="7"/>
      <c r="Q255" s="7"/>
      <c r="R255" s="7"/>
      <c r="S255" s="7"/>
      <c r="T255" s="7"/>
      <c r="U255" s="7"/>
      <c r="V255" s="7"/>
      <c r="W255" s="7"/>
      <c r="X255" s="7"/>
      <c r="Y255" s="7"/>
      <c r="Z255" s="7"/>
      <c r="AA255" s="7"/>
    </row>
    <row r="256" spans="1:27" s="6" customFormat="1">
      <c r="A256" s="39"/>
      <c r="B256" s="7"/>
      <c r="C256" s="42"/>
      <c r="D256" s="104"/>
      <c r="E256" s="4"/>
      <c r="F256" s="5"/>
      <c r="G256" s="4"/>
      <c r="H256" s="4"/>
      <c r="I256" s="852"/>
      <c r="L256" s="7"/>
      <c r="M256" s="7"/>
      <c r="N256" s="7"/>
      <c r="O256" s="7"/>
      <c r="P256" s="7"/>
      <c r="Q256" s="7"/>
      <c r="R256" s="7"/>
      <c r="S256" s="7"/>
      <c r="T256" s="7"/>
      <c r="U256" s="7"/>
      <c r="V256" s="7"/>
      <c r="W256" s="7"/>
      <c r="X256" s="7"/>
      <c r="Y256" s="7"/>
      <c r="Z256" s="7"/>
      <c r="AA256" s="7"/>
    </row>
    <row r="257" spans="1:27" s="6" customFormat="1">
      <c r="A257" s="39"/>
      <c r="B257" s="7"/>
      <c r="C257" s="42"/>
      <c r="D257" s="104"/>
      <c r="E257" s="4"/>
      <c r="F257" s="5"/>
      <c r="G257" s="4"/>
      <c r="H257" s="4"/>
      <c r="I257" s="852"/>
      <c r="L257" s="7"/>
      <c r="M257" s="7"/>
      <c r="N257" s="7"/>
      <c r="O257" s="7"/>
      <c r="P257" s="7"/>
      <c r="Q257" s="7"/>
      <c r="R257" s="7"/>
      <c r="S257" s="7"/>
      <c r="T257" s="7"/>
      <c r="U257" s="7"/>
      <c r="V257" s="7"/>
      <c r="W257" s="7"/>
      <c r="X257" s="7"/>
      <c r="Y257" s="7"/>
      <c r="Z257" s="7"/>
      <c r="AA257" s="7"/>
    </row>
    <row r="258" spans="1:27" s="6" customFormat="1">
      <c r="A258" s="39"/>
      <c r="B258" s="2"/>
      <c r="C258" s="63"/>
      <c r="D258" s="105"/>
      <c r="E258" s="4"/>
      <c r="F258" s="5"/>
      <c r="G258" s="4"/>
      <c r="H258" s="4"/>
      <c r="I258" s="852"/>
      <c r="L258" s="7"/>
      <c r="M258" s="7"/>
      <c r="N258" s="7"/>
      <c r="O258" s="7"/>
      <c r="P258" s="7"/>
      <c r="Q258" s="7"/>
      <c r="R258" s="7"/>
      <c r="S258" s="7"/>
      <c r="T258" s="7"/>
      <c r="U258" s="7"/>
      <c r="V258" s="7"/>
      <c r="W258" s="7"/>
      <c r="X258" s="7"/>
      <c r="Y258" s="7"/>
      <c r="Z258" s="7"/>
      <c r="AA258" s="7"/>
    </row>
    <row r="259" spans="1:27" s="6" customFormat="1">
      <c r="A259" s="39"/>
      <c r="B259" s="7"/>
      <c r="C259" s="3"/>
      <c r="D259" s="4"/>
      <c r="E259" s="4"/>
      <c r="F259" s="5"/>
      <c r="G259" s="4"/>
      <c r="H259" s="4"/>
      <c r="I259" s="852"/>
      <c r="L259" s="7"/>
      <c r="M259" s="7"/>
      <c r="N259" s="7"/>
      <c r="O259" s="7"/>
      <c r="P259" s="7"/>
      <c r="Q259" s="7"/>
      <c r="R259" s="7"/>
      <c r="S259" s="7"/>
      <c r="T259" s="7"/>
      <c r="U259" s="7"/>
      <c r="V259" s="7"/>
      <c r="W259" s="7"/>
      <c r="X259" s="7"/>
      <c r="Y259" s="7"/>
      <c r="Z259" s="7"/>
      <c r="AA259" s="7"/>
    </row>
    <row r="260" spans="1:27" s="6" customFormat="1">
      <c r="A260" s="39"/>
      <c r="B260" s="7"/>
      <c r="C260" s="3"/>
      <c r="D260" s="4"/>
      <c r="E260" s="4"/>
      <c r="F260" s="5"/>
      <c r="G260" s="4"/>
      <c r="H260" s="4"/>
      <c r="I260" s="852"/>
      <c r="L260" s="7"/>
      <c r="M260" s="7"/>
      <c r="N260" s="7"/>
      <c r="O260" s="7"/>
      <c r="P260" s="7"/>
      <c r="Q260" s="7"/>
      <c r="R260" s="7"/>
      <c r="S260" s="7"/>
      <c r="T260" s="7"/>
      <c r="U260" s="7"/>
      <c r="V260" s="7"/>
      <c r="W260" s="7"/>
      <c r="X260" s="7"/>
      <c r="Y260" s="7"/>
      <c r="Z260" s="7"/>
      <c r="AA260" s="7"/>
    </row>
    <row r="261" spans="1:27" s="6" customFormat="1">
      <c r="A261" s="39"/>
      <c r="B261" s="7"/>
      <c r="C261" s="3"/>
      <c r="D261" s="4"/>
      <c r="E261" s="4"/>
      <c r="F261" s="5"/>
      <c r="G261" s="4"/>
      <c r="H261" s="4"/>
      <c r="I261" s="852"/>
      <c r="L261" s="7"/>
      <c r="M261" s="7"/>
      <c r="N261" s="7"/>
      <c r="O261" s="7"/>
      <c r="P261" s="7"/>
      <c r="Q261" s="7"/>
      <c r="R261" s="7"/>
      <c r="S261" s="7"/>
      <c r="T261" s="7"/>
      <c r="U261" s="7"/>
      <c r="V261" s="7"/>
      <c r="W261" s="7"/>
      <c r="X261" s="7"/>
      <c r="Y261" s="7"/>
      <c r="Z261" s="7"/>
      <c r="AA261" s="7"/>
    </row>
  </sheetData>
  <conditionalFormatting sqref="C251">
    <cfRule type="cellIs" dxfId="3" priority="1" operator="notBetween">
      <formula>1</formula>
      <formula>-1</formula>
    </cfRule>
    <cfRule type="cellIs" dxfId="2" priority="2" operator="between">
      <formula>1</formula>
      <formula>-1</formula>
    </cfRule>
  </conditionalFormatting>
  <pageMargins left="0.25" right="0.25" top="0.75" bottom="0.75" header="0.3" footer="0.3"/>
  <pageSetup scale="78" fitToHeight="6" pageOrder="overThenDown" orientation="landscape" r:id="rId1"/>
  <headerFooter alignWithMargins="0"/>
  <colBreaks count="1" manualBreakCount="1">
    <brk id="9" max="268"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1:N27"/>
  <sheetViews>
    <sheetView showGridLines="0" zoomScale="80" zoomScaleNormal="80" workbookViewId="0">
      <selection activeCell="O42" sqref="O42"/>
    </sheetView>
  </sheetViews>
  <sheetFormatPr defaultRowHeight="15.75"/>
  <cols>
    <col min="1" max="1" width="2.7109375" style="437" customWidth="1"/>
    <col min="2" max="2" width="16" style="437" customWidth="1"/>
    <col min="3" max="3" width="10.28515625" style="437" customWidth="1"/>
    <col min="4" max="5" width="9.140625" style="437"/>
    <col min="6" max="6" width="10" style="437" bestFit="1" customWidth="1"/>
    <col min="7" max="7" width="15.140625" style="437" customWidth="1"/>
    <col min="8" max="9" width="9.140625" style="437"/>
    <col min="10" max="10" width="16.28515625" style="437" customWidth="1"/>
    <col min="11" max="16384" width="9.140625" style="437"/>
  </cols>
  <sheetData>
    <row r="1" spans="2:14">
      <c r="B1" s="436" t="s">
        <v>313</v>
      </c>
      <c r="C1" s="436"/>
    </row>
    <row r="2" spans="2:14">
      <c r="B2" s="438" t="s">
        <v>314</v>
      </c>
    </row>
    <row r="3" spans="2:14" ht="9.75" customHeight="1"/>
    <row r="4" spans="2:14" ht="9.75" customHeight="1" thickBot="1"/>
    <row r="5" spans="2:14">
      <c r="B5" s="439" t="s">
        <v>315</v>
      </c>
      <c r="C5" s="440"/>
      <c r="D5" s="440"/>
      <c r="E5" s="440"/>
      <c r="F5" s="441"/>
    </row>
    <row r="6" spans="2:14">
      <c r="B6" s="442"/>
      <c r="C6" s="443"/>
      <c r="D6" s="443"/>
      <c r="E6" s="443"/>
      <c r="F6" s="444"/>
    </row>
    <row r="7" spans="2:14">
      <c r="B7" s="442"/>
      <c r="C7" s="445" t="s">
        <v>316</v>
      </c>
      <c r="D7" s="445" t="s">
        <v>317</v>
      </c>
      <c r="E7" s="445" t="s">
        <v>20</v>
      </c>
      <c r="F7" s="446"/>
    </row>
    <row r="8" spans="2:14">
      <c r="B8" s="447" t="s">
        <v>12</v>
      </c>
      <c r="C8" s="448">
        <f>'G-48 Price Out'!K35</f>
        <v>1629.475297048552</v>
      </c>
      <c r="D8" s="448">
        <f>'G-51 Price Out'!G25</f>
        <v>172.96476077163098</v>
      </c>
      <c r="E8" s="448">
        <f>SUM(C8:D8)</f>
        <v>1802.440057820183</v>
      </c>
      <c r="F8" s="449"/>
    </row>
    <row r="9" spans="2:14">
      <c r="B9" s="447" t="s">
        <v>318</v>
      </c>
      <c r="C9" s="448">
        <f>'G-48 Price Out'!K103</f>
        <v>239.75435247297827</v>
      </c>
      <c r="D9" s="448">
        <f>'G-51 Price Out'!G55</f>
        <v>39.854430365639303</v>
      </c>
      <c r="E9" s="448">
        <f>SUM(C9:D9)</f>
        <v>279.60878283861757</v>
      </c>
      <c r="F9" s="449"/>
    </row>
    <row r="10" spans="2:14">
      <c r="B10" s="447" t="s">
        <v>319</v>
      </c>
      <c r="C10" s="775">
        <f>'[43]RO Cust Count'!$M$9</f>
        <v>16</v>
      </c>
      <c r="D10" s="775">
        <f>'[43]RO Cust Count'!$M$10</f>
        <v>2</v>
      </c>
      <c r="E10" s="450">
        <f>SUM(C10:D10)</f>
        <v>18</v>
      </c>
      <c r="F10" s="449"/>
    </row>
    <row r="11" spans="2:14" ht="4.5" customHeight="1">
      <c r="B11" s="447"/>
      <c r="C11" s="448"/>
      <c r="D11" s="448"/>
      <c r="E11" s="448"/>
      <c r="F11" s="451"/>
    </row>
    <row r="12" spans="2:14">
      <c r="B12" s="442" t="s">
        <v>20</v>
      </c>
      <c r="C12" s="452">
        <f>SUM(C8:C11)</f>
        <v>1885.2296495215303</v>
      </c>
      <c r="D12" s="452">
        <f>SUM(D8:D11)</f>
        <v>214.81919113727028</v>
      </c>
      <c r="E12" s="452">
        <f>SUM(E8:E11)</f>
        <v>2100.0488406588006</v>
      </c>
      <c r="F12" s="453"/>
    </row>
    <row r="13" spans="2:14">
      <c r="B13" s="447"/>
      <c r="C13" s="454">
        <f>C12/E12</f>
        <v>0.89770752614025873</v>
      </c>
      <c r="D13" s="454">
        <f>D12/E12</f>
        <v>0.10229247385974125</v>
      </c>
      <c r="E13" s="455"/>
      <c r="F13" s="456"/>
    </row>
    <row r="14" spans="2:14" ht="16.5" thickBot="1">
      <c r="B14" s="457"/>
      <c r="C14" s="458"/>
      <c r="D14" s="458"/>
      <c r="E14" s="458"/>
      <c r="F14" s="459"/>
      <c r="I14" s="463"/>
      <c r="J14" s="463"/>
      <c r="K14" s="463"/>
      <c r="L14" s="463"/>
      <c r="M14" s="463"/>
      <c r="N14" s="463"/>
    </row>
    <row r="15" spans="2:14" ht="10.5" customHeight="1">
      <c r="I15" s="464"/>
      <c r="J15" s="463"/>
      <c r="K15" s="463"/>
      <c r="L15" s="464"/>
      <c r="M15" s="465"/>
      <c r="N15" s="463"/>
    </row>
    <row r="16" spans="2:14" ht="10.5" customHeight="1" thickBot="1">
      <c r="I16" s="466"/>
      <c r="J16" s="463"/>
      <c r="K16" s="463"/>
      <c r="L16" s="466"/>
      <c r="M16" s="466"/>
      <c r="N16" s="463"/>
    </row>
    <row r="17" spans="2:14">
      <c r="B17" s="439" t="s">
        <v>320</v>
      </c>
      <c r="C17" s="440"/>
      <c r="D17" s="440"/>
      <c r="E17" s="440"/>
      <c r="F17" s="441"/>
      <c r="I17" s="463"/>
      <c r="J17" s="463"/>
      <c r="K17" s="463"/>
      <c r="L17" s="463"/>
      <c r="M17" s="463"/>
      <c r="N17" s="463"/>
    </row>
    <row r="18" spans="2:14">
      <c r="B18" s="442"/>
      <c r="C18" s="443"/>
      <c r="D18" s="443"/>
      <c r="E18" s="443"/>
      <c r="F18" s="444"/>
      <c r="I18" s="463"/>
      <c r="J18" s="463"/>
      <c r="K18" s="463"/>
      <c r="L18" s="463"/>
      <c r="M18" s="463"/>
      <c r="N18" s="463"/>
    </row>
    <row r="19" spans="2:14">
      <c r="B19" s="442"/>
      <c r="C19" s="445" t="s">
        <v>316</v>
      </c>
      <c r="D19" s="445" t="s">
        <v>317</v>
      </c>
      <c r="E19" s="445" t="s">
        <v>20</v>
      </c>
      <c r="F19" s="446"/>
      <c r="I19" s="467"/>
      <c r="J19" s="463"/>
      <c r="K19" s="467"/>
      <c r="L19" s="463"/>
      <c r="M19" s="465"/>
      <c r="N19" s="463"/>
    </row>
    <row r="20" spans="2:14">
      <c r="B20" s="447" t="s">
        <v>321</v>
      </c>
      <c r="C20" s="460">
        <f>'[44]Time Study Summary'!$C$11</f>
        <v>90.515000000000001</v>
      </c>
      <c r="D20" s="460">
        <f>'[44]Time Study Summary'!$D$11</f>
        <v>9.875</v>
      </c>
      <c r="E20" s="448">
        <f>SUM(C20:D20)</f>
        <v>100.39</v>
      </c>
      <c r="F20" s="449"/>
      <c r="I20" s="468"/>
      <c r="J20" s="463"/>
      <c r="K20" s="468"/>
      <c r="L20" s="463"/>
      <c r="M20" s="466"/>
      <c r="N20" s="463"/>
    </row>
    <row r="21" spans="2:14">
      <c r="B21" s="447" t="s">
        <v>319</v>
      </c>
      <c r="C21" s="461">
        <f>'[44]Time Study Summary'!$C$13</f>
        <v>17.625</v>
      </c>
      <c r="D21" s="461">
        <f>'[44]Time Study Summary'!$D$13</f>
        <v>2</v>
      </c>
      <c r="E21" s="450">
        <f>SUM(C21:D21)</f>
        <v>19.625</v>
      </c>
      <c r="F21" s="449"/>
      <c r="I21" s="468"/>
      <c r="J21" s="463"/>
      <c r="K21" s="468"/>
      <c r="L21" s="463"/>
      <c r="M21" s="466"/>
      <c r="N21" s="463"/>
    </row>
    <row r="22" spans="2:14" ht="6" customHeight="1">
      <c r="B22" s="447"/>
      <c r="C22" s="448"/>
      <c r="D22" s="448"/>
      <c r="E22" s="448"/>
      <c r="F22" s="451"/>
      <c r="I22" s="463"/>
      <c r="J22" s="463"/>
      <c r="K22" s="463"/>
      <c r="L22" s="463"/>
      <c r="M22" s="463"/>
      <c r="N22" s="463"/>
    </row>
    <row r="23" spans="2:14">
      <c r="B23" s="442" t="s">
        <v>20</v>
      </c>
      <c r="C23" s="462">
        <f>SUM(C20:C22)</f>
        <v>108.14</v>
      </c>
      <c r="D23" s="462">
        <f>SUM(D20:D22)</f>
        <v>11.875</v>
      </c>
      <c r="E23" s="462">
        <f>SUM(E20:E22)</f>
        <v>120.015</v>
      </c>
      <c r="F23" s="453"/>
      <c r="I23" s="463"/>
      <c r="J23" s="463"/>
      <c r="K23" s="463"/>
      <c r="L23" s="463"/>
      <c r="M23" s="463"/>
      <c r="N23" s="463"/>
    </row>
    <row r="24" spans="2:14">
      <c r="B24" s="447"/>
      <c r="C24" s="454">
        <f>C23/E23</f>
        <v>0.90105403491230263</v>
      </c>
      <c r="D24" s="454">
        <f>D23/E23</f>
        <v>9.8945965087697374E-2</v>
      </c>
      <c r="E24" s="455"/>
      <c r="F24" s="456"/>
      <c r="I24" s="463"/>
      <c r="J24" s="463"/>
      <c r="K24" s="463"/>
      <c r="L24" s="463"/>
      <c r="M24" s="463"/>
      <c r="N24" s="463"/>
    </row>
    <row r="25" spans="2:14" ht="16.5" thickBot="1">
      <c r="B25" s="457"/>
      <c r="C25" s="458"/>
      <c r="D25" s="458"/>
      <c r="E25" s="458"/>
      <c r="F25" s="459"/>
      <c r="I25" s="463"/>
      <c r="J25" s="463"/>
      <c r="K25" s="463"/>
      <c r="L25" s="463"/>
      <c r="M25" s="463"/>
      <c r="N25" s="463"/>
    </row>
    <row r="26" spans="2:14" ht="9" customHeight="1">
      <c r="I26" s="463"/>
      <c r="J26" s="463"/>
      <c r="K26" s="463"/>
      <c r="L26" s="463"/>
      <c r="M26" s="463"/>
      <c r="N26" s="463"/>
    </row>
    <row r="27" spans="2:14" ht="9" customHeight="1"/>
  </sheetData>
  <pageMargins left="0.7" right="0.7" top="0.75" bottom="0.75" header="0.3" footer="0.3"/>
  <pageSetup scale="75" orientation="portrait" horizontalDpi="1200" verticalDpi="12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02"/>
  <sheetViews>
    <sheetView showGridLines="0" zoomScale="90" zoomScaleNormal="90" workbookViewId="0">
      <selection activeCell="A5" sqref="A5:XFD5"/>
    </sheetView>
  </sheetViews>
  <sheetFormatPr defaultRowHeight="12.75"/>
  <cols>
    <col min="1" max="1" width="29.42578125" style="203" customWidth="1"/>
    <col min="2" max="6" width="13.42578125" style="203" customWidth="1"/>
    <col min="7" max="7" width="8.7109375" style="203" customWidth="1"/>
    <col min="8" max="8" width="4.7109375" style="797" customWidth="1"/>
    <col min="9" max="9" width="8.7109375" style="204" customWidth="1"/>
    <col min="10" max="10" width="6.42578125" style="204" customWidth="1"/>
    <col min="11" max="11" width="12.28515625" style="203" customWidth="1"/>
    <col min="12" max="12" width="25.7109375" style="205" bestFit="1" customWidth="1"/>
    <col min="13" max="20" width="13.42578125" style="203" customWidth="1"/>
    <col min="21" max="21" width="2.42578125" style="203" customWidth="1"/>
    <col min="22" max="22" width="12.42578125" style="203" customWidth="1"/>
    <col min="23" max="16384" width="9.140625" style="203"/>
  </cols>
  <sheetData>
    <row r="1" spans="1:22">
      <c r="A1" s="202" t="s">
        <v>525</v>
      </c>
    </row>
    <row r="2" spans="1:22">
      <c r="A2" s="206" t="s">
        <v>587</v>
      </c>
      <c r="C2" s="207"/>
    </row>
    <row r="3" spans="1:22">
      <c r="A3" s="208" t="s">
        <v>589</v>
      </c>
    </row>
    <row r="4" spans="1:22" ht="8.25" customHeight="1"/>
    <row r="5" spans="1:22">
      <c r="A5" s="209" t="s">
        <v>526</v>
      </c>
      <c r="B5" s="210"/>
      <c r="C5" s="210"/>
      <c r="D5" s="210"/>
      <c r="E5" s="210"/>
      <c r="F5" s="210"/>
      <c r="G5" s="210"/>
      <c r="H5" s="210"/>
      <c r="I5" s="211"/>
      <c r="J5" s="211"/>
      <c r="M5" s="1309" t="s">
        <v>527</v>
      </c>
      <c r="N5" s="1309"/>
      <c r="O5" s="1309"/>
      <c r="P5" s="1309"/>
      <c r="Q5" s="1309"/>
      <c r="R5" s="1309"/>
      <c r="S5" s="1309"/>
      <c r="T5" s="1309"/>
      <c r="U5" s="1309"/>
      <c r="V5" s="1309"/>
    </row>
    <row r="6" spans="1:22">
      <c r="M6" s="212" t="s">
        <v>13</v>
      </c>
      <c r="N6" s="212" t="s">
        <v>76</v>
      </c>
      <c r="O6" s="212" t="s">
        <v>103</v>
      </c>
      <c r="P6" s="212" t="s">
        <v>94</v>
      </c>
      <c r="Q6" s="212" t="s">
        <v>62</v>
      </c>
      <c r="R6" s="212" t="s">
        <v>83</v>
      </c>
      <c r="S6" s="212" t="s">
        <v>155</v>
      </c>
      <c r="T6" s="212" t="s">
        <v>128</v>
      </c>
      <c r="U6" s="212"/>
    </row>
    <row r="7" spans="1:22" ht="28.5" customHeight="1">
      <c r="A7" s="787"/>
      <c r="M7" s="213" t="s">
        <v>528</v>
      </c>
      <c r="N7" s="213" t="s">
        <v>529</v>
      </c>
      <c r="O7" s="213" t="s">
        <v>530</v>
      </c>
      <c r="P7" s="213" t="s">
        <v>531</v>
      </c>
      <c r="Q7" s="213" t="s">
        <v>532</v>
      </c>
      <c r="R7" s="213" t="s">
        <v>533</v>
      </c>
      <c r="S7" s="213" t="s">
        <v>1307</v>
      </c>
      <c r="T7" s="213" t="s">
        <v>534</v>
      </c>
      <c r="U7" s="213"/>
    </row>
    <row r="8" spans="1:22" ht="30">
      <c r="B8" s="316" t="s">
        <v>590</v>
      </c>
      <c r="C8" s="316" t="s">
        <v>591</v>
      </c>
      <c r="D8" s="214" t="s">
        <v>535</v>
      </c>
      <c r="E8" s="214" t="s">
        <v>332</v>
      </c>
      <c r="F8" s="214" t="s">
        <v>333</v>
      </c>
      <c r="I8" s="215"/>
      <c r="J8" s="215"/>
      <c r="K8" s="216"/>
      <c r="L8" s="217"/>
      <c r="M8" s="787"/>
      <c r="N8" s="787"/>
      <c r="O8" s="787"/>
      <c r="P8" s="787"/>
      <c r="Q8" s="787"/>
      <c r="R8" s="787"/>
      <c r="S8" s="787"/>
      <c r="T8" s="787"/>
    </row>
    <row r="9" spans="1:22">
      <c r="A9" s="205" t="s">
        <v>12</v>
      </c>
      <c r="B9" s="218">
        <f>'G-48 Price Out'!G35</f>
        <v>452485.43000000011</v>
      </c>
      <c r="C9" s="218">
        <f>'G-51 Price Out'!D25</f>
        <v>32944.670000000006</v>
      </c>
      <c r="D9" s="237">
        <f>SUM(B9:C9)</f>
        <v>485430.10000000009</v>
      </c>
      <c r="E9" s="243">
        <f>+'Bingen Consolidated IS'!C10</f>
        <v>485761.2300000001</v>
      </c>
      <c r="F9" s="237">
        <f t="shared" ref="F9:F13" si="0">D9-E9</f>
        <v>-331.13000000000466</v>
      </c>
      <c r="G9" s="221"/>
      <c r="H9" s="221"/>
      <c r="I9" s="223"/>
      <c r="J9" s="223"/>
      <c r="K9" s="222">
        <v>32000</v>
      </c>
      <c r="L9" s="223" t="s">
        <v>12</v>
      </c>
      <c r="M9" s="235">
        <f>F9</f>
        <v>-331.13000000000466</v>
      </c>
      <c r="N9" s="224"/>
      <c r="O9" s="787"/>
      <c r="P9" s="787"/>
      <c r="Q9" s="787"/>
      <c r="R9" s="787"/>
      <c r="S9" s="787"/>
      <c r="T9" s="787"/>
      <c r="V9" s="237">
        <f t="shared" ref="V9:V14" si="1">SUM(M9:U9)</f>
        <v>-331.13000000000466</v>
      </c>
    </row>
    <row r="10" spans="1:22">
      <c r="A10" s="205" t="s">
        <v>15</v>
      </c>
      <c r="B10" s="218">
        <f>'G-48 Price Out'!G103</f>
        <v>445981.52999999997</v>
      </c>
      <c r="C10" s="218">
        <f>'G-51 Price Out'!D55</f>
        <v>41960.51</v>
      </c>
      <c r="D10" s="237">
        <f t="shared" ref="D10:D12" si="2">SUM(B10:C10)</f>
        <v>487942.04</v>
      </c>
      <c r="E10" s="243">
        <f>+'Bingen Consolidated IS'!C11</f>
        <v>488150.88</v>
      </c>
      <c r="F10" s="237">
        <f t="shared" si="0"/>
        <v>-208.84000000002561</v>
      </c>
      <c r="G10" s="221"/>
      <c r="H10" s="221"/>
      <c r="I10" s="223"/>
      <c r="J10" s="223"/>
      <c r="K10" s="222">
        <v>31110</v>
      </c>
      <c r="L10" s="223" t="s">
        <v>15</v>
      </c>
      <c r="M10" s="235">
        <f>F10</f>
        <v>-208.84000000002561</v>
      </c>
      <c r="N10" s="787"/>
      <c r="O10" s="787"/>
      <c r="P10" s="787"/>
      <c r="Q10" s="787"/>
      <c r="R10" s="787"/>
      <c r="S10" s="787"/>
      <c r="T10" s="787"/>
      <c r="V10" s="237">
        <f t="shared" si="1"/>
        <v>-208.84000000002561</v>
      </c>
    </row>
    <row r="11" spans="1:22">
      <c r="A11" s="205" t="s">
        <v>16</v>
      </c>
      <c r="B11" s="218">
        <f>'G-48 Price Out'!G130</f>
        <v>150677.44000000003</v>
      </c>
      <c r="C11" s="218">
        <f>'G-51 Price Out'!D72</f>
        <v>16535.43</v>
      </c>
      <c r="D11" s="237">
        <f t="shared" si="2"/>
        <v>167212.87000000002</v>
      </c>
      <c r="E11" s="243">
        <f>+'Bingen Consolidated IS'!C12</f>
        <v>168197.45</v>
      </c>
      <c r="F11" s="237">
        <f t="shared" si="0"/>
        <v>-984.57999999998719</v>
      </c>
      <c r="G11" s="221"/>
      <c r="H11" s="221"/>
      <c r="I11" s="223"/>
      <c r="J11" s="223"/>
      <c r="K11" s="222">
        <v>31000</v>
      </c>
      <c r="L11" s="223" t="s">
        <v>16</v>
      </c>
      <c r="M11" s="235">
        <f>F11+C17</f>
        <v>-8584.5799999999872</v>
      </c>
      <c r="N11" s="787"/>
      <c r="O11" s="787"/>
      <c r="P11" s="787"/>
      <c r="Q11" s="787"/>
      <c r="R11" s="787"/>
      <c r="S11" s="787"/>
      <c r="T11" s="787"/>
      <c r="V11" s="237">
        <f t="shared" si="1"/>
        <v>-8584.5799999999872</v>
      </c>
    </row>
    <row r="12" spans="1:22">
      <c r="A12" s="205" t="s">
        <v>17</v>
      </c>
      <c r="B12" s="218">
        <f>'G-48 Price Out'!G135</f>
        <v>157844.15</v>
      </c>
      <c r="C12" s="218">
        <f>'G-51 Price Out'!D77</f>
        <v>3445.06</v>
      </c>
      <c r="D12" s="237">
        <f t="shared" si="2"/>
        <v>161289.21</v>
      </c>
      <c r="E12" s="243">
        <f>+'Bingen Consolidated IS'!C13</f>
        <v>160600.41</v>
      </c>
      <c r="F12" s="237">
        <f t="shared" si="0"/>
        <v>688.79999999998836</v>
      </c>
      <c r="G12" s="221"/>
      <c r="H12" s="221"/>
      <c r="I12" s="223"/>
      <c r="J12" s="223"/>
      <c r="K12" s="222">
        <v>31005</v>
      </c>
      <c r="L12" s="223" t="s">
        <v>17</v>
      </c>
      <c r="M12" s="235">
        <f>F12</f>
        <v>688.79999999998836</v>
      </c>
      <c r="N12" s="401"/>
      <c r="O12" s="401"/>
      <c r="P12" s="401"/>
      <c r="Q12" s="401"/>
      <c r="R12" s="401"/>
      <c r="S12" s="401"/>
      <c r="T12" s="401"/>
      <c r="U12" s="202"/>
      <c r="V12" s="237">
        <f t="shared" si="1"/>
        <v>688.79999999998836</v>
      </c>
    </row>
    <row r="13" spans="1:22">
      <c r="A13" s="205" t="s">
        <v>18</v>
      </c>
      <c r="B13" s="218">
        <f>'G-48 Price Out'!G142</f>
        <v>5612.7999999999993</v>
      </c>
      <c r="C13" s="218">
        <f>'G-51 Price Out'!D84</f>
        <v>356.97999999999996</v>
      </c>
      <c r="D13" s="237">
        <f t="shared" ref="D13" si="3">SUM(B13:C13)</f>
        <v>5969.7799999999988</v>
      </c>
      <c r="E13" s="243">
        <f>+'Bingen Consolidated IS'!C14</f>
        <v>5743.72</v>
      </c>
      <c r="F13" s="237">
        <f t="shared" si="0"/>
        <v>226.05999999999858</v>
      </c>
      <c r="G13" s="221"/>
      <c r="H13" s="221"/>
      <c r="I13" s="223"/>
      <c r="J13" s="223"/>
      <c r="K13" s="222">
        <v>38000</v>
      </c>
      <c r="L13" s="223" t="s">
        <v>18</v>
      </c>
      <c r="M13" s="235">
        <f>F13</f>
        <v>226.05999999999858</v>
      </c>
      <c r="N13" s="787"/>
      <c r="O13" s="787"/>
      <c r="P13" s="787"/>
      <c r="Q13" s="787"/>
      <c r="R13" s="787"/>
      <c r="S13" s="787"/>
      <c r="T13" s="787"/>
      <c r="V13" s="237">
        <f t="shared" si="1"/>
        <v>226.05999999999858</v>
      </c>
    </row>
    <row r="14" spans="1:22">
      <c r="A14" s="205"/>
      <c r="B14" s="225"/>
      <c r="C14" s="433"/>
      <c r="D14" s="261"/>
      <c r="E14" s="254"/>
      <c r="F14" s="261"/>
      <c r="G14" s="221"/>
      <c r="H14" s="221"/>
      <c r="I14" s="223"/>
      <c r="J14" s="223"/>
      <c r="K14" s="222">
        <v>38001</v>
      </c>
      <c r="L14" s="223" t="s">
        <v>19</v>
      </c>
      <c r="M14" s="433">
        <f>F17</f>
        <v>0</v>
      </c>
      <c r="N14" s="225"/>
      <c r="O14" s="225"/>
      <c r="P14" s="225"/>
      <c r="Q14" s="225"/>
      <c r="R14" s="225"/>
      <c r="S14" s="225"/>
      <c r="T14" s="225"/>
      <c r="U14" s="226"/>
      <c r="V14" s="261">
        <f t="shared" si="1"/>
        <v>0</v>
      </c>
    </row>
    <row r="15" spans="1:22">
      <c r="B15" s="227">
        <f>SUM(B9:B14)</f>
        <v>1212601.3500000001</v>
      </c>
      <c r="C15" s="227">
        <f>SUM(C9:C14)</f>
        <v>95242.650000000009</v>
      </c>
      <c r="D15" s="227">
        <f>SUM(D9:D14)</f>
        <v>1307844.0000000002</v>
      </c>
      <c r="E15" s="227">
        <f>SUM(E9:E14)</f>
        <v>1308453.69</v>
      </c>
      <c r="F15" s="227">
        <f>SUM(F9:F14)</f>
        <v>-609.69000000003052</v>
      </c>
      <c r="G15" s="432">
        <f>F15/E15</f>
        <v>-4.6596223057770623E-4</v>
      </c>
      <c r="H15" s="432"/>
      <c r="I15" s="223"/>
      <c r="J15" s="223"/>
      <c r="M15" s="499">
        <f t="shared" ref="M15:V15" si="4">SUM(M9:M14)</f>
        <v>-8209.6900000000314</v>
      </c>
      <c r="N15" s="827">
        <f t="shared" si="4"/>
        <v>0</v>
      </c>
      <c r="O15" s="827">
        <f t="shared" si="4"/>
        <v>0</v>
      </c>
      <c r="P15" s="827">
        <f t="shared" si="4"/>
        <v>0</v>
      </c>
      <c r="Q15" s="827">
        <f t="shared" si="4"/>
        <v>0</v>
      </c>
      <c r="R15" s="827">
        <f t="shared" si="4"/>
        <v>0</v>
      </c>
      <c r="S15" s="827">
        <f t="shared" si="4"/>
        <v>0</v>
      </c>
      <c r="T15" s="827">
        <f t="shared" si="4"/>
        <v>0</v>
      </c>
      <c r="U15" s="228">
        <f t="shared" si="4"/>
        <v>0</v>
      </c>
      <c r="V15" s="227">
        <f t="shared" si="4"/>
        <v>-8209.6900000000314</v>
      </c>
    </row>
    <row r="16" spans="1:22">
      <c r="B16" s="228"/>
      <c r="C16" s="228"/>
      <c r="D16" s="228"/>
      <c r="E16" s="228"/>
      <c r="G16" s="221"/>
      <c r="H16" s="221"/>
      <c r="I16" s="223"/>
      <c r="J16" s="223"/>
      <c r="M16" s="787"/>
      <c r="N16" s="787"/>
      <c r="O16" s="787"/>
      <c r="P16" s="787"/>
      <c r="Q16" s="787"/>
      <c r="R16" s="787"/>
      <c r="S16" s="787"/>
      <c r="T16" s="787"/>
    </row>
    <row r="17" spans="1:22">
      <c r="A17" s="251" t="s">
        <v>1308</v>
      </c>
      <c r="B17" s="228"/>
      <c r="C17" s="228">
        <f>-[45]MM001Tranx!$J$36</f>
        <v>-7600</v>
      </c>
      <c r="D17" s="228"/>
      <c r="E17" s="228"/>
      <c r="F17" s="431"/>
      <c r="G17" s="230"/>
      <c r="H17" s="230"/>
      <c r="I17" s="223"/>
      <c r="J17" s="223"/>
      <c r="M17" s="787"/>
      <c r="N17" s="787"/>
      <c r="O17" s="787"/>
      <c r="P17" s="787"/>
      <c r="Q17" s="787"/>
      <c r="R17" s="787"/>
      <c r="S17" s="787"/>
      <c r="T17" s="787"/>
    </row>
    <row r="18" spans="1:22" ht="11.25" customHeight="1">
      <c r="C18" s="228">
        <f>F15+C17</f>
        <v>-8209.6900000000314</v>
      </c>
      <c r="D18" s="823" t="s">
        <v>13</v>
      </c>
      <c r="F18" s="219"/>
      <c r="G18" s="231"/>
      <c r="H18" s="231"/>
      <c r="I18" s="223"/>
      <c r="J18" s="223"/>
      <c r="M18" s="787"/>
      <c r="N18" s="787"/>
      <c r="O18" s="787"/>
      <c r="P18" s="787"/>
      <c r="Q18" s="787"/>
      <c r="R18" s="787"/>
      <c r="S18" s="787"/>
      <c r="T18" s="787"/>
    </row>
    <row r="19" spans="1:22" ht="6" customHeight="1">
      <c r="F19" s="232"/>
      <c r="I19" s="229"/>
      <c r="J19" s="229"/>
      <c r="M19" s="787"/>
      <c r="N19" s="787"/>
      <c r="O19" s="787"/>
      <c r="P19" s="787"/>
      <c r="Q19" s="787"/>
      <c r="R19" s="787"/>
      <c r="S19" s="787"/>
      <c r="T19" s="787"/>
    </row>
    <row r="20" spans="1:22">
      <c r="A20" s="209" t="s">
        <v>536</v>
      </c>
      <c r="B20" s="210"/>
      <c r="C20" s="210"/>
      <c r="D20" s="210"/>
      <c r="E20" s="210"/>
      <c r="F20" s="210"/>
      <c r="G20" s="210"/>
      <c r="H20" s="210"/>
      <c r="I20" s="223"/>
      <c r="J20" s="223"/>
      <c r="K20" s="216">
        <v>41200</v>
      </c>
      <c r="L20" s="234" t="s">
        <v>537</v>
      </c>
      <c r="M20" s="787"/>
      <c r="N20" s="787"/>
      <c r="O20" s="787"/>
      <c r="P20" s="787"/>
      <c r="Q20" s="787"/>
      <c r="R20" s="787"/>
      <c r="S20" s="787"/>
      <c r="T20" s="235"/>
      <c r="V20" s="227">
        <f t="shared" ref="V20:V51" si="5">SUM(M20:U20)</f>
        <v>0</v>
      </c>
    </row>
    <row r="21" spans="1:22">
      <c r="I21" s="223"/>
      <c r="J21" s="223"/>
      <c r="K21" s="216">
        <v>41310</v>
      </c>
      <c r="L21" s="234" t="s">
        <v>538</v>
      </c>
      <c r="M21" s="224"/>
      <c r="N21" s="235">
        <f>B25</f>
        <v>10098.200468132456</v>
      </c>
      <c r="O21" s="787"/>
      <c r="P21" s="787"/>
      <c r="Q21" s="224"/>
      <c r="R21" s="787"/>
      <c r="S21" s="787"/>
      <c r="T21" s="224"/>
      <c r="V21" s="227">
        <f t="shared" si="5"/>
        <v>10098.200468132456</v>
      </c>
    </row>
    <row r="22" spans="1:22">
      <c r="I22" s="223"/>
      <c r="J22" s="223"/>
      <c r="K22" s="216">
        <v>41311</v>
      </c>
      <c r="L22" s="234" t="s">
        <v>539</v>
      </c>
      <c r="M22" s="224"/>
      <c r="N22" s="235"/>
      <c r="O22" s="787"/>
      <c r="P22" s="787"/>
      <c r="Q22" s="787"/>
      <c r="R22" s="787"/>
      <c r="S22" s="787"/>
      <c r="T22" s="224"/>
      <c r="V22" s="227">
        <f t="shared" si="5"/>
        <v>0</v>
      </c>
    </row>
    <row r="23" spans="1:22" ht="15">
      <c r="A23" s="704"/>
      <c r="B23" s="745" t="s">
        <v>1273</v>
      </c>
      <c r="C23" s="704"/>
      <c r="E23" s="1310"/>
      <c r="F23" s="1310"/>
      <c r="I23" s="229"/>
      <c r="J23" s="229"/>
      <c r="K23" s="216">
        <v>41320</v>
      </c>
      <c r="L23" s="234" t="s">
        <v>39</v>
      </c>
      <c r="M23" s="224"/>
      <c r="N23" s="787"/>
      <c r="O23" s="787"/>
      <c r="P23" s="787"/>
      <c r="Q23" s="787"/>
      <c r="R23" s="787"/>
      <c r="S23" s="787"/>
      <c r="T23" s="787"/>
      <c r="V23" s="227">
        <f t="shared" si="5"/>
        <v>0</v>
      </c>
    </row>
    <row r="24" spans="1:22" ht="15">
      <c r="A24" s="708" t="s">
        <v>573</v>
      </c>
      <c r="B24" s="792">
        <f>'Payroll Schedule'!Y16</f>
        <v>9983.744881325425</v>
      </c>
      <c r="C24" s="746">
        <v>42300</v>
      </c>
      <c r="E24" s="239"/>
      <c r="F24" s="240"/>
      <c r="I24" s="233"/>
      <c r="J24" s="233"/>
      <c r="K24" s="216">
        <v>41330</v>
      </c>
      <c r="L24" s="234" t="s">
        <v>43</v>
      </c>
      <c r="M24" s="787"/>
      <c r="N24" s="787"/>
      <c r="O24" s="787"/>
      <c r="P24" s="787"/>
      <c r="Q24" s="787"/>
      <c r="R24" s="787"/>
      <c r="S24" s="787"/>
      <c r="T24" s="787"/>
      <c r="V24" s="227">
        <f t="shared" si="5"/>
        <v>0</v>
      </c>
    </row>
    <row r="25" spans="1:22" ht="15">
      <c r="A25" s="708" t="s">
        <v>570</v>
      </c>
      <c r="B25" s="792">
        <f>'Payroll Schedule'!Y21</f>
        <v>10098.200468132456</v>
      </c>
      <c r="C25" s="746">
        <v>41310</v>
      </c>
      <c r="E25" s="240"/>
      <c r="F25" s="241"/>
      <c r="I25" s="236"/>
      <c r="J25" s="236"/>
      <c r="K25" s="216">
        <v>41340</v>
      </c>
      <c r="L25" s="234" t="s">
        <v>44</v>
      </c>
      <c r="M25" s="787"/>
      <c r="N25" s="787"/>
      <c r="O25" s="787"/>
      <c r="P25" s="787"/>
      <c r="Q25" s="787"/>
      <c r="R25" s="787"/>
      <c r="S25" s="787"/>
      <c r="T25" s="787"/>
      <c r="V25" s="227">
        <f t="shared" si="5"/>
        <v>0</v>
      </c>
    </row>
    <row r="26" spans="1:22" ht="15">
      <c r="A26" s="708" t="s">
        <v>1274</v>
      </c>
      <c r="B26" s="792">
        <f>'Payroll Schedule'!Y34</f>
        <v>43.077889588074854</v>
      </c>
      <c r="C26" s="746">
        <v>42100</v>
      </c>
      <c r="E26" s="240"/>
      <c r="F26" s="241"/>
      <c r="I26" s="236"/>
      <c r="J26" s="236"/>
      <c r="K26" s="216">
        <v>41600</v>
      </c>
      <c r="L26" s="234" t="s">
        <v>46</v>
      </c>
      <c r="M26" s="787"/>
      <c r="N26" s="787"/>
      <c r="O26" s="787"/>
      <c r="P26" s="787"/>
      <c r="Q26" s="787"/>
      <c r="R26" s="787"/>
      <c r="S26" s="787"/>
      <c r="T26" s="787"/>
      <c r="V26" s="227">
        <f t="shared" si="5"/>
        <v>0</v>
      </c>
    </row>
    <row r="27" spans="1:22" ht="15">
      <c r="A27" s="708" t="s">
        <v>279</v>
      </c>
      <c r="B27" s="794">
        <f>'Payroll Schedule'!Y29</f>
        <v>2128.4979608101598</v>
      </c>
      <c r="C27" s="746">
        <v>46130</v>
      </c>
      <c r="I27" s="236"/>
      <c r="J27" s="236"/>
      <c r="K27" s="216">
        <v>41800</v>
      </c>
      <c r="L27" s="234" t="s">
        <v>47</v>
      </c>
      <c r="M27" s="787"/>
      <c r="N27" s="787"/>
      <c r="O27" s="787"/>
      <c r="P27" s="787"/>
      <c r="Q27" s="787"/>
      <c r="R27" s="787"/>
      <c r="S27" s="787"/>
      <c r="T27" s="787"/>
      <c r="V27" s="227">
        <f t="shared" si="5"/>
        <v>0</v>
      </c>
    </row>
    <row r="28" spans="1:22" ht="15">
      <c r="A28" s="704"/>
      <c r="B28" s="788">
        <f>SUM(B24:B27)</f>
        <v>22253.521199856117</v>
      </c>
      <c r="C28" s="747" t="s">
        <v>76</v>
      </c>
      <c r="I28" s="229"/>
      <c r="J28" s="229"/>
      <c r="K28" s="216">
        <v>42100</v>
      </c>
      <c r="L28" s="234" t="s">
        <v>60</v>
      </c>
      <c r="M28" s="787"/>
      <c r="N28" s="235">
        <f>B26</f>
        <v>43.077889588074854</v>
      </c>
      <c r="O28" s="787"/>
      <c r="P28" s="787"/>
      <c r="Q28" s="224"/>
      <c r="R28" s="787"/>
      <c r="S28" s="787"/>
      <c r="T28" s="787"/>
      <c r="V28" s="227">
        <f t="shared" si="5"/>
        <v>43.077889588074854</v>
      </c>
    </row>
    <row r="29" spans="1:22" ht="15">
      <c r="A29" s="704"/>
      <c r="B29" s="704"/>
      <c r="C29" s="704"/>
      <c r="I29" s="233"/>
      <c r="J29" s="233"/>
      <c r="K29" s="216">
        <v>42300</v>
      </c>
      <c r="L29" s="234" t="s">
        <v>65</v>
      </c>
      <c r="M29" s="787"/>
      <c r="N29" s="235">
        <f>B24</f>
        <v>9983.744881325425</v>
      </c>
      <c r="O29" s="787"/>
      <c r="P29" s="787"/>
      <c r="Q29" s="224"/>
      <c r="R29" s="787"/>
      <c r="S29" s="787"/>
      <c r="T29" s="787"/>
      <c r="V29" s="227">
        <f t="shared" si="5"/>
        <v>9983.744881325425</v>
      </c>
    </row>
    <row r="30" spans="1:22" ht="15">
      <c r="A30" s="704"/>
      <c r="B30" s="704"/>
      <c r="C30" s="704"/>
      <c r="D30" s="227"/>
      <c r="I30" s="223"/>
      <c r="J30" s="223"/>
      <c r="K30" s="216">
        <v>42315</v>
      </c>
      <c r="L30" s="234" t="s">
        <v>48</v>
      </c>
      <c r="M30" s="787"/>
      <c r="N30" s="787"/>
      <c r="O30" s="787"/>
      <c r="P30" s="787"/>
      <c r="Q30" s="224"/>
      <c r="R30" s="787"/>
      <c r="S30" s="787"/>
      <c r="T30" s="787"/>
      <c r="V30" s="227">
        <f t="shared" si="5"/>
        <v>0</v>
      </c>
    </row>
    <row r="31" spans="1:22" ht="15">
      <c r="A31" s="704"/>
      <c r="B31" s="745" t="s">
        <v>305</v>
      </c>
      <c r="C31" s="704"/>
      <c r="D31" s="202"/>
      <c r="I31" s="229"/>
      <c r="J31" s="229"/>
      <c r="K31" s="216">
        <v>42400</v>
      </c>
      <c r="L31" s="234" t="s">
        <v>69</v>
      </c>
      <c r="M31" s="787"/>
      <c r="N31" s="787"/>
      <c r="O31" s="787"/>
      <c r="P31" s="787"/>
      <c r="Q31" s="787"/>
      <c r="R31" s="787"/>
      <c r="S31" s="787"/>
      <c r="T31" s="787"/>
      <c r="V31" s="227">
        <f t="shared" si="5"/>
        <v>0</v>
      </c>
    </row>
    <row r="32" spans="1:22" ht="15">
      <c r="A32" s="708" t="s">
        <v>573</v>
      </c>
      <c r="B32" s="789">
        <f>B24*0.0765</f>
        <v>763.75648342139505</v>
      </c>
      <c r="C32" s="746"/>
      <c r="D32" s="202"/>
      <c r="I32" s="229"/>
      <c r="J32" s="229"/>
      <c r="K32" s="216">
        <v>42800</v>
      </c>
      <c r="L32" s="234" t="s">
        <v>70</v>
      </c>
      <c r="M32" s="787"/>
      <c r="N32" s="787"/>
      <c r="O32" s="787"/>
      <c r="P32" s="787"/>
      <c r="Q32" s="787"/>
      <c r="R32" s="787"/>
      <c r="S32" s="787"/>
      <c r="T32" s="787"/>
      <c r="V32" s="227">
        <f t="shared" si="5"/>
        <v>0</v>
      </c>
    </row>
    <row r="33" spans="1:22" ht="15">
      <c r="A33" s="708" t="s">
        <v>570</v>
      </c>
      <c r="B33" s="789">
        <f>B25*0.0765</f>
        <v>772.51233581213285</v>
      </c>
      <c r="C33" s="746"/>
      <c r="D33" s="202"/>
      <c r="I33" s="242"/>
      <c r="J33" s="242"/>
      <c r="K33" s="222">
        <v>40101</v>
      </c>
      <c r="L33" s="234" t="s">
        <v>75</v>
      </c>
      <c r="M33" s="787"/>
      <c r="N33" s="224"/>
      <c r="O33" s="787"/>
      <c r="P33" s="787"/>
      <c r="Q33" s="787"/>
      <c r="R33" s="787"/>
      <c r="S33" s="787"/>
      <c r="T33" s="787"/>
      <c r="V33" s="227">
        <f t="shared" si="5"/>
        <v>0</v>
      </c>
    </row>
    <row r="34" spans="1:22" ht="15">
      <c r="A34" s="708" t="s">
        <v>1274</v>
      </c>
      <c r="B34" s="789">
        <f t="shared" ref="B34:B35" si="6">B26*0.0765</f>
        <v>3.2954585534877263</v>
      </c>
      <c r="C34" s="746"/>
      <c r="I34" s="242"/>
      <c r="J34" s="242"/>
      <c r="K34" s="222"/>
      <c r="L34" s="234" t="s">
        <v>540</v>
      </c>
      <c r="M34" s="787"/>
      <c r="N34" s="787"/>
      <c r="O34" s="787"/>
      <c r="P34" s="787"/>
      <c r="Q34" s="787"/>
      <c r="R34" s="787"/>
      <c r="S34" s="787"/>
      <c r="T34" s="787"/>
      <c r="V34" s="227">
        <f t="shared" si="5"/>
        <v>0</v>
      </c>
    </row>
    <row r="35" spans="1:22" ht="15">
      <c r="A35" s="708" t="s">
        <v>279</v>
      </c>
      <c r="B35" s="793">
        <f t="shared" si="6"/>
        <v>162.83009400197722</v>
      </c>
      <c r="C35" s="746"/>
      <c r="D35" s="227"/>
      <c r="I35" s="223"/>
      <c r="J35" s="223"/>
      <c r="K35" s="222">
        <v>40121</v>
      </c>
      <c r="L35" s="234" t="s">
        <v>541</v>
      </c>
      <c r="M35" s="787"/>
      <c r="N35" s="787"/>
      <c r="O35" s="787"/>
      <c r="P35" s="787"/>
      <c r="Q35" s="787"/>
      <c r="R35" s="787"/>
      <c r="S35" s="787"/>
      <c r="T35" s="787"/>
      <c r="V35" s="227">
        <f t="shared" si="5"/>
        <v>0</v>
      </c>
    </row>
    <row r="36" spans="1:22" ht="15">
      <c r="A36" s="704"/>
      <c r="B36" s="788">
        <f>SUM(B32:B35)</f>
        <v>1702.3943717889929</v>
      </c>
      <c r="C36" s="747" t="s">
        <v>76</v>
      </c>
      <c r="D36" s="202"/>
      <c r="I36" s="223"/>
      <c r="J36" s="223"/>
      <c r="K36" s="222">
        <v>40131</v>
      </c>
      <c r="L36" s="234" t="s">
        <v>542</v>
      </c>
      <c r="M36" s="787"/>
      <c r="N36" s="787"/>
      <c r="O36" s="787"/>
      <c r="P36" s="787"/>
      <c r="Q36" s="787"/>
      <c r="R36" s="787"/>
      <c r="S36" s="787"/>
      <c r="T36" s="787"/>
      <c r="V36" s="227">
        <f t="shared" si="5"/>
        <v>0</v>
      </c>
    </row>
    <row r="37" spans="1:22" ht="15">
      <c r="A37" s="704"/>
      <c r="B37" s="713"/>
      <c r="C37" s="747"/>
      <c r="D37" s="202"/>
      <c r="E37" s="666"/>
      <c r="F37" s="666"/>
      <c r="G37" s="666"/>
      <c r="I37" s="223"/>
      <c r="J37" s="223"/>
      <c r="K37" s="216">
        <v>43600</v>
      </c>
      <c r="L37" s="234" t="s">
        <v>74</v>
      </c>
      <c r="M37" s="787"/>
      <c r="N37" s="787"/>
      <c r="O37" s="787"/>
      <c r="P37" s="787"/>
      <c r="Q37" s="787"/>
      <c r="R37" s="787"/>
      <c r="S37" s="787"/>
      <c r="T37" s="787"/>
      <c r="V37" s="227">
        <f t="shared" si="5"/>
        <v>0</v>
      </c>
    </row>
    <row r="38" spans="1:22" ht="15">
      <c r="A38" s="704"/>
      <c r="B38" s="713"/>
      <c r="C38" s="747"/>
      <c r="D38" s="202"/>
      <c r="E38" s="666"/>
      <c r="F38" s="666"/>
      <c r="G38" s="666"/>
      <c r="I38" s="223"/>
      <c r="J38" s="223"/>
      <c r="K38" s="216">
        <v>43800</v>
      </c>
      <c r="L38" s="234" t="s">
        <v>543</v>
      </c>
      <c r="M38" s="787"/>
      <c r="N38" s="787"/>
      <c r="O38" s="787"/>
      <c r="P38" s="787"/>
      <c r="Q38" s="787"/>
      <c r="R38" s="787"/>
      <c r="S38" s="787"/>
      <c r="T38" s="787"/>
      <c r="V38" s="227">
        <f t="shared" si="5"/>
        <v>0</v>
      </c>
    </row>
    <row r="39" spans="1:22">
      <c r="A39" s="209" t="s">
        <v>544</v>
      </c>
      <c r="B39" s="210"/>
      <c r="C39" s="210"/>
      <c r="D39" s="210"/>
      <c r="E39" s="210"/>
      <c r="F39" s="210"/>
      <c r="G39" s="210"/>
      <c r="H39" s="210"/>
      <c r="I39" s="223"/>
      <c r="J39" s="223"/>
      <c r="K39" s="216">
        <v>44000</v>
      </c>
      <c r="L39" s="234" t="s">
        <v>80</v>
      </c>
      <c r="M39" s="787"/>
      <c r="N39" s="787"/>
      <c r="O39" s="787"/>
      <c r="P39" s="787"/>
      <c r="Q39" s="787"/>
      <c r="R39" s="787"/>
      <c r="S39" s="787"/>
      <c r="T39" s="787"/>
      <c r="V39" s="227">
        <f t="shared" si="5"/>
        <v>0</v>
      </c>
    </row>
    <row r="40" spans="1:22">
      <c r="A40" s="787"/>
      <c r="I40" s="223"/>
      <c r="J40" s="223"/>
      <c r="K40" s="216">
        <v>44300</v>
      </c>
      <c r="L40" s="234" t="s">
        <v>81</v>
      </c>
      <c r="M40" s="787"/>
      <c r="N40" s="787"/>
      <c r="O40" s="787"/>
      <c r="P40" s="235">
        <f>B63</f>
        <v>-53.758876999998392</v>
      </c>
      <c r="Q40" s="787"/>
      <c r="R40" s="244"/>
      <c r="S40" s="787"/>
      <c r="T40" s="787"/>
      <c r="V40" s="227">
        <f t="shared" si="5"/>
        <v>-53.758876999998392</v>
      </c>
    </row>
    <row r="41" spans="1:22">
      <c r="A41" s="248" t="s">
        <v>545</v>
      </c>
      <c r="I41" s="229"/>
      <c r="J41" s="229"/>
      <c r="K41" s="216">
        <v>44500</v>
      </c>
      <c r="L41" s="234" t="s">
        <v>85</v>
      </c>
      <c r="M41" s="787"/>
      <c r="N41" s="787"/>
      <c r="O41" s="787"/>
      <c r="P41" s="787"/>
      <c r="Q41" s="787"/>
      <c r="R41" s="787"/>
      <c r="S41" s="808"/>
      <c r="T41" s="785"/>
      <c r="V41" s="227">
        <f t="shared" si="5"/>
        <v>0</v>
      </c>
    </row>
    <row r="42" spans="1:22">
      <c r="I42" s="229"/>
      <c r="J42" s="229"/>
      <c r="K42" s="222">
        <v>45300</v>
      </c>
      <c r="L42" s="234" t="s">
        <v>89</v>
      </c>
      <c r="M42" s="787"/>
      <c r="N42" s="787"/>
      <c r="O42" s="787"/>
      <c r="P42" s="235"/>
      <c r="Q42" s="787"/>
      <c r="R42" s="787"/>
      <c r="S42" s="787"/>
      <c r="T42" s="785"/>
      <c r="V42" s="227">
        <f t="shared" si="5"/>
        <v>0</v>
      </c>
    </row>
    <row r="43" spans="1:22">
      <c r="A43" s="205" t="s">
        <v>84</v>
      </c>
      <c r="B43" s="243">
        <f>+'Bingen Consolidated IS'!E16</f>
        <v>1301674.7300000002</v>
      </c>
      <c r="I43" s="242"/>
      <c r="J43" s="242"/>
      <c r="K43" s="216">
        <v>45400</v>
      </c>
      <c r="L43" s="234" t="s">
        <v>91</v>
      </c>
      <c r="M43" s="787"/>
      <c r="N43" s="787"/>
      <c r="O43" s="787"/>
      <c r="P43" s="787"/>
      <c r="Q43" s="787"/>
      <c r="R43" s="787"/>
      <c r="S43" s="808">
        <f>B97</f>
        <v>-16089.885</v>
      </c>
      <c r="T43" s="785"/>
      <c r="V43" s="227">
        <f t="shared" si="5"/>
        <v>-16089.885</v>
      </c>
    </row>
    <row r="44" spans="1:22">
      <c r="A44" s="205" t="s">
        <v>546</v>
      </c>
      <c r="B44" s="250">
        <f>+'Corp OH'!E90</f>
        <v>1.818184516465559E-2</v>
      </c>
      <c r="I44" s="223"/>
      <c r="J44" s="223"/>
      <c r="K44" s="216">
        <v>46100</v>
      </c>
      <c r="L44" s="234" t="s">
        <v>101</v>
      </c>
      <c r="M44" s="787"/>
      <c r="N44" s="787"/>
      <c r="O44" s="235">
        <f>B48</f>
        <v>-2938.9316043951294</v>
      </c>
      <c r="P44" s="787"/>
      <c r="Q44" s="787"/>
      <c r="R44" s="787"/>
      <c r="S44" s="787"/>
      <c r="T44" s="785"/>
      <c r="V44" s="227">
        <f t="shared" si="5"/>
        <v>-2938.9316043951294</v>
      </c>
    </row>
    <row r="45" spans="1:22">
      <c r="A45" s="205"/>
      <c r="B45" s="237">
        <f>B43*B44</f>
        <v>23666.848395604873</v>
      </c>
      <c r="I45" s="223"/>
      <c r="J45" s="223"/>
      <c r="K45" s="216">
        <v>46130</v>
      </c>
      <c r="L45" s="234" t="s">
        <v>100</v>
      </c>
      <c r="M45" s="246"/>
      <c r="N45" s="828">
        <f>B27</f>
        <v>2128.4979608101598</v>
      </c>
      <c r="O45" s="246"/>
      <c r="P45" s="246"/>
      <c r="Q45" s="829"/>
      <c r="R45" s="246"/>
      <c r="S45" s="246"/>
      <c r="T45" s="830">
        <f>B101</f>
        <v>1822.1762398450808</v>
      </c>
      <c r="U45" s="245"/>
      <c r="V45" s="227">
        <f t="shared" si="5"/>
        <v>3950.6742006552404</v>
      </c>
    </row>
    <row r="46" spans="1:22">
      <c r="K46" s="216">
        <v>46200</v>
      </c>
      <c r="L46" s="234" t="s">
        <v>117</v>
      </c>
      <c r="M46" s="787"/>
      <c r="N46" s="787"/>
      <c r="O46" s="787"/>
      <c r="P46" s="787"/>
      <c r="Q46" s="787"/>
      <c r="R46" s="787"/>
      <c r="S46" s="808"/>
      <c r="T46" s="785"/>
      <c r="V46" s="227">
        <f t="shared" si="5"/>
        <v>0</v>
      </c>
    </row>
    <row r="47" spans="1:22">
      <c r="A47" s="205" t="s">
        <v>332</v>
      </c>
      <c r="B47" s="238">
        <f>+'Bingen Consolidated IS'!C141</f>
        <v>26605.780000000002</v>
      </c>
      <c r="C47" s="207"/>
      <c r="K47" s="216">
        <v>46300</v>
      </c>
      <c r="L47" s="234" t="s">
        <v>118</v>
      </c>
      <c r="M47" s="787"/>
      <c r="N47" s="787"/>
      <c r="O47" s="787"/>
      <c r="P47" s="787"/>
      <c r="Q47" s="787"/>
      <c r="R47" s="787"/>
      <c r="S47" s="787"/>
      <c r="T47" s="785"/>
      <c r="V47" s="227">
        <f t="shared" si="5"/>
        <v>0</v>
      </c>
    </row>
    <row r="48" spans="1:22">
      <c r="A48" s="251" t="s">
        <v>333</v>
      </c>
      <c r="B48" s="227">
        <f>B45-B47</f>
        <v>-2938.9316043951294</v>
      </c>
      <c r="C48" s="231" t="s">
        <v>103</v>
      </c>
      <c r="K48" s="216">
        <v>46400</v>
      </c>
      <c r="L48" s="234" t="s">
        <v>121</v>
      </c>
      <c r="M48" s="787"/>
      <c r="N48" s="787"/>
      <c r="O48" s="787"/>
      <c r="P48" s="787"/>
      <c r="Q48" s="787"/>
      <c r="R48" s="787"/>
      <c r="S48" s="787"/>
      <c r="T48" s="785"/>
      <c r="V48" s="227">
        <f t="shared" si="5"/>
        <v>0</v>
      </c>
    </row>
    <row r="49" spans="1:22">
      <c r="C49" s="207"/>
      <c r="K49" s="216">
        <v>46410</v>
      </c>
      <c r="L49" s="234" t="s">
        <v>122</v>
      </c>
      <c r="M49" s="787"/>
      <c r="N49" s="787"/>
      <c r="O49" s="787"/>
      <c r="P49" s="787"/>
      <c r="Q49" s="787"/>
      <c r="R49" s="787"/>
      <c r="S49" s="787"/>
      <c r="T49" s="785"/>
      <c r="V49" s="227">
        <f t="shared" si="5"/>
        <v>0</v>
      </c>
    </row>
    <row r="50" spans="1:22">
      <c r="A50" s="252" t="s">
        <v>548</v>
      </c>
      <c r="C50" s="207"/>
      <c r="K50" s="216">
        <v>46500</v>
      </c>
      <c r="L50" s="234" t="s">
        <v>123</v>
      </c>
      <c r="M50" s="787"/>
      <c r="N50" s="787"/>
      <c r="O50" s="787"/>
      <c r="P50" s="787"/>
      <c r="Q50" s="787"/>
      <c r="R50" s="787"/>
      <c r="S50" s="787"/>
      <c r="T50" s="785"/>
      <c r="V50" s="227">
        <f t="shared" si="5"/>
        <v>0</v>
      </c>
    </row>
    <row r="51" spans="1:22">
      <c r="C51" s="207"/>
      <c r="K51" s="216">
        <v>46510</v>
      </c>
      <c r="L51" s="234" t="s">
        <v>125</v>
      </c>
      <c r="M51" s="787"/>
      <c r="N51" s="787"/>
      <c r="O51" s="787"/>
      <c r="P51" s="787"/>
      <c r="Q51" s="787"/>
      <c r="R51" s="787"/>
      <c r="S51" s="787"/>
      <c r="T51" s="785"/>
      <c r="V51" s="227">
        <f t="shared" si="5"/>
        <v>0</v>
      </c>
    </row>
    <row r="52" spans="1:22">
      <c r="A52" s="203" t="s">
        <v>332</v>
      </c>
      <c r="B52" s="243">
        <f>'Bingen Consolidated IS'!C187</f>
        <v>4429.28</v>
      </c>
      <c r="C52" s="207"/>
      <c r="K52" s="216">
        <v>46700</v>
      </c>
      <c r="L52" s="234" t="s">
        <v>126</v>
      </c>
      <c r="M52" s="787"/>
      <c r="N52" s="787"/>
      <c r="O52" s="787"/>
      <c r="P52" s="787"/>
      <c r="Q52" s="787"/>
      <c r="R52" s="247">
        <f>B93</f>
        <v>-670.48999999999887</v>
      </c>
      <c r="S52" s="787"/>
      <c r="T52" s="785"/>
      <c r="V52" s="227">
        <f t="shared" ref="V52:V70" si="7">SUM(M52:U52)</f>
        <v>-670.48999999999887</v>
      </c>
    </row>
    <row r="53" spans="1:22">
      <c r="A53" s="203" t="s">
        <v>549</v>
      </c>
      <c r="B53" s="433">
        <f>'Region OH Calc'!AJ49</f>
        <v>3763.2531848055837</v>
      </c>
      <c r="C53" s="207"/>
      <c r="K53" s="216">
        <v>46900</v>
      </c>
      <c r="L53" s="234" t="s">
        <v>130</v>
      </c>
      <c r="M53" s="787"/>
      <c r="N53" s="787"/>
      <c r="O53" s="235">
        <f>B54</f>
        <v>-666.02681519441603</v>
      </c>
      <c r="P53" s="249"/>
      <c r="Q53" s="787"/>
      <c r="R53" s="235"/>
      <c r="S53" s="808"/>
      <c r="T53" s="785"/>
      <c r="V53" s="227">
        <f t="shared" si="7"/>
        <v>-666.02681519441603</v>
      </c>
    </row>
    <row r="54" spans="1:22">
      <c r="A54" s="251" t="s">
        <v>550</v>
      </c>
      <c r="B54" s="499">
        <f>B53-B52</f>
        <v>-666.02681519441603</v>
      </c>
      <c r="C54" s="231" t="s">
        <v>103</v>
      </c>
      <c r="K54" s="216">
        <v>51260</v>
      </c>
      <c r="L54" s="234" t="s">
        <v>154</v>
      </c>
      <c r="M54" s="787"/>
      <c r="N54" s="787"/>
      <c r="O54" s="787"/>
      <c r="P54" s="787"/>
      <c r="Q54" s="235">
        <f t="shared" ref="Q54:Q59" si="8">E68</f>
        <v>34471.038113015849</v>
      </c>
      <c r="R54" s="787"/>
      <c r="S54" s="224"/>
      <c r="T54" s="785"/>
      <c r="V54" s="227">
        <f t="shared" si="7"/>
        <v>34471.038113015849</v>
      </c>
    </row>
    <row r="55" spans="1:22">
      <c r="K55" s="216">
        <v>54260</v>
      </c>
      <c r="L55" s="234" t="s">
        <v>157</v>
      </c>
      <c r="M55" s="787"/>
      <c r="N55" s="787"/>
      <c r="O55" s="787"/>
      <c r="P55" s="787"/>
      <c r="Q55" s="235">
        <f t="shared" si="8"/>
        <v>6131.6271111106398</v>
      </c>
      <c r="R55" s="787"/>
      <c r="S55" s="224"/>
      <c r="T55" s="785"/>
      <c r="V55" s="227">
        <f t="shared" si="7"/>
        <v>6131.6271111106398</v>
      </c>
    </row>
    <row r="56" spans="1:22">
      <c r="A56" s="209" t="s">
        <v>552</v>
      </c>
      <c r="B56" s="210"/>
      <c r="C56" s="210"/>
      <c r="D56" s="210"/>
      <c r="E56" s="210"/>
      <c r="F56" s="210"/>
      <c r="G56" s="210"/>
      <c r="H56" s="210"/>
      <c r="K56" s="216"/>
      <c r="L56" s="234" t="s">
        <v>158</v>
      </c>
      <c r="M56" s="787"/>
      <c r="N56" s="787"/>
      <c r="O56" s="787"/>
      <c r="P56" s="787"/>
      <c r="Q56" s="235">
        <f t="shared" si="8"/>
        <v>0</v>
      </c>
      <c r="R56" s="787"/>
      <c r="S56" s="224"/>
      <c r="T56" s="785"/>
      <c r="V56" s="227">
        <f t="shared" si="7"/>
        <v>0</v>
      </c>
    </row>
    <row r="57" spans="1:22">
      <c r="A57" s="787"/>
      <c r="K57" s="216">
        <v>57260</v>
      </c>
      <c r="L57" s="234" t="s">
        <v>159</v>
      </c>
      <c r="M57" s="787"/>
      <c r="N57" s="787"/>
      <c r="O57" s="787"/>
      <c r="P57" s="787"/>
      <c r="Q57" s="235">
        <f t="shared" si="8"/>
        <v>14554.21441</v>
      </c>
      <c r="R57" s="787"/>
      <c r="S57" s="224"/>
      <c r="T57" s="785"/>
      <c r="V57" s="227">
        <f t="shared" si="7"/>
        <v>14554.21441</v>
      </c>
    </row>
    <row r="58" spans="1:22">
      <c r="A58" s="205" t="s">
        <v>553</v>
      </c>
      <c r="B58" s="243">
        <f>'Bingen Consolidated IS'!H16</f>
        <v>1301674.7300000002</v>
      </c>
      <c r="K58" s="216">
        <v>70260</v>
      </c>
      <c r="L58" s="234" t="s">
        <v>160</v>
      </c>
      <c r="M58" s="787"/>
      <c r="N58" s="787"/>
      <c r="O58" s="787"/>
      <c r="P58" s="787"/>
      <c r="Q58" s="235">
        <f t="shared" si="8"/>
        <v>-1579.2359999999999</v>
      </c>
      <c r="R58" s="787"/>
      <c r="S58" s="224"/>
      <c r="T58" s="785"/>
      <c r="V58" s="227">
        <f t="shared" si="7"/>
        <v>-1579.2359999999999</v>
      </c>
    </row>
    <row r="59" spans="1:22">
      <c r="A59" s="205" t="s">
        <v>82</v>
      </c>
      <c r="B59" s="253">
        <v>5.1000000000000004E-3</v>
      </c>
      <c r="K59" s="216"/>
      <c r="L59" s="205" t="s">
        <v>161</v>
      </c>
      <c r="M59" s="787"/>
      <c r="N59" s="787"/>
      <c r="O59" s="787"/>
      <c r="P59" s="787"/>
      <c r="Q59" s="235">
        <f t="shared" si="8"/>
        <v>0</v>
      </c>
      <c r="R59" s="787"/>
      <c r="S59" s="224"/>
      <c r="T59" s="785"/>
      <c r="V59" s="227">
        <f t="shared" si="7"/>
        <v>0</v>
      </c>
    </row>
    <row r="60" spans="1:22">
      <c r="A60" s="205" t="s">
        <v>554</v>
      </c>
      <c r="B60" s="243">
        <f>B58*B59</f>
        <v>6638.5411230000018</v>
      </c>
      <c r="K60" s="216">
        <v>70264</v>
      </c>
      <c r="L60" s="205" t="s">
        <v>162</v>
      </c>
      <c r="M60" s="787"/>
      <c r="N60" s="787"/>
      <c r="O60" s="787"/>
      <c r="P60" s="787"/>
      <c r="Q60" s="787"/>
      <c r="R60" s="787"/>
      <c r="S60" s="224"/>
      <c r="T60" s="785"/>
      <c r="V60" s="227">
        <f t="shared" si="7"/>
        <v>0</v>
      </c>
    </row>
    <row r="61" spans="1:22">
      <c r="K61" s="216">
        <v>91010</v>
      </c>
      <c r="L61" s="234" t="s">
        <v>547</v>
      </c>
      <c r="M61" s="787"/>
      <c r="N61" s="787"/>
      <c r="O61" s="787"/>
      <c r="P61" s="787"/>
      <c r="Q61" s="787"/>
      <c r="R61" s="787"/>
      <c r="S61" s="787"/>
      <c r="T61" s="785"/>
      <c r="V61" s="227">
        <f t="shared" si="7"/>
        <v>0</v>
      </c>
    </row>
    <row r="62" spans="1:22">
      <c r="A62" s="205" t="s">
        <v>555</v>
      </c>
      <c r="B62" s="254">
        <f>'Bingen Consolidated IS'!C112</f>
        <v>6692.3</v>
      </c>
      <c r="K62" s="216">
        <v>52000</v>
      </c>
      <c r="L62" s="234" t="s">
        <v>163</v>
      </c>
      <c r="M62" s="787"/>
      <c r="N62" s="787"/>
      <c r="O62" s="787"/>
      <c r="P62" s="787"/>
      <c r="Q62" s="787"/>
      <c r="R62" s="787"/>
      <c r="S62" s="787"/>
      <c r="T62" s="785"/>
      <c r="V62" s="227">
        <f t="shared" si="7"/>
        <v>0</v>
      </c>
    </row>
    <row r="63" spans="1:22">
      <c r="A63" s="251" t="s">
        <v>556</v>
      </c>
      <c r="B63" s="227">
        <f>B60-B62</f>
        <v>-53.758876999998392</v>
      </c>
      <c r="C63" s="231" t="s">
        <v>94</v>
      </c>
      <c r="K63" s="216">
        <v>52030</v>
      </c>
      <c r="L63" s="234" t="s">
        <v>166</v>
      </c>
      <c r="M63" s="787"/>
      <c r="N63" s="787"/>
      <c r="O63" s="787"/>
      <c r="P63" s="787"/>
      <c r="Q63" s="787"/>
      <c r="R63" s="787"/>
      <c r="S63" s="808"/>
      <c r="T63" s="785"/>
      <c r="V63" s="227">
        <f t="shared" si="7"/>
        <v>0</v>
      </c>
    </row>
    <row r="64" spans="1:22">
      <c r="C64" s="255"/>
      <c r="K64" s="216">
        <v>52200</v>
      </c>
      <c r="L64" s="234" t="s">
        <v>168</v>
      </c>
      <c r="M64" s="787"/>
      <c r="N64" s="787"/>
      <c r="O64" s="787"/>
      <c r="P64" s="787"/>
      <c r="Q64" s="787"/>
      <c r="R64" s="787"/>
      <c r="S64" s="787"/>
      <c r="T64" s="785"/>
      <c r="V64" s="227">
        <f t="shared" si="7"/>
        <v>0</v>
      </c>
    </row>
    <row r="65" spans="1:24">
      <c r="A65" s="209" t="s">
        <v>557</v>
      </c>
      <c r="B65" s="210"/>
      <c r="C65" s="210"/>
      <c r="D65" s="210"/>
      <c r="E65" s="210"/>
      <c r="F65" s="210"/>
      <c r="G65" s="210"/>
      <c r="H65" s="210"/>
      <c r="K65" s="216">
        <v>52300</v>
      </c>
      <c r="L65" s="234" t="s">
        <v>260</v>
      </c>
      <c r="M65" s="787"/>
      <c r="N65" s="787"/>
      <c r="O65" s="787"/>
      <c r="P65" s="787"/>
      <c r="Q65" s="787"/>
      <c r="R65" s="787"/>
      <c r="S65" s="787"/>
      <c r="T65" s="785"/>
      <c r="V65" s="227">
        <f t="shared" si="7"/>
        <v>0</v>
      </c>
    </row>
    <row r="66" spans="1:24">
      <c r="A66" s="787"/>
      <c r="K66" s="216">
        <v>52400</v>
      </c>
      <c r="L66" s="234" t="s">
        <v>171</v>
      </c>
      <c r="M66" s="787"/>
      <c r="N66" s="235">
        <f>B36</f>
        <v>1702.3943717889929</v>
      </c>
      <c r="O66" s="787"/>
      <c r="P66" s="787"/>
      <c r="Q66" s="224"/>
      <c r="R66" s="787"/>
      <c r="S66" s="787"/>
      <c r="T66" s="785">
        <f>B102</f>
        <v>139.39648234814868</v>
      </c>
      <c r="V66" s="227">
        <f t="shared" si="7"/>
        <v>1841.7908541371417</v>
      </c>
    </row>
    <row r="67" spans="1:24">
      <c r="C67" s="256" t="s">
        <v>332</v>
      </c>
      <c r="D67" s="256" t="s">
        <v>558</v>
      </c>
      <c r="E67" s="256" t="s">
        <v>556</v>
      </c>
      <c r="K67" s="222">
        <v>52700</v>
      </c>
      <c r="L67" s="234" t="s">
        <v>551</v>
      </c>
      <c r="M67" s="787"/>
      <c r="N67" s="787"/>
      <c r="O67" s="787"/>
      <c r="P67" s="787"/>
      <c r="Q67" s="787"/>
      <c r="R67" s="787"/>
      <c r="S67" s="787"/>
      <c r="T67" s="787"/>
      <c r="V67" s="227">
        <f t="shared" si="7"/>
        <v>0</v>
      </c>
    </row>
    <row r="68" spans="1:24">
      <c r="A68" s="205">
        <v>51260</v>
      </c>
      <c r="B68" s="205" t="s">
        <v>154</v>
      </c>
      <c r="C68" s="243">
        <f>'Bingen Consolidated IS'!C202</f>
        <v>131907.93000000002</v>
      </c>
      <c r="D68" s="218">
        <f>'Depr Summary'!E13</f>
        <v>166378.96811301587</v>
      </c>
      <c r="E68" s="237">
        <f>D68-C68</f>
        <v>34471.038113015849</v>
      </c>
      <c r="K68" s="216">
        <v>53200</v>
      </c>
      <c r="L68" s="234" t="s">
        <v>172</v>
      </c>
      <c r="T68" s="207"/>
      <c r="V68" s="227">
        <f t="shared" si="7"/>
        <v>0</v>
      </c>
    </row>
    <row r="69" spans="1:24">
      <c r="A69" s="205">
        <v>54260</v>
      </c>
      <c r="B69" s="205" t="s">
        <v>157</v>
      </c>
      <c r="C69" s="243">
        <f>'Bingen Consolidated IS'!C203</f>
        <v>23734.6</v>
      </c>
      <c r="D69" s="218">
        <f>'Depr Summary'!E21</f>
        <v>29866.227111110638</v>
      </c>
      <c r="E69" s="237">
        <f t="shared" ref="E69:E75" si="9">D69-C69</f>
        <v>6131.6271111106398</v>
      </c>
      <c r="K69" s="216">
        <v>70269</v>
      </c>
      <c r="L69" s="234" t="s">
        <v>162</v>
      </c>
      <c r="M69" s="226"/>
      <c r="N69" s="226"/>
      <c r="O69" s="226"/>
      <c r="P69" s="226"/>
      <c r="Q69" s="226"/>
      <c r="R69" s="226"/>
      <c r="S69" s="226"/>
      <c r="T69" s="225"/>
      <c r="U69" s="226"/>
      <c r="V69" s="227">
        <f t="shared" si="7"/>
        <v>0</v>
      </c>
    </row>
    <row r="70" spans="1:24">
      <c r="A70" s="205"/>
      <c r="B70" s="205" t="s">
        <v>158</v>
      </c>
      <c r="C70" s="243">
        <f>'Bingen Consolidated IS'!C204</f>
        <v>0</v>
      </c>
      <c r="D70" s="218"/>
      <c r="E70" s="237">
        <f t="shared" si="9"/>
        <v>0</v>
      </c>
      <c r="M70" s="783">
        <f>SUM(M15:M69)</f>
        <v>-8209.6900000000314</v>
      </c>
      <c r="N70" s="783">
        <f>SUM(N15:N69)</f>
        <v>23955.91557164511</v>
      </c>
      <c r="O70" s="783">
        <f t="shared" ref="O70:T70" si="10">SUM(O15:O69)</f>
        <v>-3604.9584195895454</v>
      </c>
      <c r="P70" s="783">
        <f t="shared" si="10"/>
        <v>-53.758876999998392</v>
      </c>
      <c r="Q70" s="783">
        <f t="shared" si="10"/>
        <v>53577.643634126493</v>
      </c>
      <c r="R70" s="783">
        <f t="shared" si="10"/>
        <v>-670.48999999999887</v>
      </c>
      <c r="S70" s="783">
        <f t="shared" si="10"/>
        <v>-16089.885</v>
      </c>
      <c r="T70" s="783">
        <f t="shared" si="10"/>
        <v>1961.5727221932295</v>
      </c>
      <c r="U70" s="220">
        <f>SUM(U13:U69)</f>
        <v>0</v>
      </c>
      <c r="V70" s="227">
        <f t="shared" si="7"/>
        <v>50866.349631375255</v>
      </c>
    </row>
    <row r="71" spans="1:24">
      <c r="A71" s="205">
        <v>57260</v>
      </c>
      <c r="B71" s="205" t="s">
        <v>159</v>
      </c>
      <c r="C71" s="243">
        <f>'Bingen Consolidated IS'!C205</f>
        <v>0</v>
      </c>
      <c r="D71" s="218">
        <f>'Depr Summary'!E25</f>
        <v>14554.21441</v>
      </c>
      <c r="E71" s="237">
        <f t="shared" si="9"/>
        <v>14554.21441</v>
      </c>
      <c r="V71" s="237"/>
    </row>
    <row r="72" spans="1:24">
      <c r="A72" s="205">
        <v>70260</v>
      </c>
      <c r="B72" s="205" t="s">
        <v>160</v>
      </c>
      <c r="C72" s="243">
        <f>'Bingen Consolidated IS'!C206</f>
        <v>3288.2799999999997</v>
      </c>
      <c r="D72" s="218">
        <f>'Depr Summary'!E27</f>
        <v>1709.0439999999999</v>
      </c>
      <c r="E72" s="237">
        <f t="shared" si="9"/>
        <v>-1579.2359999999999</v>
      </c>
    </row>
    <row r="73" spans="1:24">
      <c r="A73" s="205"/>
      <c r="B73" s="205" t="s">
        <v>161</v>
      </c>
      <c r="C73" s="243">
        <f>'Bingen Consolidated IS'!C207</f>
        <v>0</v>
      </c>
      <c r="D73" s="257"/>
      <c r="E73" s="258">
        <f t="shared" si="9"/>
        <v>0</v>
      </c>
      <c r="F73" s="232"/>
    </row>
    <row r="74" spans="1:24">
      <c r="A74" s="259"/>
      <c r="B74" s="259"/>
      <c r="C74" s="254"/>
      <c r="D74" s="260"/>
      <c r="E74" s="261"/>
      <c r="F74" s="232"/>
    </row>
    <row r="75" spans="1:24">
      <c r="A75" s="259"/>
      <c r="B75" s="259"/>
      <c r="C75" s="243">
        <f>SUM(C68:C74)</f>
        <v>158930.81000000003</v>
      </c>
      <c r="D75" s="243">
        <f>SUM(D68:D74)</f>
        <v>212508.45363412652</v>
      </c>
      <c r="E75" s="227">
        <f t="shared" si="9"/>
        <v>53577.643634126493</v>
      </c>
      <c r="F75" s="231" t="s">
        <v>62</v>
      </c>
    </row>
    <row r="76" spans="1:24">
      <c r="A76" s="259"/>
      <c r="B76" s="259"/>
      <c r="C76" s="259"/>
      <c r="D76" s="237">
        <f>D75-'Depr Summary'!E32</f>
        <v>0</v>
      </c>
    </row>
    <row r="77" spans="1:24">
      <c r="A77" s="209" t="s">
        <v>559</v>
      </c>
      <c r="B77" s="210"/>
      <c r="C77" s="210"/>
      <c r="D77" s="210"/>
      <c r="E77" s="210"/>
      <c r="F77" s="210"/>
      <c r="G77" s="210"/>
      <c r="H77" s="210"/>
    </row>
    <row r="78" spans="1:24">
      <c r="A78" s="826"/>
      <c r="B78" s="259"/>
      <c r="C78" s="259"/>
      <c r="X78" s="204"/>
    </row>
    <row r="79" spans="1:24" s="204" customFormat="1">
      <c r="A79" s="262" t="s">
        <v>560</v>
      </c>
      <c r="B79" s="263"/>
      <c r="C79" s="264"/>
      <c r="D79" s="203"/>
      <c r="E79" s="203"/>
      <c r="F79" s="203"/>
      <c r="G79" s="203"/>
      <c r="H79" s="797"/>
      <c r="K79" s="203"/>
      <c r="L79" s="205"/>
      <c r="M79" s="203"/>
      <c r="N79" s="203"/>
      <c r="O79" s="203"/>
      <c r="P79" s="203"/>
      <c r="Q79" s="203"/>
      <c r="R79" s="203"/>
      <c r="S79" s="203"/>
      <c r="T79" s="203"/>
      <c r="U79" s="203"/>
      <c r="V79" s="203"/>
      <c r="W79" s="203"/>
    </row>
    <row r="80" spans="1:24" s="204" customFormat="1" ht="15">
      <c r="A80" s="265" t="s">
        <v>561</v>
      </c>
      <c r="B80" s="263"/>
      <c r="D80" s="786" t="s">
        <v>1294</v>
      </c>
      <c r="E80" s="790">
        <f>B89/SUM('Bingen Consolidated IS'!H10:H12)</f>
        <v>6.2179639958343316E-3</v>
      </c>
      <c r="F80" s="203"/>
      <c r="G80" s="203"/>
      <c r="H80" s="797"/>
      <c r="K80" s="203"/>
      <c r="L80" s="205"/>
      <c r="M80" s="203"/>
      <c r="N80" s="203"/>
      <c r="O80" s="203"/>
      <c r="P80" s="203"/>
      <c r="Q80" s="203"/>
      <c r="R80" s="203"/>
      <c r="S80" s="203"/>
      <c r="T80" s="203"/>
      <c r="U80" s="203"/>
      <c r="V80" s="203"/>
      <c r="W80" s="203"/>
    </row>
    <row r="81" spans="1:24" s="204" customFormat="1">
      <c r="A81" s="266" t="s">
        <v>562</v>
      </c>
      <c r="B81" s="267">
        <f>'12.31.16 BS'!J34</f>
        <v>20032.21</v>
      </c>
      <c r="C81" s="268"/>
      <c r="D81" s="203"/>
      <c r="E81" s="203"/>
      <c r="F81" s="203"/>
      <c r="G81" s="203"/>
      <c r="H81" s="797"/>
      <c r="K81" s="203"/>
      <c r="L81" s="205"/>
      <c r="M81" s="203"/>
      <c r="N81" s="203"/>
      <c r="O81" s="203"/>
      <c r="P81" s="203"/>
      <c r="Q81" s="203"/>
      <c r="R81" s="203"/>
      <c r="S81" s="203"/>
      <c r="T81" s="203"/>
      <c r="U81" s="203"/>
      <c r="V81" s="203"/>
      <c r="W81" s="203"/>
      <c r="X81" s="203"/>
    </row>
    <row r="82" spans="1:24">
      <c r="A82" s="269" t="s">
        <v>563</v>
      </c>
      <c r="B82" s="270">
        <f>'12.31.17 BS'!J31</f>
        <v>30929.360000000001</v>
      </c>
      <c r="C82" s="271"/>
      <c r="X82" s="204"/>
    </row>
    <row r="83" spans="1:24" s="204" customFormat="1">
      <c r="A83" s="262"/>
      <c r="B83" s="272">
        <f>B82-B81</f>
        <v>10897.150000000001</v>
      </c>
      <c r="C83" s="271"/>
      <c r="D83" s="203"/>
      <c r="E83" s="203"/>
      <c r="F83" s="203"/>
      <c r="G83" s="203"/>
      <c r="H83" s="797"/>
      <c r="K83" s="203"/>
      <c r="L83" s="205"/>
      <c r="M83" s="203"/>
      <c r="N83" s="203"/>
      <c r="O83" s="203"/>
      <c r="P83" s="203"/>
      <c r="Q83" s="203"/>
      <c r="R83" s="203"/>
      <c r="S83" s="203"/>
      <c r="T83" s="203"/>
      <c r="U83" s="203"/>
      <c r="V83" s="203"/>
      <c r="W83" s="203"/>
    </row>
    <row r="84" spans="1:24" s="204" customFormat="1">
      <c r="A84" s="262" t="s">
        <v>564</v>
      </c>
      <c r="B84" s="273"/>
      <c r="C84" s="271"/>
      <c r="D84" s="203"/>
      <c r="E84" s="203"/>
      <c r="F84" s="203"/>
      <c r="G84" s="203"/>
      <c r="H84" s="797"/>
      <c r="K84" s="203"/>
      <c r="L84" s="205"/>
      <c r="M84" s="203"/>
      <c r="N84" s="203"/>
      <c r="O84" s="203"/>
      <c r="P84" s="203"/>
      <c r="Q84" s="203"/>
      <c r="R84" s="203"/>
      <c r="S84" s="203"/>
      <c r="T84" s="203"/>
      <c r="U84" s="203"/>
      <c r="V84" s="203"/>
      <c r="W84" s="203"/>
    </row>
    <row r="85" spans="1:24" s="204" customFormat="1">
      <c r="A85" s="266" t="s">
        <v>562</v>
      </c>
      <c r="B85" s="274">
        <f>-'12.31.16 BS'!J35</f>
        <v>4770.62</v>
      </c>
      <c r="C85" s="271"/>
      <c r="D85" s="203"/>
      <c r="E85" s="203"/>
      <c r="F85" s="203"/>
      <c r="G85" s="203"/>
      <c r="H85" s="797"/>
      <c r="K85" s="203"/>
      <c r="L85" s="205"/>
      <c r="M85" s="203"/>
      <c r="N85" s="203"/>
      <c r="O85" s="203"/>
      <c r="P85" s="203"/>
      <c r="Q85" s="203"/>
      <c r="R85" s="203"/>
      <c r="S85" s="203"/>
      <c r="T85" s="203"/>
      <c r="U85" s="203"/>
      <c r="V85" s="203"/>
      <c r="W85" s="203"/>
    </row>
    <row r="86" spans="1:24" s="204" customFormat="1">
      <c r="A86" s="269" t="s">
        <v>563</v>
      </c>
      <c r="B86" s="275">
        <f>-'12.31.17 BS'!J32</f>
        <v>8622.91</v>
      </c>
      <c r="C86" s="271"/>
      <c r="D86" s="203"/>
      <c r="E86" s="203"/>
      <c r="F86" s="203"/>
      <c r="G86" s="203"/>
      <c r="H86" s="797"/>
      <c r="K86" s="203"/>
      <c r="L86" s="205"/>
      <c r="M86" s="203"/>
      <c r="N86" s="203"/>
      <c r="O86" s="203"/>
      <c r="P86" s="203"/>
      <c r="Q86" s="203"/>
      <c r="R86" s="203"/>
      <c r="S86" s="203"/>
      <c r="T86" s="203"/>
      <c r="U86" s="203"/>
      <c r="V86" s="203"/>
      <c r="W86" s="203"/>
    </row>
    <row r="87" spans="1:24" s="204" customFormat="1">
      <c r="A87" s="269"/>
      <c r="B87" s="276">
        <f>B86-B85</f>
        <v>3852.29</v>
      </c>
      <c r="C87" s="271"/>
      <c r="D87" s="203"/>
      <c r="E87" s="203"/>
      <c r="F87" s="203"/>
      <c r="G87" s="203"/>
      <c r="H87" s="797"/>
      <c r="K87" s="203"/>
      <c r="L87" s="205"/>
      <c r="M87" s="203"/>
      <c r="N87" s="203"/>
      <c r="O87" s="203"/>
      <c r="P87" s="203"/>
      <c r="Q87" s="203"/>
      <c r="R87" s="203"/>
      <c r="S87" s="203"/>
      <c r="T87" s="203"/>
      <c r="U87" s="203"/>
      <c r="V87" s="203"/>
      <c r="W87" s="203"/>
    </row>
    <row r="88" spans="1:24" s="204" customFormat="1">
      <c r="A88" s="269"/>
      <c r="B88" s="273"/>
      <c r="C88" s="271"/>
      <c r="D88" s="203"/>
      <c r="E88" s="203"/>
      <c r="F88" s="203"/>
      <c r="G88" s="203"/>
      <c r="H88" s="797"/>
      <c r="K88" s="203"/>
      <c r="L88" s="205"/>
      <c r="M88" s="203"/>
      <c r="N88" s="203"/>
      <c r="O88" s="203"/>
      <c r="P88" s="203"/>
      <c r="Q88" s="203"/>
      <c r="R88" s="203"/>
      <c r="S88" s="203"/>
      <c r="T88" s="203"/>
      <c r="U88" s="203"/>
      <c r="V88" s="203"/>
      <c r="W88" s="203"/>
    </row>
    <row r="89" spans="1:24" s="204" customFormat="1">
      <c r="A89" s="262" t="s">
        <v>565</v>
      </c>
      <c r="B89" s="272">
        <f>B83-B87</f>
        <v>7044.8600000000015</v>
      </c>
      <c r="C89" s="271"/>
      <c r="D89" s="203"/>
      <c r="E89" s="203"/>
      <c r="F89" s="203"/>
      <c r="G89" s="203"/>
      <c r="H89" s="797"/>
      <c r="K89" s="203"/>
      <c r="L89" s="205"/>
      <c r="M89" s="203"/>
      <c r="N89" s="203"/>
      <c r="O89" s="203"/>
      <c r="P89" s="203"/>
      <c r="Q89" s="203"/>
      <c r="R89" s="203"/>
      <c r="S89" s="203"/>
      <c r="T89" s="203"/>
      <c r="U89" s="203"/>
      <c r="V89" s="203"/>
      <c r="W89" s="203"/>
    </row>
    <row r="90" spans="1:24" s="204" customFormat="1">
      <c r="A90" s="269"/>
      <c r="B90" s="273"/>
      <c r="C90" s="271"/>
      <c r="D90" s="203"/>
      <c r="E90" s="203"/>
      <c r="F90" s="203"/>
      <c r="G90" s="203"/>
      <c r="H90" s="797"/>
      <c r="K90" s="203"/>
      <c r="L90" s="205"/>
      <c r="M90" s="203"/>
      <c r="N90" s="203"/>
      <c r="O90" s="203"/>
      <c r="P90" s="203"/>
      <c r="Q90" s="203"/>
      <c r="R90" s="203"/>
      <c r="S90" s="203"/>
      <c r="T90" s="203"/>
      <c r="U90" s="203"/>
      <c r="V90" s="203"/>
      <c r="W90" s="203"/>
    </row>
    <row r="91" spans="1:24" s="204" customFormat="1">
      <c r="A91" s="269" t="s">
        <v>566</v>
      </c>
      <c r="B91" s="273">
        <f>'Bingen Consolidated IS'!C180</f>
        <v>7715.35</v>
      </c>
      <c r="C91" s="277"/>
      <c r="D91" s="203"/>
      <c r="E91" s="203"/>
      <c r="F91" s="203"/>
      <c r="G91" s="203"/>
      <c r="H91" s="797"/>
      <c r="K91" s="203"/>
      <c r="L91" s="205"/>
      <c r="M91" s="203"/>
      <c r="N91" s="203"/>
      <c r="O91" s="203"/>
      <c r="P91" s="203"/>
      <c r="Q91" s="203"/>
      <c r="R91" s="203"/>
      <c r="S91" s="203"/>
      <c r="T91" s="203"/>
      <c r="U91" s="203"/>
      <c r="V91" s="203"/>
      <c r="W91" s="203"/>
    </row>
    <row r="92" spans="1:24" s="204" customFormat="1">
      <c r="A92" s="269"/>
      <c r="B92" s="273"/>
      <c r="C92" s="271"/>
      <c r="D92" s="203"/>
      <c r="E92" s="203"/>
      <c r="F92" s="203"/>
      <c r="G92" s="203"/>
      <c r="H92" s="797"/>
      <c r="K92" s="203"/>
      <c r="L92" s="205"/>
      <c r="M92" s="203"/>
      <c r="N92" s="203"/>
      <c r="O92" s="203"/>
      <c r="P92" s="203"/>
      <c r="Q92" s="203"/>
      <c r="R92" s="203"/>
      <c r="S92" s="203"/>
      <c r="T92" s="203"/>
      <c r="U92" s="203"/>
      <c r="V92" s="203"/>
      <c r="W92" s="203"/>
    </row>
    <row r="93" spans="1:24" s="204" customFormat="1">
      <c r="A93" s="278" t="s">
        <v>556</v>
      </c>
      <c r="B93" s="276">
        <f>B89-B91</f>
        <v>-670.48999999999887</v>
      </c>
      <c r="C93" s="231" t="s">
        <v>83</v>
      </c>
      <c r="D93" s="203"/>
      <c r="E93" s="203"/>
      <c r="F93" s="203"/>
      <c r="G93" s="203"/>
      <c r="H93" s="797"/>
      <c r="K93" s="203"/>
      <c r="L93" s="205"/>
      <c r="M93" s="203"/>
      <c r="N93" s="203"/>
      <c r="O93" s="203"/>
      <c r="P93" s="203"/>
      <c r="Q93" s="203"/>
      <c r="R93" s="203"/>
      <c r="S93" s="203"/>
      <c r="T93" s="203"/>
      <c r="U93" s="203"/>
      <c r="V93" s="203"/>
      <c r="W93" s="203"/>
    </row>
    <row r="94" spans="1:24" s="204" customFormat="1">
      <c r="A94" s="203"/>
      <c r="B94" s="203"/>
      <c r="C94" s="203"/>
      <c r="D94" s="203"/>
      <c r="E94" s="203"/>
      <c r="F94" s="203"/>
      <c r="G94" s="203"/>
      <c r="H94" s="797"/>
      <c r="K94" s="203"/>
      <c r="L94" s="205"/>
      <c r="M94" s="203"/>
      <c r="N94" s="203"/>
      <c r="O94" s="203"/>
      <c r="P94" s="203"/>
      <c r="Q94" s="203"/>
      <c r="R94" s="203"/>
      <c r="S94" s="203"/>
      <c r="T94" s="203"/>
      <c r="U94" s="203"/>
      <c r="V94" s="203"/>
      <c r="W94" s="203"/>
      <c r="X94" s="203"/>
    </row>
    <row r="95" spans="1:24" s="204" customFormat="1" ht="15">
      <c r="A95" s="749" t="s">
        <v>1306</v>
      </c>
      <c r="B95" s="749"/>
      <c r="C95" s="749"/>
      <c r="D95" s="749"/>
      <c r="E95" s="749"/>
      <c r="F95" s="749"/>
      <c r="G95" s="749"/>
      <c r="H95" s="749"/>
      <c r="K95" s="666"/>
      <c r="L95" s="205"/>
      <c r="M95" s="666"/>
      <c r="N95" s="666"/>
      <c r="O95" s="666"/>
      <c r="P95" s="666"/>
      <c r="Q95" s="666"/>
      <c r="R95" s="666"/>
      <c r="S95" s="666"/>
      <c r="T95" s="666"/>
      <c r="U95" s="666"/>
      <c r="V95" s="666"/>
      <c r="W95" s="666"/>
      <c r="X95" s="666"/>
    </row>
    <row r="96" spans="1:24" s="787" customFormat="1" ht="15">
      <c r="A96" s="819" t="s">
        <v>1305</v>
      </c>
      <c r="B96" s="821">
        <f>'Bingen Consolidated IS'!C125</f>
        <v>32179.77</v>
      </c>
      <c r="C96" s="817"/>
      <c r="D96" s="817"/>
      <c r="E96" s="817"/>
      <c r="F96" s="817"/>
      <c r="G96" s="817"/>
      <c r="H96" s="817"/>
      <c r="L96" s="818"/>
    </row>
    <row r="97" spans="1:24" s="787" customFormat="1" ht="15">
      <c r="A97" s="820" t="s">
        <v>582</v>
      </c>
      <c r="B97" s="822">
        <f>-B96/2</f>
        <v>-16089.885</v>
      </c>
      <c r="C97" s="231" t="s">
        <v>155</v>
      </c>
      <c r="D97" s="817"/>
      <c r="E97" s="817"/>
      <c r="F97" s="817"/>
      <c r="G97" s="817"/>
      <c r="H97" s="817"/>
      <c r="L97" s="818"/>
    </row>
    <row r="98" spans="1:24" s="204" customFormat="1">
      <c r="A98" s="666"/>
      <c r="B98" s="666"/>
      <c r="C98" s="666"/>
      <c r="D98" s="666"/>
      <c r="E98" s="666"/>
      <c r="F98" s="666"/>
      <c r="G98" s="666"/>
      <c r="H98" s="797"/>
      <c r="K98" s="666"/>
      <c r="L98" s="205"/>
      <c r="M98" s="666"/>
      <c r="N98" s="666"/>
      <c r="O98" s="666"/>
      <c r="P98" s="666"/>
      <c r="Q98" s="666"/>
      <c r="R98" s="666"/>
      <c r="S98" s="666"/>
      <c r="T98" s="666"/>
      <c r="U98" s="666"/>
      <c r="V98" s="666"/>
      <c r="W98" s="666"/>
      <c r="X98" s="666"/>
    </row>
    <row r="99" spans="1:24" ht="15">
      <c r="A99" s="749" t="s">
        <v>1312</v>
      </c>
      <c r="B99" s="749"/>
      <c r="C99" s="749"/>
      <c r="D99" s="749"/>
      <c r="E99" s="749"/>
      <c r="F99" s="749"/>
      <c r="G99" s="749"/>
      <c r="H99" s="749"/>
    </row>
    <row r="100" spans="1:24" ht="15">
      <c r="A100" s="704"/>
      <c r="B100" s="704"/>
      <c r="C100" s="704"/>
      <c r="D100" s="704"/>
      <c r="E100" s="704"/>
      <c r="F100" s="704"/>
      <c r="G100" s="704"/>
      <c r="H100" s="796"/>
    </row>
    <row r="101" spans="1:24" ht="15">
      <c r="A101" s="704" t="s">
        <v>1275</v>
      </c>
      <c r="B101" s="782">
        <f>'Mgmt Alloc In'!C25</f>
        <v>1822.1762398450808</v>
      </c>
      <c r="C101" s="747" t="s">
        <v>128</v>
      </c>
      <c r="D101" s="704"/>
      <c r="E101" s="704"/>
      <c r="F101" s="704"/>
      <c r="G101" s="704"/>
      <c r="H101" s="796"/>
    </row>
    <row r="102" spans="1:24" ht="15">
      <c r="A102" s="704" t="s">
        <v>1276</v>
      </c>
      <c r="B102" s="782">
        <f>'Mgmt Alloc In'!C26</f>
        <v>139.39648234814868</v>
      </c>
      <c r="C102" s="747" t="s">
        <v>128</v>
      </c>
      <c r="D102" s="704"/>
      <c r="E102" s="704"/>
      <c r="F102" s="704"/>
      <c r="G102" s="704"/>
      <c r="H102" s="796"/>
    </row>
  </sheetData>
  <mergeCells count="2">
    <mergeCell ref="M5:V5"/>
    <mergeCell ref="E23:F23"/>
  </mergeCells>
  <pageMargins left="0.25" right="0.25" top="0.75" bottom="0.75" header="0.3" footer="0.3"/>
  <pageSetup scale="65" fitToWidth="2" fitToHeight="3" orientation="landscape" r:id="rId1"/>
  <rowBreaks count="1" manualBreakCount="1">
    <brk id="55" max="21" man="1"/>
  </rowBreaks>
  <colBreaks count="1" manualBreakCount="1">
    <brk id="10" max="104"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4"/>
  <sheetViews>
    <sheetView showGridLines="0" workbookViewId="0">
      <selection activeCell="E49" sqref="E49"/>
    </sheetView>
  </sheetViews>
  <sheetFormatPr defaultRowHeight="12"/>
  <cols>
    <col min="1" max="1" width="25.140625" style="280" customWidth="1"/>
    <col min="2" max="2" width="13" style="280" customWidth="1"/>
    <col min="3" max="7" width="11.85546875" style="280" customWidth="1"/>
    <col min="8" max="256" width="9.140625" style="280"/>
    <col min="257" max="257" width="19.140625" style="280" customWidth="1"/>
    <col min="258" max="258" width="13" style="280" customWidth="1"/>
    <col min="259" max="259" width="9.140625" style="280"/>
    <col min="260" max="260" width="11.7109375" style="280" customWidth="1"/>
    <col min="261" max="512" width="9.140625" style="280"/>
    <col min="513" max="513" width="19.140625" style="280" customWidth="1"/>
    <col min="514" max="514" width="13" style="280" customWidth="1"/>
    <col min="515" max="515" width="9.140625" style="280"/>
    <col min="516" max="516" width="11.7109375" style="280" customWidth="1"/>
    <col min="517" max="768" width="9.140625" style="280"/>
    <col min="769" max="769" width="19.140625" style="280" customWidth="1"/>
    <col min="770" max="770" width="13" style="280" customWidth="1"/>
    <col min="771" max="771" width="9.140625" style="280"/>
    <col min="772" max="772" width="11.7109375" style="280" customWidth="1"/>
    <col min="773" max="1024" width="9.140625" style="280"/>
    <col min="1025" max="1025" width="19.140625" style="280" customWidth="1"/>
    <col min="1026" max="1026" width="13" style="280" customWidth="1"/>
    <col min="1027" max="1027" width="9.140625" style="280"/>
    <col min="1028" max="1028" width="11.7109375" style="280" customWidth="1"/>
    <col min="1029" max="1280" width="9.140625" style="280"/>
    <col min="1281" max="1281" width="19.140625" style="280" customWidth="1"/>
    <col min="1282" max="1282" width="13" style="280" customWidth="1"/>
    <col min="1283" max="1283" width="9.140625" style="280"/>
    <col min="1284" max="1284" width="11.7109375" style="280" customWidth="1"/>
    <col min="1285" max="1536" width="9.140625" style="280"/>
    <col min="1537" max="1537" width="19.140625" style="280" customWidth="1"/>
    <col min="1538" max="1538" width="13" style="280" customWidth="1"/>
    <col min="1539" max="1539" width="9.140625" style="280"/>
    <col min="1540" max="1540" width="11.7109375" style="280" customWidth="1"/>
    <col min="1541" max="1792" width="9.140625" style="280"/>
    <col min="1793" max="1793" width="19.140625" style="280" customWidth="1"/>
    <col min="1794" max="1794" width="13" style="280" customWidth="1"/>
    <col min="1795" max="1795" width="9.140625" style="280"/>
    <col min="1796" max="1796" width="11.7109375" style="280" customWidth="1"/>
    <col min="1797" max="2048" width="9.140625" style="280"/>
    <col min="2049" max="2049" width="19.140625" style="280" customWidth="1"/>
    <col min="2050" max="2050" width="13" style="280" customWidth="1"/>
    <col min="2051" max="2051" width="9.140625" style="280"/>
    <col min="2052" max="2052" width="11.7109375" style="280" customWidth="1"/>
    <col min="2053" max="2304" width="9.140625" style="280"/>
    <col min="2305" max="2305" width="19.140625" style="280" customWidth="1"/>
    <col min="2306" max="2306" width="13" style="280" customWidth="1"/>
    <col min="2307" max="2307" width="9.140625" style="280"/>
    <col min="2308" max="2308" width="11.7109375" style="280" customWidth="1"/>
    <col min="2309" max="2560" width="9.140625" style="280"/>
    <col min="2561" max="2561" width="19.140625" style="280" customWidth="1"/>
    <col min="2562" max="2562" width="13" style="280" customWidth="1"/>
    <col min="2563" max="2563" width="9.140625" style="280"/>
    <col min="2564" max="2564" width="11.7109375" style="280" customWidth="1"/>
    <col min="2565" max="2816" width="9.140625" style="280"/>
    <col min="2817" max="2817" width="19.140625" style="280" customWidth="1"/>
    <col min="2818" max="2818" width="13" style="280" customWidth="1"/>
    <col min="2819" max="2819" width="9.140625" style="280"/>
    <col min="2820" max="2820" width="11.7109375" style="280" customWidth="1"/>
    <col min="2821" max="3072" width="9.140625" style="280"/>
    <col min="3073" max="3073" width="19.140625" style="280" customWidth="1"/>
    <col min="3074" max="3074" width="13" style="280" customWidth="1"/>
    <col min="3075" max="3075" width="9.140625" style="280"/>
    <col min="3076" max="3076" width="11.7109375" style="280" customWidth="1"/>
    <col min="3077" max="3328" width="9.140625" style="280"/>
    <col min="3329" max="3329" width="19.140625" style="280" customWidth="1"/>
    <col min="3330" max="3330" width="13" style="280" customWidth="1"/>
    <col min="3331" max="3331" width="9.140625" style="280"/>
    <col min="3332" max="3332" width="11.7109375" style="280" customWidth="1"/>
    <col min="3333" max="3584" width="9.140625" style="280"/>
    <col min="3585" max="3585" width="19.140625" style="280" customWidth="1"/>
    <col min="3586" max="3586" width="13" style="280" customWidth="1"/>
    <col min="3587" max="3587" width="9.140625" style="280"/>
    <col min="3588" max="3588" width="11.7109375" style="280" customWidth="1"/>
    <col min="3589" max="3840" width="9.140625" style="280"/>
    <col min="3841" max="3841" width="19.140625" style="280" customWidth="1"/>
    <col min="3842" max="3842" width="13" style="280" customWidth="1"/>
    <col min="3843" max="3843" width="9.140625" style="280"/>
    <col min="3844" max="3844" width="11.7109375" style="280" customWidth="1"/>
    <col min="3845" max="4096" width="9.140625" style="280"/>
    <col min="4097" max="4097" width="19.140625" style="280" customWidth="1"/>
    <col min="4098" max="4098" width="13" style="280" customWidth="1"/>
    <col min="4099" max="4099" width="9.140625" style="280"/>
    <col min="4100" max="4100" width="11.7109375" style="280" customWidth="1"/>
    <col min="4101" max="4352" width="9.140625" style="280"/>
    <col min="4353" max="4353" width="19.140625" style="280" customWidth="1"/>
    <col min="4354" max="4354" width="13" style="280" customWidth="1"/>
    <col min="4355" max="4355" width="9.140625" style="280"/>
    <col min="4356" max="4356" width="11.7109375" style="280" customWidth="1"/>
    <col min="4357" max="4608" width="9.140625" style="280"/>
    <col min="4609" max="4609" width="19.140625" style="280" customWidth="1"/>
    <col min="4610" max="4610" width="13" style="280" customWidth="1"/>
    <col min="4611" max="4611" width="9.140625" style="280"/>
    <col min="4612" max="4612" width="11.7109375" style="280" customWidth="1"/>
    <col min="4613" max="4864" width="9.140625" style="280"/>
    <col min="4865" max="4865" width="19.140625" style="280" customWidth="1"/>
    <col min="4866" max="4866" width="13" style="280" customWidth="1"/>
    <col min="4867" max="4867" width="9.140625" style="280"/>
    <col min="4868" max="4868" width="11.7109375" style="280" customWidth="1"/>
    <col min="4869" max="5120" width="9.140625" style="280"/>
    <col min="5121" max="5121" width="19.140625" style="280" customWidth="1"/>
    <col min="5122" max="5122" width="13" style="280" customWidth="1"/>
    <col min="5123" max="5123" width="9.140625" style="280"/>
    <col min="5124" max="5124" width="11.7109375" style="280" customWidth="1"/>
    <col min="5125" max="5376" width="9.140625" style="280"/>
    <col min="5377" max="5377" width="19.140625" style="280" customWidth="1"/>
    <col min="5378" max="5378" width="13" style="280" customWidth="1"/>
    <col min="5379" max="5379" width="9.140625" style="280"/>
    <col min="5380" max="5380" width="11.7109375" style="280" customWidth="1"/>
    <col min="5381" max="5632" width="9.140625" style="280"/>
    <col min="5633" max="5633" width="19.140625" style="280" customWidth="1"/>
    <col min="5634" max="5634" width="13" style="280" customWidth="1"/>
    <col min="5635" max="5635" width="9.140625" style="280"/>
    <col min="5636" max="5636" width="11.7109375" style="280" customWidth="1"/>
    <col min="5637" max="5888" width="9.140625" style="280"/>
    <col min="5889" max="5889" width="19.140625" style="280" customWidth="1"/>
    <col min="5890" max="5890" width="13" style="280" customWidth="1"/>
    <col min="5891" max="5891" width="9.140625" style="280"/>
    <col min="5892" max="5892" width="11.7109375" style="280" customWidth="1"/>
    <col min="5893" max="6144" width="9.140625" style="280"/>
    <col min="6145" max="6145" width="19.140625" style="280" customWidth="1"/>
    <col min="6146" max="6146" width="13" style="280" customWidth="1"/>
    <col min="6147" max="6147" width="9.140625" style="280"/>
    <col min="6148" max="6148" width="11.7109375" style="280" customWidth="1"/>
    <col min="6149" max="6400" width="9.140625" style="280"/>
    <col min="6401" max="6401" width="19.140625" style="280" customWidth="1"/>
    <col min="6402" max="6402" width="13" style="280" customWidth="1"/>
    <col min="6403" max="6403" width="9.140625" style="280"/>
    <col min="6404" max="6404" width="11.7109375" style="280" customWidth="1"/>
    <col min="6405" max="6656" width="9.140625" style="280"/>
    <col min="6657" max="6657" width="19.140625" style="280" customWidth="1"/>
    <col min="6658" max="6658" width="13" style="280" customWidth="1"/>
    <col min="6659" max="6659" width="9.140625" style="280"/>
    <col min="6660" max="6660" width="11.7109375" style="280" customWidth="1"/>
    <col min="6661" max="6912" width="9.140625" style="280"/>
    <col min="6913" max="6913" width="19.140625" style="280" customWidth="1"/>
    <col min="6914" max="6914" width="13" style="280" customWidth="1"/>
    <col min="6915" max="6915" width="9.140625" style="280"/>
    <col min="6916" max="6916" width="11.7109375" style="280" customWidth="1"/>
    <col min="6917" max="7168" width="9.140625" style="280"/>
    <col min="7169" max="7169" width="19.140625" style="280" customWidth="1"/>
    <col min="7170" max="7170" width="13" style="280" customWidth="1"/>
    <col min="7171" max="7171" width="9.140625" style="280"/>
    <col min="7172" max="7172" width="11.7109375" style="280" customWidth="1"/>
    <col min="7173" max="7424" width="9.140625" style="280"/>
    <col min="7425" max="7425" width="19.140625" style="280" customWidth="1"/>
    <col min="7426" max="7426" width="13" style="280" customWidth="1"/>
    <col min="7427" max="7427" width="9.140625" style="280"/>
    <col min="7428" max="7428" width="11.7109375" style="280" customWidth="1"/>
    <col min="7429" max="7680" width="9.140625" style="280"/>
    <col min="7681" max="7681" width="19.140625" style="280" customWidth="1"/>
    <col min="7682" max="7682" width="13" style="280" customWidth="1"/>
    <col min="7683" max="7683" width="9.140625" style="280"/>
    <col min="7684" max="7684" width="11.7109375" style="280" customWidth="1"/>
    <col min="7685" max="7936" width="9.140625" style="280"/>
    <col min="7937" max="7937" width="19.140625" style="280" customWidth="1"/>
    <col min="7938" max="7938" width="13" style="280" customWidth="1"/>
    <col min="7939" max="7939" width="9.140625" style="280"/>
    <col min="7940" max="7940" width="11.7109375" style="280" customWidth="1"/>
    <col min="7941" max="8192" width="9.140625" style="280"/>
    <col min="8193" max="8193" width="19.140625" style="280" customWidth="1"/>
    <col min="8194" max="8194" width="13" style="280" customWidth="1"/>
    <col min="8195" max="8195" width="9.140625" style="280"/>
    <col min="8196" max="8196" width="11.7109375" style="280" customWidth="1"/>
    <col min="8197" max="8448" width="9.140625" style="280"/>
    <col min="8449" max="8449" width="19.140625" style="280" customWidth="1"/>
    <col min="8450" max="8450" width="13" style="280" customWidth="1"/>
    <col min="8451" max="8451" width="9.140625" style="280"/>
    <col min="8452" max="8452" width="11.7109375" style="280" customWidth="1"/>
    <col min="8453" max="8704" width="9.140625" style="280"/>
    <col min="8705" max="8705" width="19.140625" style="280" customWidth="1"/>
    <col min="8706" max="8706" width="13" style="280" customWidth="1"/>
    <col min="8707" max="8707" width="9.140625" style="280"/>
    <col min="8708" max="8708" width="11.7109375" style="280" customWidth="1"/>
    <col min="8709" max="8960" width="9.140625" style="280"/>
    <col min="8961" max="8961" width="19.140625" style="280" customWidth="1"/>
    <col min="8962" max="8962" width="13" style="280" customWidth="1"/>
    <col min="8963" max="8963" width="9.140625" style="280"/>
    <col min="8964" max="8964" width="11.7109375" style="280" customWidth="1"/>
    <col min="8965" max="9216" width="9.140625" style="280"/>
    <col min="9217" max="9217" width="19.140625" style="280" customWidth="1"/>
    <col min="9218" max="9218" width="13" style="280" customWidth="1"/>
    <col min="9219" max="9219" width="9.140625" style="280"/>
    <col min="9220" max="9220" width="11.7109375" style="280" customWidth="1"/>
    <col min="9221" max="9472" width="9.140625" style="280"/>
    <col min="9473" max="9473" width="19.140625" style="280" customWidth="1"/>
    <col min="9474" max="9474" width="13" style="280" customWidth="1"/>
    <col min="9475" max="9475" width="9.140625" style="280"/>
    <col min="9476" max="9476" width="11.7109375" style="280" customWidth="1"/>
    <col min="9477" max="9728" width="9.140625" style="280"/>
    <col min="9729" max="9729" width="19.140625" style="280" customWidth="1"/>
    <col min="9730" max="9730" width="13" style="280" customWidth="1"/>
    <col min="9731" max="9731" width="9.140625" style="280"/>
    <col min="9732" max="9732" width="11.7109375" style="280" customWidth="1"/>
    <col min="9733" max="9984" width="9.140625" style="280"/>
    <col min="9985" max="9985" width="19.140625" style="280" customWidth="1"/>
    <col min="9986" max="9986" width="13" style="280" customWidth="1"/>
    <col min="9987" max="9987" width="9.140625" style="280"/>
    <col min="9988" max="9988" width="11.7109375" style="280" customWidth="1"/>
    <col min="9989" max="10240" width="9.140625" style="280"/>
    <col min="10241" max="10241" width="19.140625" style="280" customWidth="1"/>
    <col min="10242" max="10242" width="13" style="280" customWidth="1"/>
    <col min="10243" max="10243" width="9.140625" style="280"/>
    <col min="10244" max="10244" width="11.7109375" style="280" customWidth="1"/>
    <col min="10245" max="10496" width="9.140625" style="280"/>
    <col min="10497" max="10497" width="19.140625" style="280" customWidth="1"/>
    <col min="10498" max="10498" width="13" style="280" customWidth="1"/>
    <col min="10499" max="10499" width="9.140625" style="280"/>
    <col min="10500" max="10500" width="11.7109375" style="280" customWidth="1"/>
    <col min="10501" max="10752" width="9.140625" style="280"/>
    <col min="10753" max="10753" width="19.140625" style="280" customWidth="1"/>
    <col min="10754" max="10754" width="13" style="280" customWidth="1"/>
    <col min="10755" max="10755" width="9.140625" style="280"/>
    <col min="10756" max="10756" width="11.7109375" style="280" customWidth="1"/>
    <col min="10757" max="11008" width="9.140625" style="280"/>
    <col min="11009" max="11009" width="19.140625" style="280" customWidth="1"/>
    <col min="11010" max="11010" width="13" style="280" customWidth="1"/>
    <col min="11011" max="11011" width="9.140625" style="280"/>
    <col min="11012" max="11012" width="11.7109375" style="280" customWidth="1"/>
    <col min="11013" max="11264" width="9.140625" style="280"/>
    <col min="11265" max="11265" width="19.140625" style="280" customWidth="1"/>
    <col min="11266" max="11266" width="13" style="280" customWidth="1"/>
    <col min="11267" max="11267" width="9.140625" style="280"/>
    <col min="11268" max="11268" width="11.7109375" style="280" customWidth="1"/>
    <col min="11269" max="11520" width="9.140625" style="280"/>
    <col min="11521" max="11521" width="19.140625" style="280" customWidth="1"/>
    <col min="11522" max="11522" width="13" style="280" customWidth="1"/>
    <col min="11523" max="11523" width="9.140625" style="280"/>
    <col min="11524" max="11524" width="11.7109375" style="280" customWidth="1"/>
    <col min="11525" max="11776" width="9.140625" style="280"/>
    <col min="11777" max="11777" width="19.140625" style="280" customWidth="1"/>
    <col min="11778" max="11778" width="13" style="280" customWidth="1"/>
    <col min="11779" max="11779" width="9.140625" style="280"/>
    <col min="11780" max="11780" width="11.7109375" style="280" customWidth="1"/>
    <col min="11781" max="12032" width="9.140625" style="280"/>
    <col min="12033" max="12033" width="19.140625" style="280" customWidth="1"/>
    <col min="12034" max="12034" width="13" style="280" customWidth="1"/>
    <col min="12035" max="12035" width="9.140625" style="280"/>
    <col min="12036" max="12036" width="11.7109375" style="280" customWidth="1"/>
    <col min="12037" max="12288" width="9.140625" style="280"/>
    <col min="12289" max="12289" width="19.140625" style="280" customWidth="1"/>
    <col min="12290" max="12290" width="13" style="280" customWidth="1"/>
    <col min="12291" max="12291" width="9.140625" style="280"/>
    <col min="12292" max="12292" width="11.7109375" style="280" customWidth="1"/>
    <col min="12293" max="12544" width="9.140625" style="280"/>
    <col min="12545" max="12545" width="19.140625" style="280" customWidth="1"/>
    <col min="12546" max="12546" width="13" style="280" customWidth="1"/>
    <col min="12547" max="12547" width="9.140625" style="280"/>
    <col min="12548" max="12548" width="11.7109375" style="280" customWidth="1"/>
    <col min="12549" max="12800" width="9.140625" style="280"/>
    <col min="12801" max="12801" width="19.140625" style="280" customWidth="1"/>
    <col min="12802" max="12802" width="13" style="280" customWidth="1"/>
    <col min="12803" max="12803" width="9.140625" style="280"/>
    <col min="12804" max="12804" width="11.7109375" style="280" customWidth="1"/>
    <col min="12805" max="13056" width="9.140625" style="280"/>
    <col min="13057" max="13057" width="19.140625" style="280" customWidth="1"/>
    <col min="13058" max="13058" width="13" style="280" customWidth="1"/>
    <col min="13059" max="13059" width="9.140625" style="280"/>
    <col min="13060" max="13060" width="11.7109375" style="280" customWidth="1"/>
    <col min="13061" max="13312" width="9.140625" style="280"/>
    <col min="13313" max="13313" width="19.140625" style="280" customWidth="1"/>
    <col min="13314" max="13314" width="13" style="280" customWidth="1"/>
    <col min="13315" max="13315" width="9.140625" style="280"/>
    <col min="13316" max="13316" width="11.7109375" style="280" customWidth="1"/>
    <col min="13317" max="13568" width="9.140625" style="280"/>
    <col min="13569" max="13569" width="19.140625" style="280" customWidth="1"/>
    <col min="13570" max="13570" width="13" style="280" customWidth="1"/>
    <col min="13571" max="13571" width="9.140625" style="280"/>
    <col min="13572" max="13572" width="11.7109375" style="280" customWidth="1"/>
    <col min="13573" max="13824" width="9.140625" style="280"/>
    <col min="13825" max="13825" width="19.140625" style="280" customWidth="1"/>
    <col min="13826" max="13826" width="13" style="280" customWidth="1"/>
    <col min="13827" max="13827" width="9.140625" style="280"/>
    <col min="13828" max="13828" width="11.7109375" style="280" customWidth="1"/>
    <col min="13829" max="14080" width="9.140625" style="280"/>
    <col min="14081" max="14081" width="19.140625" style="280" customWidth="1"/>
    <col min="14082" max="14082" width="13" style="280" customWidth="1"/>
    <col min="14083" max="14083" width="9.140625" style="280"/>
    <col min="14084" max="14084" width="11.7109375" style="280" customWidth="1"/>
    <col min="14085" max="14336" width="9.140625" style="280"/>
    <col min="14337" max="14337" width="19.140625" style="280" customWidth="1"/>
    <col min="14338" max="14338" width="13" style="280" customWidth="1"/>
    <col min="14339" max="14339" width="9.140625" style="280"/>
    <col min="14340" max="14340" width="11.7109375" style="280" customWidth="1"/>
    <col min="14341" max="14592" width="9.140625" style="280"/>
    <col min="14593" max="14593" width="19.140625" style="280" customWidth="1"/>
    <col min="14594" max="14594" width="13" style="280" customWidth="1"/>
    <col min="14595" max="14595" width="9.140625" style="280"/>
    <col min="14596" max="14596" width="11.7109375" style="280" customWidth="1"/>
    <col min="14597" max="14848" width="9.140625" style="280"/>
    <col min="14849" max="14849" width="19.140625" style="280" customWidth="1"/>
    <col min="14850" max="14850" width="13" style="280" customWidth="1"/>
    <col min="14851" max="14851" width="9.140625" style="280"/>
    <col min="14852" max="14852" width="11.7109375" style="280" customWidth="1"/>
    <col min="14853" max="15104" width="9.140625" style="280"/>
    <col min="15105" max="15105" width="19.140625" style="280" customWidth="1"/>
    <col min="15106" max="15106" width="13" style="280" customWidth="1"/>
    <col min="15107" max="15107" width="9.140625" style="280"/>
    <col min="15108" max="15108" width="11.7109375" style="280" customWidth="1"/>
    <col min="15109" max="15360" width="9.140625" style="280"/>
    <col min="15361" max="15361" width="19.140625" style="280" customWidth="1"/>
    <col min="15362" max="15362" width="13" style="280" customWidth="1"/>
    <col min="15363" max="15363" width="9.140625" style="280"/>
    <col min="15364" max="15364" width="11.7109375" style="280" customWidth="1"/>
    <col min="15365" max="15616" width="9.140625" style="280"/>
    <col min="15617" max="15617" width="19.140625" style="280" customWidth="1"/>
    <col min="15618" max="15618" width="13" style="280" customWidth="1"/>
    <col min="15619" max="15619" width="9.140625" style="280"/>
    <col min="15620" max="15620" width="11.7109375" style="280" customWidth="1"/>
    <col min="15621" max="15872" width="9.140625" style="280"/>
    <col min="15873" max="15873" width="19.140625" style="280" customWidth="1"/>
    <col min="15874" max="15874" width="13" style="280" customWidth="1"/>
    <col min="15875" max="15875" width="9.140625" style="280"/>
    <col min="15876" max="15876" width="11.7109375" style="280" customWidth="1"/>
    <col min="15877" max="16128" width="9.140625" style="280"/>
    <col min="16129" max="16129" width="19.140625" style="280" customWidth="1"/>
    <col min="16130" max="16130" width="13" style="280" customWidth="1"/>
    <col min="16131" max="16131" width="9.140625" style="280"/>
    <col min="16132" max="16132" width="11.7109375" style="280" customWidth="1"/>
    <col min="16133" max="16384" width="9.140625" style="280"/>
  </cols>
  <sheetData>
    <row r="1" spans="1:7">
      <c r="A1" s="279" t="s">
        <v>525</v>
      </c>
    </row>
    <row r="2" spans="1:7">
      <c r="A2" s="281" t="str">
        <f>'Restating Adj''s'!A2</f>
        <v>Columbia River Disposal, Inc G-48 &amp; G-51</v>
      </c>
    </row>
    <row r="3" spans="1:7">
      <c r="A3" s="281" t="str">
        <f>'Restating Adj''s'!A3</f>
        <v>Test Period Ending December 31, 2017</v>
      </c>
    </row>
    <row r="5" spans="1:7">
      <c r="A5" s="282" t="s">
        <v>567</v>
      </c>
      <c r="B5" s="283"/>
      <c r="C5" s="283"/>
      <c r="D5" s="283"/>
      <c r="E5" s="283"/>
      <c r="F5" s="283"/>
      <c r="G5" s="283"/>
    </row>
    <row r="6" spans="1:7">
      <c r="A6" s="284" t="s">
        <v>568</v>
      </c>
      <c r="B6" s="285"/>
      <c r="C6" s="285"/>
      <c r="D6" s="285"/>
      <c r="E6" s="285"/>
      <c r="F6" s="285"/>
      <c r="G6" s="285"/>
    </row>
    <row r="7" spans="1:7">
      <c r="A7" s="286" t="s">
        <v>569</v>
      </c>
      <c r="B7" s="287"/>
      <c r="C7" s="287"/>
      <c r="D7" s="288"/>
      <c r="E7" s="288"/>
      <c r="F7" s="288"/>
      <c r="G7" s="288"/>
    </row>
    <row r="8" spans="1:7">
      <c r="A8" s="289" t="s">
        <v>573</v>
      </c>
      <c r="B8" s="292">
        <f>'Payroll Schedule'!$AD$16</f>
        <v>1858.3712653795151</v>
      </c>
      <c r="C8" s="290"/>
    </row>
    <row r="9" spans="1:7">
      <c r="A9" s="291" t="s">
        <v>570</v>
      </c>
      <c r="B9" s="292">
        <f>'Payroll Schedule'!$AD$21</f>
        <v>1310.0050117033113</v>
      </c>
      <c r="C9" s="290"/>
    </row>
    <row r="10" spans="1:7">
      <c r="A10" s="291" t="s">
        <v>571</v>
      </c>
      <c r="B10" s="292">
        <f>'Payroll Schedule'!$AD$34</f>
        <v>1049.3024472397017</v>
      </c>
      <c r="C10" s="290"/>
    </row>
    <row r="11" spans="1:7">
      <c r="A11" s="291" t="s">
        <v>1278</v>
      </c>
      <c r="B11" s="292">
        <f>'Payroll Schedule'!$AD$29</f>
        <v>458.33525000000003</v>
      </c>
      <c r="C11" s="290"/>
    </row>
    <row r="12" spans="1:7">
      <c r="A12" s="291"/>
      <c r="B12" s="292"/>
      <c r="C12" s="290"/>
    </row>
    <row r="13" spans="1:7">
      <c r="A13" s="291" t="s">
        <v>20</v>
      </c>
      <c r="B13" s="293">
        <f>SUM(B8:B11)</f>
        <v>4676.0139743225282</v>
      </c>
      <c r="C13" s="294" t="s">
        <v>568</v>
      </c>
    </row>
    <row r="15" spans="1:7">
      <c r="A15" s="291"/>
      <c r="B15" s="292"/>
      <c r="C15" s="292"/>
    </row>
    <row r="16" spans="1:7">
      <c r="A16" s="286" t="s">
        <v>572</v>
      </c>
      <c r="B16" s="287"/>
      <c r="C16" s="287"/>
      <c r="D16" s="295"/>
      <c r="E16" s="295"/>
      <c r="F16" s="295"/>
      <c r="G16" s="295"/>
    </row>
    <row r="17" spans="1:7" ht="10.5" customHeight="1">
      <c r="A17" s="291" t="s">
        <v>573</v>
      </c>
      <c r="B17" s="292">
        <f>B8*0.0765</f>
        <v>142.16540180153291</v>
      </c>
      <c r="C17" s="292"/>
    </row>
    <row r="18" spans="1:7" ht="10.5" customHeight="1">
      <c r="A18" s="291" t="s">
        <v>570</v>
      </c>
      <c r="B18" s="292">
        <f t="shared" ref="B18:B20" si="0">B9*0.0765</f>
        <v>100.21538339530332</v>
      </c>
      <c r="C18" s="292"/>
    </row>
    <row r="19" spans="1:7" ht="10.5" customHeight="1">
      <c r="A19" s="291" t="s">
        <v>571</v>
      </c>
      <c r="B19" s="292">
        <f t="shared" si="0"/>
        <v>80.271637213837181</v>
      </c>
      <c r="C19" s="292"/>
    </row>
    <row r="20" spans="1:7" ht="10.5" customHeight="1">
      <c r="A20" s="291" t="s">
        <v>1278</v>
      </c>
      <c r="B20" s="292">
        <f t="shared" si="0"/>
        <v>35.062646624999999</v>
      </c>
      <c r="C20" s="292"/>
    </row>
    <row r="21" spans="1:7" ht="10.5" customHeight="1">
      <c r="A21" s="291"/>
      <c r="B21" s="292"/>
      <c r="C21" s="292"/>
    </row>
    <row r="22" spans="1:7" ht="10.5" customHeight="1">
      <c r="A22" s="291" t="s">
        <v>20</v>
      </c>
      <c r="B22" s="293">
        <f>SUM(B17:B20)</f>
        <v>357.71506903567342</v>
      </c>
      <c r="C22" s="294" t="s">
        <v>568</v>
      </c>
    </row>
    <row r="23" spans="1:7" ht="10.5" customHeight="1">
      <c r="A23" s="291"/>
      <c r="B23" s="296"/>
      <c r="C23" s="290"/>
    </row>
    <row r="24" spans="1:7">
      <c r="A24" s="291"/>
      <c r="B24" s="296"/>
      <c r="C24" s="290"/>
    </row>
    <row r="25" spans="1:7" ht="12.75" thickBot="1">
      <c r="A25" s="297" t="s">
        <v>574</v>
      </c>
      <c r="B25" s="298">
        <f>B13+B22</f>
        <v>5033.729043358202</v>
      </c>
      <c r="C25" s="294" t="s">
        <v>568</v>
      </c>
    </row>
    <row r="26" spans="1:7" ht="12.75" thickTop="1">
      <c r="A26" s="299"/>
    </row>
    <row r="27" spans="1:7">
      <c r="A27" s="300" t="s">
        <v>575</v>
      </c>
      <c r="B27" s="283"/>
      <c r="C27" s="283"/>
      <c r="D27" s="283"/>
      <c r="E27" s="283"/>
      <c r="F27" s="283"/>
      <c r="G27" s="283"/>
    </row>
    <row r="28" spans="1:7">
      <c r="A28" s="301" t="s">
        <v>576</v>
      </c>
      <c r="B28" s="285"/>
      <c r="C28" s="285"/>
      <c r="D28" s="285"/>
      <c r="E28" s="285"/>
      <c r="F28" s="285"/>
      <c r="G28" s="285"/>
    </row>
    <row r="29" spans="1:7">
      <c r="A29" s="302"/>
      <c r="B29" s="303" t="s">
        <v>577</v>
      </c>
      <c r="C29" s="303" t="s">
        <v>578</v>
      </c>
      <c r="D29" s="303" t="s">
        <v>579</v>
      </c>
      <c r="E29" s="302"/>
      <c r="F29" s="302"/>
      <c r="G29" s="302"/>
    </row>
    <row r="30" spans="1:7">
      <c r="A30" s="280" t="s">
        <v>12</v>
      </c>
      <c r="B30" s="304">
        <f>Ratios!E8</f>
        <v>1802.440057820183</v>
      </c>
      <c r="C30" s="777"/>
      <c r="D30" s="777"/>
    </row>
    <row r="31" spans="1:7">
      <c r="A31" s="280" t="s">
        <v>580</v>
      </c>
      <c r="B31" s="304">
        <f>Ratios!E9</f>
        <v>279.60878283861757</v>
      </c>
      <c r="C31" s="777"/>
      <c r="D31" s="778"/>
    </row>
    <row r="32" spans="1:7">
      <c r="A32" s="280" t="s">
        <v>581</v>
      </c>
      <c r="B32" s="304">
        <f>Ratios!E10</f>
        <v>18</v>
      </c>
      <c r="C32" s="305">
        <v>0.6</v>
      </c>
      <c r="D32" s="306">
        <f>SUM(B30:B32)*C32</f>
        <v>1260.0293043952804</v>
      </c>
    </row>
    <row r="33" spans="1:7" ht="12" customHeight="1">
      <c r="B33" s="304"/>
      <c r="D33" s="304"/>
    </row>
    <row r="34" spans="1:7" ht="12.75" thickBot="1">
      <c r="C34" s="307" t="s">
        <v>582</v>
      </c>
      <c r="D34" s="308">
        <f>D32/2</f>
        <v>630.0146521976402</v>
      </c>
      <c r="E34" s="294" t="s">
        <v>576</v>
      </c>
      <c r="F34" s="294"/>
    </row>
    <row r="35" spans="1:7" ht="12.75" thickTop="1">
      <c r="D35" s="309"/>
      <c r="E35" s="310"/>
    </row>
    <row r="36" spans="1:7">
      <c r="A36" s="311"/>
      <c r="B36" s="291"/>
      <c r="C36" s="291"/>
      <c r="D36" s="291"/>
      <c r="E36" s="312">
        <f>SUM(B30:B31)/SUM(B30:B32)</f>
        <v>0.99142877077356295</v>
      </c>
      <c r="F36" s="280" t="s">
        <v>583</v>
      </c>
    </row>
    <row r="37" spans="1:7">
      <c r="A37" s="313" t="s">
        <v>584</v>
      </c>
      <c r="B37" s="313"/>
      <c r="C37" s="313"/>
      <c r="D37" s="313"/>
      <c r="E37" s="313"/>
      <c r="F37" s="314"/>
      <c r="G37" s="314"/>
    </row>
    <row r="38" spans="1:7">
      <c r="A38" s="301" t="s">
        <v>585</v>
      </c>
      <c r="B38" s="285"/>
      <c r="C38" s="285"/>
      <c r="D38" s="285"/>
      <c r="E38" s="285"/>
      <c r="F38" s="285"/>
      <c r="G38" s="285"/>
    </row>
    <row r="39" spans="1:7" ht="14.25" customHeight="1">
      <c r="A39" s="302"/>
      <c r="B39" s="303"/>
      <c r="C39" s="303"/>
      <c r="D39" s="303"/>
      <c r="E39" s="302"/>
      <c r="F39" s="302"/>
      <c r="G39" s="302"/>
    </row>
    <row r="40" spans="1:7" s="813" customFormat="1" ht="14.25" customHeight="1">
      <c r="A40" s="811"/>
      <c r="B40" s="812"/>
      <c r="C40" s="812"/>
      <c r="D40" s="812"/>
      <c r="E40" s="811"/>
      <c r="F40" s="811"/>
      <c r="G40" s="811"/>
    </row>
    <row r="41" spans="1:7" ht="14.25" customHeight="1">
      <c r="A41" s="299" t="s">
        <v>1302</v>
      </c>
      <c r="B41" s="810">
        <f>'Bingen Consolidated IS'!C87</f>
        <v>49840.82</v>
      </c>
      <c r="C41" s="807"/>
      <c r="D41" s="807"/>
      <c r="E41" s="807"/>
      <c r="F41" s="807"/>
      <c r="G41" s="807"/>
    </row>
    <row r="42" spans="1:7">
      <c r="A42" s="299" t="s">
        <v>1303</v>
      </c>
      <c r="B42" s="809">
        <f>'IS End 1.31.18'!AE109</f>
        <v>53156.26</v>
      </c>
    </row>
    <row r="43" spans="1:7" ht="12.75" thickBot="1">
      <c r="A43" s="299"/>
      <c r="B43" s="315">
        <f>B42-B41</f>
        <v>3315.4400000000023</v>
      </c>
      <c r="C43" s="294" t="s">
        <v>585</v>
      </c>
    </row>
    <row r="44" spans="1:7" ht="12.75" thickTop="1">
      <c r="B44" s="304"/>
    </row>
  </sheetData>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CG371"/>
  <sheetViews>
    <sheetView showGridLines="0" view="pageBreakPreview" zoomScaleNormal="100" zoomScaleSheetLayoutView="100" workbookViewId="0">
      <selection activeCell="N44" sqref="N44"/>
    </sheetView>
  </sheetViews>
  <sheetFormatPr defaultRowHeight="15"/>
  <cols>
    <col min="1" max="1" width="2" customWidth="1"/>
    <col min="2" max="9" width="10.85546875" style="289" customWidth="1"/>
    <col min="10" max="10" width="12.140625" style="289" bestFit="1" customWidth="1"/>
    <col min="11" max="11" width="7" customWidth="1"/>
    <col min="12" max="13" width="1.5703125" customWidth="1"/>
    <col min="14" max="14" width="1.28515625" customWidth="1"/>
    <col min="15" max="15" width="17.85546875" style="289" customWidth="1"/>
    <col min="16" max="17" width="1.42578125" style="289" customWidth="1"/>
    <col min="18" max="19" width="9.140625" style="289"/>
    <col min="20" max="20" width="4.85546875" style="289" customWidth="1"/>
    <col min="21" max="21" width="1.28515625" style="289" customWidth="1"/>
    <col min="22" max="22" width="9.140625" style="289"/>
    <col min="23" max="23" width="9.42578125" style="289" customWidth="1"/>
    <col min="24" max="24" width="7.85546875" style="289" customWidth="1"/>
    <col min="25" max="25" width="8.42578125" style="289" customWidth="1"/>
    <col min="26" max="26" width="5.5703125" style="289" customWidth="1"/>
    <col min="27" max="27" width="4.7109375" style="289" customWidth="1"/>
    <col min="28" max="28" width="7.42578125" style="289" customWidth="1"/>
    <col min="29" max="29" width="9" style="289" customWidth="1"/>
    <col min="30" max="30" width="7" style="289" customWidth="1"/>
    <col min="31" max="31" width="9.85546875" style="289" customWidth="1"/>
    <col min="32" max="32" width="7.140625" style="289" customWidth="1"/>
    <col min="33" max="33" width="7" style="289" customWidth="1"/>
    <col min="34" max="34" width="1.5703125" customWidth="1"/>
    <col min="35" max="35" width="2.140625" customWidth="1"/>
    <col min="36" max="36" width="9.140625" style="289"/>
    <col min="37" max="44" width="9" style="289" customWidth="1"/>
    <col min="45" max="45" width="9.7109375" style="289" customWidth="1"/>
  </cols>
  <sheetData>
    <row r="1" spans="1:85" ht="15.75">
      <c r="A1" s="185"/>
      <c r="B1" s="866"/>
      <c r="C1" s="866"/>
      <c r="D1" s="866"/>
      <c r="E1" s="866"/>
      <c r="F1" s="866"/>
      <c r="G1" s="866"/>
      <c r="H1" s="866"/>
      <c r="I1" s="866"/>
      <c r="J1" s="866"/>
      <c r="K1" s="185"/>
      <c r="L1" s="185"/>
      <c r="M1" s="185"/>
      <c r="N1" s="185"/>
      <c r="O1" s="866"/>
      <c r="P1" s="866"/>
      <c r="Q1" s="866"/>
      <c r="R1" s="866"/>
      <c r="S1" s="866"/>
      <c r="T1" s="866"/>
      <c r="U1" s="866"/>
      <c r="V1" s="866"/>
      <c r="W1" s="866"/>
      <c r="X1" s="866"/>
      <c r="Y1" s="866"/>
      <c r="Z1" s="866"/>
      <c r="AA1" s="866"/>
      <c r="AB1" s="866"/>
      <c r="AC1" s="866"/>
      <c r="AD1" s="866"/>
      <c r="AE1" s="866"/>
      <c r="AF1" s="866"/>
      <c r="AG1" s="866"/>
      <c r="AH1" s="185"/>
      <c r="AI1" s="185"/>
      <c r="AJ1" s="866"/>
      <c r="AK1" s="866"/>
      <c r="AL1" s="866"/>
      <c r="AM1" s="866"/>
      <c r="AN1" s="866"/>
      <c r="AO1" s="866"/>
      <c r="AP1" s="866"/>
      <c r="AQ1" s="866"/>
      <c r="AR1" s="866"/>
      <c r="AS1" s="866"/>
      <c r="AT1" s="185"/>
      <c r="AU1" s="185"/>
      <c r="AV1" s="185"/>
      <c r="AW1" s="185"/>
      <c r="AX1" s="185"/>
      <c r="AY1" s="185"/>
      <c r="AZ1" s="185"/>
      <c r="BA1" s="185"/>
      <c r="BB1" s="185"/>
      <c r="BC1" s="185"/>
      <c r="BD1" s="185"/>
      <c r="BE1" s="185"/>
      <c r="BF1" s="185"/>
      <c r="BG1" s="185"/>
      <c r="BH1" s="185"/>
      <c r="BI1" s="185"/>
      <c r="BJ1" s="185"/>
      <c r="BK1" s="185"/>
      <c r="BL1" s="186"/>
      <c r="BM1" s="186"/>
      <c r="BN1" s="186"/>
      <c r="BO1" s="186"/>
      <c r="BP1" s="186"/>
      <c r="BQ1" s="186"/>
      <c r="BR1" s="186"/>
      <c r="BS1" s="186"/>
      <c r="BT1" s="186"/>
      <c r="BU1" s="186"/>
      <c r="BV1" s="186"/>
      <c r="BW1" s="186"/>
      <c r="BX1" s="186"/>
      <c r="BY1" s="186"/>
      <c r="BZ1" s="186"/>
      <c r="CA1" s="186"/>
      <c r="CB1" s="186"/>
      <c r="CC1" s="186"/>
      <c r="CD1" s="186"/>
      <c r="CE1" s="186"/>
      <c r="CF1" s="186"/>
      <c r="CG1" s="186"/>
    </row>
    <row r="2" spans="1:85" ht="15.75">
      <c r="A2" s="185"/>
      <c r="B2" s="866"/>
      <c r="C2" s="866"/>
      <c r="D2" s="866"/>
      <c r="E2" s="866"/>
      <c r="F2" s="866"/>
      <c r="G2" s="866"/>
      <c r="H2" s="866"/>
      <c r="I2" s="867"/>
      <c r="J2" s="866"/>
      <c r="K2" s="187"/>
      <c r="L2" s="187"/>
      <c r="M2" s="187"/>
      <c r="N2" s="187"/>
      <c r="O2" s="868"/>
      <c r="P2" s="868"/>
      <c r="Q2" s="868"/>
      <c r="R2" s="868"/>
      <c r="S2" s="868"/>
      <c r="T2" s="868"/>
      <c r="U2" s="868"/>
      <c r="V2" s="868"/>
      <c r="W2" s="868"/>
      <c r="X2" s="868"/>
      <c r="Y2" s="868"/>
      <c r="Z2" s="868"/>
      <c r="AA2" s="868"/>
      <c r="AB2" s="868"/>
      <c r="AC2" s="868"/>
      <c r="AD2" s="868"/>
      <c r="AE2" s="868"/>
      <c r="AF2" s="917" t="s">
        <v>345</v>
      </c>
      <c r="AG2" s="917" t="s">
        <v>346</v>
      </c>
      <c r="AH2" s="187"/>
      <c r="AI2" s="187"/>
      <c r="AJ2" s="868" t="s">
        <v>347</v>
      </c>
      <c r="AK2" s="868"/>
      <c r="AL2" s="868"/>
      <c r="AM2" s="868"/>
      <c r="AN2" s="868"/>
      <c r="AO2" s="868"/>
      <c r="AP2" s="868"/>
      <c r="AQ2" s="868"/>
      <c r="AR2" s="868"/>
      <c r="AS2" s="868"/>
      <c r="AT2" s="185"/>
      <c r="AU2" s="185"/>
      <c r="AV2" s="185"/>
      <c r="AW2" s="185"/>
      <c r="AX2" s="185"/>
      <c r="AY2" s="185"/>
      <c r="AZ2" s="185"/>
      <c r="BA2" s="185"/>
      <c r="BB2" s="185"/>
      <c r="BC2" s="185"/>
      <c r="BD2" s="185"/>
      <c r="BE2" s="185"/>
      <c r="BF2" s="185"/>
      <c r="BG2" s="185"/>
      <c r="BH2" s="185"/>
      <c r="BI2" s="185"/>
      <c r="BJ2" s="185"/>
      <c r="BK2" s="185"/>
      <c r="BL2" s="186"/>
      <c r="BM2" s="186"/>
      <c r="BN2" s="186"/>
      <c r="BO2" s="186"/>
      <c r="BP2" s="186"/>
      <c r="BQ2" s="186"/>
      <c r="BR2" s="186"/>
      <c r="BS2" s="186"/>
      <c r="BT2" s="186"/>
      <c r="BU2" s="186"/>
      <c r="BV2" s="186"/>
      <c r="BW2" s="186"/>
      <c r="BX2" s="186"/>
      <c r="BY2" s="186"/>
      <c r="BZ2" s="186"/>
      <c r="CA2" s="186"/>
      <c r="CB2" s="186"/>
      <c r="CC2" s="186"/>
      <c r="CD2" s="186"/>
      <c r="CE2" s="186"/>
      <c r="CF2" s="186"/>
      <c r="CG2" s="186"/>
    </row>
    <row r="3" spans="1:85" ht="15.75">
      <c r="A3" s="185"/>
      <c r="B3" s="868" t="s">
        <v>348</v>
      </c>
      <c r="C3" s="866"/>
      <c r="D3" s="866"/>
      <c r="E3" s="866"/>
      <c r="F3" s="866"/>
      <c r="G3" s="866"/>
      <c r="H3" s="866"/>
      <c r="I3" s="866"/>
      <c r="J3" s="869">
        <f>'LG G-48'!E6+'LG G-51'!E6</f>
        <v>181269.37507867988</v>
      </c>
      <c r="K3" s="187"/>
      <c r="L3" s="187"/>
      <c r="M3" s="187"/>
      <c r="N3" s="187"/>
      <c r="O3" s="868"/>
      <c r="P3" s="868"/>
      <c r="Q3" s="868"/>
      <c r="R3" s="868"/>
      <c r="S3" s="868"/>
      <c r="T3" s="868"/>
      <c r="U3" s="868"/>
      <c r="V3" s="868"/>
      <c r="W3" s="868"/>
      <c r="X3" s="868"/>
      <c r="Y3" s="868"/>
      <c r="Z3" s="868"/>
      <c r="AA3" s="868"/>
      <c r="AB3" s="868"/>
      <c r="AC3" s="868"/>
      <c r="AD3" s="868"/>
      <c r="AE3" s="868"/>
      <c r="AF3" s="917"/>
      <c r="AG3" s="917"/>
      <c r="AH3" s="187"/>
      <c r="AI3" s="187"/>
      <c r="AJ3" s="868"/>
      <c r="AK3" s="868"/>
      <c r="AL3" s="868"/>
      <c r="AM3" s="868"/>
      <c r="AN3" s="868"/>
      <c r="AO3" s="868"/>
      <c r="AP3" s="868"/>
      <c r="AQ3" s="868"/>
      <c r="AR3" s="868"/>
      <c r="AS3" s="868"/>
      <c r="AT3" s="185"/>
      <c r="AU3" s="185"/>
      <c r="AV3" s="185"/>
      <c r="AW3" s="185"/>
      <c r="AX3" s="185"/>
      <c r="AY3" s="185"/>
      <c r="AZ3" s="185"/>
      <c r="BA3" s="185"/>
      <c r="BB3" s="185"/>
      <c r="BC3" s="185"/>
      <c r="BD3" s="185"/>
      <c r="BE3" s="185"/>
      <c r="BF3" s="185"/>
      <c r="BG3" s="185"/>
      <c r="BH3" s="185"/>
      <c r="BI3" s="185"/>
      <c r="BJ3" s="185"/>
      <c r="BK3" s="185"/>
      <c r="BL3" s="186"/>
      <c r="BM3" s="186"/>
      <c r="BN3" s="186"/>
      <c r="BO3" s="186"/>
      <c r="BP3" s="186"/>
      <c r="BQ3" s="186"/>
      <c r="BR3" s="186"/>
      <c r="BS3" s="186"/>
      <c r="BT3" s="186"/>
      <c r="BU3" s="186"/>
      <c r="BV3" s="186"/>
      <c r="BW3" s="186"/>
      <c r="BX3" s="186"/>
      <c r="BY3" s="186"/>
      <c r="BZ3" s="186"/>
      <c r="CA3" s="186"/>
      <c r="CB3" s="186"/>
      <c r="CC3" s="186"/>
      <c r="CD3" s="186"/>
      <c r="CE3" s="186"/>
      <c r="CF3" s="186"/>
      <c r="CG3" s="186"/>
    </row>
    <row r="4" spans="1:85" ht="16.5" customHeight="1">
      <c r="A4" s="185"/>
      <c r="B4" s="870"/>
      <c r="C4" s="868"/>
      <c r="D4" s="868"/>
      <c r="E4" s="871"/>
      <c r="F4" s="868"/>
      <c r="G4" s="872"/>
      <c r="H4" s="868"/>
      <c r="I4" s="873" t="s">
        <v>312</v>
      </c>
      <c r="J4" s="874">
        <f>E6-J3</f>
        <v>161.71721613421687</v>
      </c>
      <c r="K4" s="190"/>
      <c r="L4" s="187"/>
      <c r="M4" s="187"/>
      <c r="N4" s="187"/>
      <c r="O4" s="868" t="s">
        <v>349</v>
      </c>
      <c r="P4" s="868"/>
      <c r="Q4" s="868"/>
      <c r="R4" s="868"/>
      <c r="S4" s="868"/>
      <c r="T4" s="868"/>
      <c r="U4" s="868"/>
      <c r="V4" s="917" t="s">
        <v>350</v>
      </c>
      <c r="W4" s="917" t="s">
        <v>351</v>
      </c>
      <c r="X4" s="917" t="s">
        <v>352</v>
      </c>
      <c r="Y4" s="917" t="s">
        <v>353</v>
      </c>
      <c r="Z4" s="917" t="s">
        <v>354</v>
      </c>
      <c r="AA4" s="868"/>
      <c r="AB4" s="917" t="s">
        <v>355</v>
      </c>
      <c r="AC4" s="868" t="s">
        <v>356</v>
      </c>
      <c r="AD4" s="917" t="s">
        <v>357</v>
      </c>
      <c r="AE4" s="917" t="s">
        <v>358</v>
      </c>
      <c r="AF4" s="917" t="s">
        <v>359</v>
      </c>
      <c r="AG4" s="868"/>
      <c r="AH4" s="187"/>
      <c r="AI4" s="187"/>
      <c r="AJ4" s="868" t="s">
        <v>360</v>
      </c>
      <c r="AK4" s="868"/>
      <c r="AL4" s="868"/>
      <c r="AM4" s="868"/>
      <c r="AN4" s="868"/>
      <c r="AO4" s="868"/>
      <c r="AP4" s="868"/>
      <c r="AQ4" s="868"/>
      <c r="AR4" s="868"/>
      <c r="AS4" s="868"/>
      <c r="AT4" s="185"/>
      <c r="AU4" s="185"/>
      <c r="AV4" s="185"/>
      <c r="AW4" s="185"/>
      <c r="AX4" s="185"/>
      <c r="AY4" s="185"/>
      <c r="AZ4" s="185"/>
      <c r="BA4" s="185"/>
      <c r="BB4" s="185"/>
      <c r="BC4" s="185"/>
      <c r="BD4" s="185"/>
      <c r="BE4" s="185"/>
      <c r="BF4" s="185"/>
      <c r="BG4" s="185"/>
      <c r="BH4" s="185"/>
      <c r="BI4" s="185"/>
      <c r="BJ4" s="185"/>
      <c r="BK4" s="185"/>
      <c r="BL4" s="186"/>
      <c r="BM4" s="186"/>
      <c r="BN4" s="186"/>
      <c r="BO4" s="186"/>
      <c r="BP4" s="186"/>
      <c r="BQ4" s="186"/>
      <c r="BR4" s="186"/>
      <c r="BS4" s="186"/>
      <c r="BT4" s="186"/>
      <c r="BU4" s="186"/>
      <c r="BV4" s="186"/>
      <c r="BW4" s="186"/>
      <c r="BX4" s="186"/>
      <c r="BY4" s="186"/>
      <c r="BZ4" s="186"/>
      <c r="CA4" s="186"/>
      <c r="CB4" s="186"/>
      <c r="CC4" s="186"/>
      <c r="CD4" s="186"/>
      <c r="CE4" s="186"/>
      <c r="CF4" s="186"/>
      <c r="CG4" s="186"/>
    </row>
    <row r="5" spans="1:85" ht="16.5" customHeight="1">
      <c r="A5" s="185"/>
      <c r="B5" s="875" t="s">
        <v>361</v>
      </c>
      <c r="C5" s="875" t="s">
        <v>362</v>
      </c>
      <c r="D5" s="868"/>
      <c r="E5" s="871">
        <f>E7+E6</f>
        <v>1483105.8222948143</v>
      </c>
      <c r="F5" s="875" t="s">
        <v>363</v>
      </c>
      <c r="G5" s="868"/>
      <c r="H5" s="868"/>
      <c r="I5" s="868"/>
      <c r="J5" s="875"/>
      <c r="K5" s="187"/>
      <c r="L5" s="191"/>
      <c r="M5" s="187"/>
      <c r="N5" s="187"/>
      <c r="O5" s="875" t="s">
        <v>364</v>
      </c>
      <c r="P5" s="868"/>
      <c r="Q5" s="868"/>
      <c r="R5" s="875" t="s">
        <v>365</v>
      </c>
      <c r="S5" s="868"/>
      <c r="T5" s="868"/>
      <c r="U5" s="868"/>
      <c r="V5" s="911">
        <f>$E$8*1.25</f>
        <v>1628305.7291586639</v>
      </c>
      <c r="W5" s="884">
        <f>100*(+V5/$E$9)</f>
        <v>185.27118006727937</v>
      </c>
      <c r="X5" s="892">
        <f>EXP(5.7226-(0.68367*LN(+W5)))</f>
        <v>8.6071901442927228</v>
      </c>
      <c r="Y5" s="892">
        <f>(+X5*W5)/100</f>
        <v>15.946642750965694</v>
      </c>
      <c r="Z5" s="884">
        <f>100*((((Y5/100)-((Y5/100)-0.03574)*$E$21)-0.03574-0.00619)/0.344)</f>
        <v>21.938791324527205</v>
      </c>
      <c r="AA5" s="868">
        <f>$E$20</f>
        <v>0.25</v>
      </c>
      <c r="AB5" s="884">
        <f>Z5+AA5</f>
        <v>22.188791324527205</v>
      </c>
      <c r="AC5" s="884">
        <f>100*($E$17*$E$19+($E$18*(AB5/100))/(1-$E$21))</f>
        <v>21.400133582489943</v>
      </c>
      <c r="AD5" s="892">
        <f>AC5/W5</f>
        <v>0.11550708304831166</v>
      </c>
      <c r="AE5" s="911">
        <f>$E$8/(1-AD5)</f>
        <v>1472758.6375890477</v>
      </c>
      <c r="AF5" s="868" t="str">
        <f>IF(AE5=$V$5,"yes","not yet")</f>
        <v>not yet</v>
      </c>
      <c r="AG5" s="884">
        <f>100*(1-AD5)</f>
        <v>88.449291695168824</v>
      </c>
      <c r="AH5" s="187"/>
      <c r="AI5" s="187"/>
      <c r="AJ5" s="868">
        <v>0</v>
      </c>
      <c r="AK5" s="868">
        <v>1</v>
      </c>
      <c r="AL5" s="868"/>
      <c r="AM5" s="868"/>
      <c r="AN5" s="868"/>
      <c r="AO5" s="868"/>
      <c r="AP5" s="868"/>
      <c r="AQ5" s="868"/>
      <c r="AR5" s="868"/>
      <c r="AS5" s="868"/>
      <c r="AT5" s="185"/>
      <c r="AU5" s="185"/>
      <c r="AV5" s="185"/>
      <c r="AW5" s="185"/>
      <c r="AX5" s="185"/>
      <c r="AY5" s="185"/>
      <c r="AZ5" s="185"/>
      <c r="BA5" s="185"/>
      <c r="BB5" s="185"/>
      <c r="BC5" s="185"/>
      <c r="BD5" s="185"/>
      <c r="BE5" s="185"/>
      <c r="BF5" s="185"/>
      <c r="BG5" s="185"/>
      <c r="BH5" s="185"/>
      <c r="BI5" s="185"/>
      <c r="BJ5" s="185"/>
      <c r="BK5" s="185"/>
      <c r="BL5" s="186"/>
      <c r="BM5" s="186"/>
      <c r="BN5" s="186"/>
      <c r="BO5" s="186"/>
      <c r="BP5" s="186"/>
      <c r="BQ5" s="186"/>
      <c r="BR5" s="186"/>
      <c r="BS5" s="186"/>
      <c r="BT5" s="186"/>
      <c r="BU5" s="186"/>
      <c r="BV5" s="186"/>
      <c r="BW5" s="186"/>
      <c r="BX5" s="186"/>
      <c r="BY5" s="186"/>
      <c r="BZ5" s="186"/>
      <c r="CA5" s="186"/>
      <c r="CB5" s="186"/>
      <c r="CC5" s="186"/>
      <c r="CD5" s="186"/>
      <c r="CE5" s="186"/>
      <c r="CF5" s="186"/>
      <c r="CG5" s="186"/>
    </row>
    <row r="6" spans="1:85" ht="16.5" customHeight="1">
      <c r="A6" s="185"/>
      <c r="B6" s="875" t="s">
        <v>361</v>
      </c>
      <c r="C6" s="875" t="s">
        <v>366</v>
      </c>
      <c r="D6" s="868"/>
      <c r="E6" s="871">
        <f>(+E8-((H15/100)*E7))/H25</f>
        <v>181431.09229481409</v>
      </c>
      <c r="F6" s="876" t="s">
        <v>363</v>
      </c>
      <c r="G6" s="868"/>
      <c r="H6" s="877"/>
      <c r="I6" s="868"/>
      <c r="J6" s="878">
        <f>E6/E7</f>
        <v>0.1393828182366374</v>
      </c>
      <c r="K6" s="187" t="s">
        <v>367</v>
      </c>
      <c r="L6" s="191"/>
      <c r="M6" s="187"/>
      <c r="N6" s="187"/>
      <c r="O6" s="875" t="s">
        <v>368</v>
      </c>
      <c r="P6" s="868"/>
      <c r="Q6" s="868"/>
      <c r="R6" s="875" t="s">
        <v>369</v>
      </c>
      <c r="S6" s="868"/>
      <c r="T6" s="868"/>
      <c r="U6" s="868"/>
      <c r="V6" s="911">
        <f>$E$8*1.25</f>
        <v>1628305.7291586639</v>
      </c>
      <c r="W6" s="884">
        <f>100*(+V6/$E$9)</f>
        <v>185.27118006727937</v>
      </c>
      <c r="X6" s="892">
        <f>EXP(5.70827-(0.68367*LN(+W6)))</f>
        <v>8.4847286417944705</v>
      </c>
      <c r="Y6" s="892">
        <f>(+X6*W6)/100</f>
        <v>15.719756880159061</v>
      </c>
      <c r="Z6" s="884">
        <f>100*((((Y6/100)-((Y6/100)-0.03574)*$E$21)-0.03574-0.00619)/0.344)</f>
        <v>21.503487037514478</v>
      </c>
      <c r="AA6" s="868">
        <f>$E$20</f>
        <v>0.25</v>
      </c>
      <c r="AB6" s="884">
        <f>Z6+AA6</f>
        <v>21.753487037514478</v>
      </c>
      <c r="AC6" s="884">
        <f>100*($E$17*$E$19+($E$18*(AB6/100))/(1-$E$21))</f>
        <v>21.00440241247837</v>
      </c>
      <c r="AD6" s="892">
        <f>AC6/W6</f>
        <v>0.11337112660938864</v>
      </c>
      <c r="AE6" s="911">
        <f>$E$8/(1-AD6)</f>
        <v>1469210.6499367754</v>
      </c>
      <c r="AF6" s="868" t="str">
        <f>IF(AE6=$V$6,"yes","not yet")</f>
        <v>not yet</v>
      </c>
      <c r="AG6" s="884">
        <f>100*(1-AD6)</f>
        <v>88.662887339061143</v>
      </c>
      <c r="AH6" s="187"/>
      <c r="AI6" s="187"/>
      <c r="AJ6" s="868">
        <v>50</v>
      </c>
      <c r="AK6" s="868">
        <v>2</v>
      </c>
      <c r="AL6" s="868"/>
      <c r="AM6" s="868"/>
      <c r="AN6" s="868"/>
      <c r="AO6" s="868"/>
      <c r="AP6" s="868"/>
      <c r="AQ6" s="868"/>
      <c r="AR6" s="868"/>
      <c r="AS6" s="868"/>
      <c r="AT6" s="185"/>
      <c r="AU6" s="185"/>
      <c r="AV6" s="185"/>
      <c r="AW6" s="185"/>
      <c r="AX6" s="185"/>
      <c r="AY6" s="185"/>
      <c r="AZ6" s="185"/>
      <c r="BA6" s="185"/>
      <c r="BB6" s="185"/>
      <c r="BC6" s="185"/>
      <c r="BD6" s="185"/>
      <c r="BE6" s="185"/>
      <c r="BF6" s="185"/>
      <c r="BG6" s="185"/>
      <c r="BH6" s="185"/>
      <c r="BI6" s="185"/>
      <c r="BJ6" s="185"/>
      <c r="BK6" s="185"/>
      <c r="BL6" s="186"/>
      <c r="BM6" s="186"/>
      <c r="BN6" s="186"/>
      <c r="BO6" s="186"/>
      <c r="BP6" s="186"/>
      <c r="BQ6" s="186"/>
      <c r="BR6" s="186"/>
      <c r="BS6" s="186"/>
      <c r="BT6" s="186"/>
      <c r="BU6" s="186"/>
      <c r="BV6" s="186"/>
      <c r="BW6" s="186"/>
      <c r="BX6" s="186"/>
      <c r="BY6" s="186"/>
      <c r="BZ6" s="186"/>
      <c r="CA6" s="186"/>
      <c r="CB6" s="186"/>
      <c r="CC6" s="186"/>
      <c r="CD6" s="186"/>
      <c r="CE6" s="186"/>
      <c r="CF6" s="186"/>
      <c r="CG6" s="186"/>
    </row>
    <row r="7" spans="1:85" ht="16.5" customHeight="1">
      <c r="A7" s="185"/>
      <c r="B7" s="879" t="s">
        <v>370</v>
      </c>
      <c r="C7" s="875" t="s">
        <v>84</v>
      </c>
      <c r="D7" s="879" t="s">
        <v>371</v>
      </c>
      <c r="E7" s="880">
        <f>'Bingen Consolidated IS'!H16</f>
        <v>1301674.7300000002</v>
      </c>
      <c r="F7" s="875" t="s">
        <v>372</v>
      </c>
      <c r="G7" s="868"/>
      <c r="H7" s="881"/>
      <c r="I7" s="868"/>
      <c r="J7" s="875"/>
      <c r="K7" s="187"/>
      <c r="L7" s="191"/>
      <c r="M7" s="187"/>
      <c r="N7" s="187"/>
      <c r="O7" s="875" t="s">
        <v>373</v>
      </c>
      <c r="P7" s="868"/>
      <c r="Q7" s="868"/>
      <c r="R7" s="875" t="s">
        <v>374</v>
      </c>
      <c r="S7" s="868"/>
      <c r="T7" s="868"/>
      <c r="U7" s="868"/>
      <c r="V7" s="911">
        <f>$E$8*1.25</f>
        <v>1628305.7291586639</v>
      </c>
      <c r="W7" s="884">
        <f>100*(+V7/$E$9)</f>
        <v>185.27118006727937</v>
      </c>
      <c r="X7" s="892">
        <f>EXP(5.6985-(0.68367*LN(W7)))</f>
        <v>8.4022364733821835</v>
      </c>
      <c r="Y7" s="892">
        <f>(+X7*W7)/100</f>
        <v>15.566922666278529</v>
      </c>
      <c r="Z7" s="884">
        <f>100*((((Y7/100)-((Y7/100)-0.03574)*$E$21)-0.03574-0.00619)/0.344)</f>
        <v>21.210258603906478</v>
      </c>
      <c r="AA7" s="868">
        <f>$E$20</f>
        <v>0.25</v>
      </c>
      <c r="AB7" s="884">
        <f>Z7+AA7</f>
        <v>21.460258603906478</v>
      </c>
      <c r="AC7" s="884">
        <f>100*($E$17*$E$19+($E$18*(AB7/100))/(1-$E$21))</f>
        <v>20.737831109198368</v>
      </c>
      <c r="AD7" s="892">
        <f>AC7/W7</f>
        <v>0.11193230971847662</v>
      </c>
      <c r="AE7" s="911">
        <f>$E$8/(1-AD7)</f>
        <v>1466830.2851035872</v>
      </c>
      <c r="AF7" s="868" t="str">
        <f>IF(AE7=$V$7,"yes","not yet")</f>
        <v>not yet</v>
      </c>
      <c r="AG7" s="884">
        <f>100*(1-AD7)</f>
        <v>88.806769028152345</v>
      </c>
      <c r="AH7" s="187"/>
      <c r="AI7" s="187"/>
      <c r="AJ7" s="868">
        <v>125</v>
      </c>
      <c r="AK7" s="868">
        <v>3</v>
      </c>
      <c r="AL7" s="868"/>
      <c r="AM7" s="868"/>
      <c r="AN7" s="868"/>
      <c r="AO7" s="868"/>
      <c r="AP7" s="868"/>
      <c r="AQ7" s="868"/>
      <c r="AR7" s="868"/>
      <c r="AS7" s="868"/>
      <c r="AT7" s="185"/>
      <c r="AU7" s="185"/>
      <c r="AV7" s="185"/>
      <c r="AW7" s="185"/>
      <c r="AX7" s="185"/>
      <c r="AY7" s="185"/>
      <c r="AZ7" s="185"/>
      <c r="BA7" s="185"/>
      <c r="BB7" s="185"/>
      <c r="BC7" s="185"/>
      <c r="BD7" s="185"/>
      <c r="BE7" s="185"/>
      <c r="BF7" s="185"/>
      <c r="BG7" s="185"/>
      <c r="BH7" s="185"/>
      <c r="BI7" s="185"/>
      <c r="BJ7" s="185"/>
      <c r="BK7" s="185"/>
      <c r="BL7" s="186"/>
      <c r="BM7" s="186"/>
      <c r="BN7" s="186"/>
      <c r="BO7" s="186"/>
      <c r="BP7" s="186"/>
      <c r="BQ7" s="186"/>
      <c r="BR7" s="186"/>
      <c r="BS7" s="186"/>
      <c r="BT7" s="186"/>
      <c r="BU7" s="186"/>
      <c r="BV7" s="186"/>
      <c r="BW7" s="186"/>
      <c r="BX7" s="186"/>
      <c r="BY7" s="186"/>
      <c r="BZ7" s="186"/>
      <c r="CA7" s="186"/>
      <c r="CB7" s="186"/>
      <c r="CC7" s="186"/>
      <c r="CD7" s="186"/>
      <c r="CE7" s="186"/>
      <c r="CF7" s="186"/>
      <c r="CG7" s="186"/>
    </row>
    <row r="8" spans="1:85" ht="16.5" customHeight="1">
      <c r="A8" s="185"/>
      <c r="B8" s="879" t="s">
        <v>370</v>
      </c>
      <c r="C8" s="875" t="s">
        <v>375</v>
      </c>
      <c r="D8" s="879" t="s">
        <v>371</v>
      </c>
      <c r="E8" s="880">
        <f>'Bingen Consolidated IS'!H242</f>
        <v>1302644.5833269311</v>
      </c>
      <c r="F8" s="875" t="s">
        <v>372</v>
      </c>
      <c r="G8" s="868"/>
      <c r="H8" s="881"/>
      <c r="I8" s="868"/>
      <c r="J8" s="882"/>
      <c r="K8" s="190"/>
      <c r="L8" s="191"/>
      <c r="M8" s="187"/>
      <c r="N8" s="187"/>
      <c r="O8" s="875" t="s">
        <v>376</v>
      </c>
      <c r="P8" s="868"/>
      <c r="Q8" s="868"/>
      <c r="R8" s="875" t="s">
        <v>377</v>
      </c>
      <c r="S8" s="868"/>
      <c r="T8" s="868"/>
      <c r="U8" s="868"/>
      <c r="V8" s="911">
        <f>$E$8*1.25</f>
        <v>1628305.7291586639</v>
      </c>
      <c r="W8" s="884">
        <f>100*(+V8/$E$9)</f>
        <v>185.27118006727937</v>
      </c>
      <c r="X8" s="892">
        <f>EXP(5.6922-(0.68367*LN(W8)))</f>
        <v>8.3494687763744899</v>
      </c>
      <c r="Y8" s="892">
        <f>(+X8*W8)/100</f>
        <v>15.469159331338048</v>
      </c>
      <c r="Z8" s="884">
        <f>100*((((Y8/100)-((Y8/100)-0.03574)*$E$21)-0.03574-0.00619)/0.344)</f>
        <v>21.022689414776487</v>
      </c>
      <c r="AA8" s="868">
        <f>$E$20</f>
        <v>0.25</v>
      </c>
      <c r="AB8" s="884">
        <f>Z8+AA8</f>
        <v>21.272689414776487</v>
      </c>
      <c r="AC8" s="884">
        <f>100*($E$17*$E$19+($E$18*(AB8/100))/(1-$E$21))</f>
        <v>20.567313664534741</v>
      </c>
      <c r="AD8" s="892">
        <f>AC8/W8</f>
        <v>0.1110119429102029</v>
      </c>
      <c r="AE8" s="911">
        <f>$E$8/(1-AD8)</f>
        <v>1465311.6798793511</v>
      </c>
      <c r="AF8" s="868" t="str">
        <f>IF(AE8=$V$8,"yes","not yet")</f>
        <v>not yet</v>
      </c>
      <c r="AG8" s="884">
        <f>100*(1-AD8)</f>
        <v>88.898805708979708</v>
      </c>
      <c r="AH8" s="187"/>
      <c r="AI8" s="187"/>
      <c r="AJ8" s="868">
        <v>401</v>
      </c>
      <c r="AK8" s="868">
        <v>4</v>
      </c>
      <c r="AL8" s="868"/>
      <c r="AM8" s="868"/>
      <c r="AN8" s="868"/>
      <c r="AO8" s="868"/>
      <c r="AP8" s="868"/>
      <c r="AQ8" s="868"/>
      <c r="AR8" s="868"/>
      <c r="AS8" s="868"/>
      <c r="AT8" s="185"/>
      <c r="AU8" s="185"/>
      <c r="AV8" s="185"/>
      <c r="AW8" s="185"/>
      <c r="AX8" s="185"/>
      <c r="AY8" s="185"/>
      <c r="AZ8" s="185"/>
      <c r="BA8" s="185"/>
      <c r="BB8" s="185"/>
      <c r="BC8" s="185"/>
      <c r="BD8" s="185"/>
      <c r="BE8" s="185"/>
      <c r="BF8" s="185"/>
      <c r="BG8" s="185"/>
      <c r="BH8" s="185"/>
      <c r="BI8" s="185"/>
      <c r="BJ8" s="185"/>
      <c r="BK8" s="185"/>
      <c r="BL8" s="186"/>
      <c r="BM8" s="186"/>
      <c r="BN8" s="186"/>
      <c r="BO8" s="186"/>
      <c r="BP8" s="186"/>
      <c r="BQ8" s="186"/>
      <c r="BR8" s="186"/>
      <c r="BS8" s="186"/>
      <c r="BT8" s="186"/>
      <c r="BU8" s="186"/>
      <c r="BV8" s="186"/>
      <c r="BW8" s="186"/>
      <c r="BX8" s="186"/>
      <c r="BY8" s="186"/>
      <c r="BZ8" s="186"/>
      <c r="CA8" s="186"/>
      <c r="CB8" s="186"/>
      <c r="CC8" s="186"/>
      <c r="CD8" s="186"/>
      <c r="CE8" s="186"/>
      <c r="CF8" s="186"/>
      <c r="CG8" s="186"/>
    </row>
    <row r="9" spans="1:85" ht="16.5" customHeight="1">
      <c r="A9" s="185"/>
      <c r="B9" s="879" t="s">
        <v>370</v>
      </c>
      <c r="C9" s="875" t="s">
        <v>378</v>
      </c>
      <c r="D9" s="868"/>
      <c r="E9" s="880">
        <f>'Bingen Consolidated IS'!H248</f>
        <v>878876.96757118986</v>
      </c>
      <c r="F9" s="875" t="s">
        <v>372</v>
      </c>
      <c r="G9" s="868"/>
      <c r="H9" s="868"/>
      <c r="I9" s="868"/>
      <c r="J9" s="883"/>
      <c r="K9" s="192"/>
      <c r="L9" s="191"/>
      <c r="M9" s="187"/>
      <c r="N9" s="187"/>
      <c r="O9" s="868"/>
      <c r="P9" s="868"/>
      <c r="Q9" s="868"/>
      <c r="R9" s="868"/>
      <c r="S9" s="868"/>
      <c r="T9" s="868"/>
      <c r="U9" s="868"/>
      <c r="V9" s="868"/>
      <c r="W9" s="868"/>
      <c r="X9" s="868"/>
      <c r="Y9" s="868"/>
      <c r="Z9" s="868"/>
      <c r="AA9" s="868"/>
      <c r="AB9" s="884"/>
      <c r="AC9" s="868"/>
      <c r="AD9" s="868"/>
      <c r="AE9" s="868"/>
      <c r="AF9" s="868"/>
      <c r="AG9" s="868"/>
      <c r="AH9" s="187"/>
      <c r="AI9" s="187"/>
      <c r="AJ9" s="868"/>
      <c r="AK9" s="868"/>
      <c r="AL9" s="868"/>
      <c r="AM9" s="868"/>
      <c r="AN9" s="868"/>
      <c r="AO9" s="868"/>
      <c r="AP9" s="868"/>
      <c r="AQ9" s="868"/>
      <c r="AR9" s="868"/>
      <c r="AS9" s="868"/>
      <c r="AT9" s="185"/>
      <c r="AU9" s="185"/>
      <c r="AV9" s="185"/>
      <c r="AW9" s="185"/>
      <c r="AX9" s="185"/>
      <c r="AY9" s="185"/>
      <c r="AZ9" s="185"/>
      <c r="BA9" s="185"/>
      <c r="BB9" s="185"/>
      <c r="BC9" s="185"/>
      <c r="BD9" s="185"/>
      <c r="BE9" s="185"/>
      <c r="BF9" s="185"/>
      <c r="BG9" s="185"/>
      <c r="BH9" s="185"/>
      <c r="BI9" s="185"/>
      <c r="BJ9" s="185"/>
      <c r="BK9" s="185"/>
      <c r="BL9" s="186"/>
      <c r="BM9" s="186"/>
      <c r="BN9" s="186"/>
      <c r="BO9" s="186"/>
      <c r="BP9" s="186"/>
      <c r="BQ9" s="186"/>
      <c r="BR9" s="186"/>
      <c r="BS9" s="186"/>
      <c r="BT9" s="186"/>
      <c r="BU9" s="186"/>
      <c r="BV9" s="186"/>
      <c r="BW9" s="186"/>
      <c r="BX9" s="186"/>
      <c r="BY9" s="186"/>
      <c r="BZ9" s="186"/>
      <c r="CA9" s="186"/>
      <c r="CB9" s="186"/>
      <c r="CC9" s="186"/>
      <c r="CD9" s="186"/>
      <c r="CE9" s="186"/>
      <c r="CF9" s="186"/>
      <c r="CG9" s="186"/>
    </row>
    <row r="10" spans="1:85" ht="16.5" customHeight="1">
      <c r="A10" s="185"/>
      <c r="B10" s="870"/>
      <c r="C10" s="875" t="s">
        <v>379</v>
      </c>
      <c r="D10" s="868"/>
      <c r="E10" s="884">
        <f>W5</f>
        <v>185.27118006727937</v>
      </c>
      <c r="F10" s="875" t="s">
        <v>380</v>
      </c>
      <c r="G10" s="868"/>
      <c r="H10" s="884"/>
      <c r="I10" s="884"/>
      <c r="J10" s="885"/>
      <c r="K10" s="825"/>
      <c r="L10" s="187"/>
      <c r="M10" s="187"/>
      <c r="N10" s="187"/>
      <c r="O10" s="868"/>
      <c r="P10" s="868"/>
      <c r="Q10" s="868"/>
      <c r="R10" s="868"/>
      <c r="S10" s="868"/>
      <c r="T10" s="868"/>
      <c r="U10" s="868"/>
      <c r="V10" s="868"/>
      <c r="W10" s="918" t="s">
        <v>381</v>
      </c>
      <c r="X10" s="918" t="s">
        <v>352</v>
      </c>
      <c r="Y10" s="918" t="s">
        <v>353</v>
      </c>
      <c r="Z10" s="918" t="s">
        <v>354</v>
      </c>
      <c r="AA10" s="868"/>
      <c r="AB10" s="884"/>
      <c r="AC10" s="868"/>
      <c r="AD10" s="868"/>
      <c r="AE10" s="868"/>
      <c r="AF10" s="868"/>
      <c r="AG10" s="868"/>
      <c r="AH10" s="187"/>
      <c r="AI10" s="187"/>
      <c r="AJ10" s="868" t="s">
        <v>382</v>
      </c>
      <c r="AK10" s="868"/>
      <c r="AL10" s="868"/>
      <c r="AM10" s="868"/>
      <c r="AN10" s="868"/>
      <c r="AO10" s="868"/>
      <c r="AP10" s="868"/>
      <c r="AQ10" s="868"/>
      <c r="AR10" s="868"/>
      <c r="AS10" s="868"/>
      <c r="AT10" s="185"/>
      <c r="AU10" s="185"/>
      <c r="AV10" s="185"/>
      <c r="AW10" s="185"/>
      <c r="AX10" s="185"/>
      <c r="AY10" s="185"/>
      <c r="AZ10" s="185"/>
      <c r="BA10" s="185"/>
      <c r="BB10" s="185"/>
      <c r="BC10" s="185"/>
      <c r="BD10" s="185"/>
      <c r="BE10" s="185"/>
      <c r="BF10" s="185"/>
      <c r="BG10" s="185"/>
      <c r="BH10" s="185"/>
      <c r="BI10" s="185"/>
      <c r="BJ10" s="185"/>
      <c r="BK10" s="185"/>
      <c r="BL10" s="186"/>
      <c r="BM10" s="186"/>
      <c r="BN10" s="186"/>
      <c r="BO10" s="186"/>
      <c r="BP10" s="186"/>
      <c r="BQ10" s="186"/>
      <c r="BR10" s="186"/>
      <c r="BS10" s="186"/>
      <c r="BT10" s="186"/>
      <c r="BU10" s="186"/>
      <c r="BV10" s="186"/>
      <c r="BW10" s="186"/>
      <c r="BX10" s="186"/>
      <c r="BY10" s="186"/>
      <c r="BZ10" s="186"/>
      <c r="CA10" s="186"/>
      <c r="CB10" s="186"/>
      <c r="CC10" s="186"/>
      <c r="CD10" s="186"/>
      <c r="CE10" s="186"/>
      <c r="CF10" s="186"/>
      <c r="CG10" s="186"/>
    </row>
    <row r="11" spans="1:85" ht="16.5" customHeight="1">
      <c r="A11" s="185"/>
      <c r="B11" s="870"/>
      <c r="C11" s="875" t="s">
        <v>383</v>
      </c>
      <c r="D11" s="868"/>
      <c r="E11" s="884">
        <f>HLOOKUP($AK$34,$AK$28:$AS$32,($E$12)+1)</f>
        <v>168.1337723622056</v>
      </c>
      <c r="F11" s="875" t="s">
        <v>380</v>
      </c>
      <c r="G11" s="868"/>
      <c r="H11" s="868"/>
      <c r="I11" s="868"/>
      <c r="J11" s="879"/>
      <c r="K11" s="188"/>
      <c r="L11" s="187"/>
      <c r="M11" s="187"/>
      <c r="N11" s="187"/>
      <c r="O11" s="868"/>
      <c r="P11" s="868"/>
      <c r="Q11" s="868"/>
      <c r="R11" s="868"/>
      <c r="S11" s="868"/>
      <c r="T11" s="868"/>
      <c r="U11" s="868"/>
      <c r="V11" s="868"/>
      <c r="W11" s="884">
        <f>100*(+AE5/$E$9)</f>
        <v>167.57278799319005</v>
      </c>
      <c r="X11" s="919">
        <f>EXP(5.7226-(0.68367*LN(+W11)))</f>
        <v>9.2187576597812502</v>
      </c>
      <c r="Y11" s="892">
        <f>(+X11*W11)/100</f>
        <v>15.448129228831203</v>
      </c>
      <c r="Z11" s="884">
        <f>100*((((Y11/100)-((Y11/100)-0.03574)*$E$21)-0.03574-0.00619)/0.344)</f>
        <v>20.982340962292422</v>
      </c>
      <c r="AA11" s="868">
        <f>$E$20</f>
        <v>0.25</v>
      </c>
      <c r="AB11" s="884">
        <f>Z11+AA11</f>
        <v>21.232340962292422</v>
      </c>
      <c r="AC11" s="884">
        <f>100*($E$17*$E$19+($E$18*(AB11/100))/(1-$E$21))</f>
        <v>20.530633253185592</v>
      </c>
      <c r="AD11" s="892">
        <f>AC11/W11</f>
        <v>0.12251770409178805</v>
      </c>
      <c r="AE11" s="911">
        <f>$E$8/(1-AD11)</f>
        <v>1484525.2028460216</v>
      </c>
      <c r="AF11" s="868" t="str">
        <f>IF(AE11=AE5,"yes","not yet")</f>
        <v>not yet</v>
      </c>
      <c r="AG11" s="884">
        <f>100*(1-AD11)</f>
        <v>87.748229590821197</v>
      </c>
      <c r="AH11" s="187"/>
      <c r="AI11" s="187"/>
      <c r="AJ11" s="868"/>
      <c r="AK11" s="868"/>
      <c r="AL11" s="868"/>
      <c r="AM11" s="868"/>
      <c r="AN11" s="868"/>
      <c r="AO11" s="868"/>
      <c r="AP11" s="868"/>
      <c r="AQ11" s="868"/>
      <c r="AR11" s="868"/>
      <c r="AS11" s="868"/>
      <c r="AT11" s="185"/>
      <c r="AU11" s="185"/>
      <c r="AV11" s="185"/>
      <c r="AW11" s="185"/>
      <c r="AX11" s="185"/>
      <c r="AY11" s="185"/>
      <c r="AZ11" s="185"/>
      <c r="BA11" s="185"/>
      <c r="BB11" s="185"/>
      <c r="BC11" s="185"/>
      <c r="BD11" s="185"/>
      <c r="BE11" s="185"/>
      <c r="BF11" s="185"/>
      <c r="BG11" s="185"/>
      <c r="BH11" s="185"/>
      <c r="BI11" s="185"/>
      <c r="BJ11" s="185"/>
      <c r="BK11" s="185"/>
      <c r="BL11" s="186"/>
      <c r="BM11" s="186"/>
      <c r="BN11" s="186"/>
      <c r="BO11" s="186"/>
      <c r="BP11" s="186"/>
      <c r="BQ11" s="186"/>
      <c r="BR11" s="186"/>
      <c r="BS11" s="186"/>
      <c r="BT11" s="186"/>
      <c r="BU11" s="186"/>
      <c r="BV11" s="186"/>
      <c r="BW11" s="186"/>
      <c r="BX11" s="186"/>
      <c r="BY11" s="186"/>
      <c r="BZ11" s="186"/>
      <c r="CA11" s="186"/>
      <c r="CB11" s="186"/>
      <c r="CC11" s="186"/>
      <c r="CD11" s="186"/>
      <c r="CE11" s="186"/>
      <c r="CF11" s="186"/>
      <c r="CG11" s="186"/>
    </row>
    <row r="12" spans="1:85" ht="16.5" customHeight="1">
      <c r="A12" s="185"/>
      <c r="B12" s="870"/>
      <c r="C12" s="875" t="s">
        <v>384</v>
      </c>
      <c r="D12" s="868"/>
      <c r="E12" s="868">
        <f>VLOOKUP(E10,AJ5:AK8,2)</f>
        <v>3</v>
      </c>
      <c r="F12" s="875" t="s">
        <v>380</v>
      </c>
      <c r="G12" s="868"/>
      <c r="H12" s="868"/>
      <c r="I12" s="868"/>
      <c r="J12" s="879"/>
      <c r="K12" s="188"/>
      <c r="L12" s="187"/>
      <c r="M12" s="187"/>
      <c r="N12" s="187"/>
      <c r="O12" s="868"/>
      <c r="P12" s="868"/>
      <c r="Q12" s="868"/>
      <c r="R12" s="868"/>
      <c r="S12" s="868"/>
      <c r="T12" s="868"/>
      <c r="U12" s="868"/>
      <c r="V12" s="868"/>
      <c r="W12" s="884">
        <f>100*(+AE6/$E$9)</f>
        <v>167.16909239264689</v>
      </c>
      <c r="X12" s="919">
        <f>EXP(5.70827-(0.68367*LN(+W12)))</f>
        <v>9.1025926958817003</v>
      </c>
      <c r="Y12" s="892">
        <f>(+X12*W12)/100</f>
        <v>15.216721593904806</v>
      </c>
      <c r="Z12" s="884">
        <f>100*((((Y12/100)-((Y12/100)-0.03574)*$E$21)-0.03574-0.00619)/0.344)</f>
        <v>20.538361197608058</v>
      </c>
      <c r="AA12" s="868">
        <f>$E$20</f>
        <v>0.25</v>
      </c>
      <c r="AB12" s="884">
        <f>Z12+AA12</f>
        <v>20.788361197608058</v>
      </c>
      <c r="AC12" s="884">
        <f>100*($E$17*$E$19+($E$18*(AB12/100))/(1-$E$21))</f>
        <v>20.12701528529071</v>
      </c>
      <c r="AD12" s="892">
        <f>AC12/W12</f>
        <v>0.12039914195392269</v>
      </c>
      <c r="AE12" s="911">
        <f>$E$8/(1-AD12)</f>
        <v>1480949.6505273907</v>
      </c>
      <c r="AF12" s="868" t="str">
        <f>IF(AE12=AE6,"yes","not yet")</f>
        <v>not yet</v>
      </c>
      <c r="AG12" s="884">
        <f>100*(1-AD12)</f>
        <v>87.960085804607729</v>
      </c>
      <c r="AH12" s="187"/>
      <c r="AI12" s="187"/>
      <c r="AJ12" s="868"/>
      <c r="AK12" s="868"/>
      <c r="AL12" s="868"/>
      <c r="AM12" s="868"/>
      <c r="AN12" s="868"/>
      <c r="AO12" s="868"/>
      <c r="AP12" s="868"/>
      <c r="AQ12" s="868"/>
      <c r="AR12" s="868"/>
      <c r="AS12" s="868"/>
      <c r="AT12" s="185"/>
      <c r="AU12" s="185"/>
      <c r="AV12" s="185"/>
      <c r="AW12" s="185"/>
      <c r="AX12" s="185"/>
      <c r="AY12" s="185"/>
      <c r="AZ12" s="185"/>
      <c r="BA12" s="185"/>
      <c r="BB12" s="185"/>
      <c r="BC12" s="185"/>
      <c r="BD12" s="185"/>
      <c r="BE12" s="185"/>
      <c r="BF12" s="185"/>
      <c r="BG12" s="185"/>
      <c r="BH12" s="185"/>
      <c r="BI12" s="185"/>
      <c r="BJ12" s="185"/>
      <c r="BK12" s="185"/>
      <c r="BL12" s="186"/>
      <c r="BM12" s="186"/>
      <c r="BN12" s="186"/>
      <c r="BO12" s="186"/>
      <c r="BP12" s="186"/>
      <c r="BQ12" s="186"/>
      <c r="BR12" s="186"/>
      <c r="BS12" s="186"/>
      <c r="BT12" s="186"/>
      <c r="BU12" s="186"/>
      <c r="BV12" s="186"/>
      <c r="BW12" s="186"/>
      <c r="BX12" s="186"/>
      <c r="BY12" s="186"/>
      <c r="BZ12" s="186"/>
      <c r="CA12" s="186"/>
      <c r="CB12" s="186"/>
      <c r="CC12" s="186"/>
      <c r="CD12" s="186"/>
      <c r="CE12" s="186"/>
      <c r="CF12" s="186"/>
      <c r="CG12" s="186"/>
    </row>
    <row r="13" spans="1:85" ht="16.5" customHeight="1">
      <c r="A13" s="185"/>
      <c r="B13" s="870"/>
      <c r="C13" s="868"/>
      <c r="D13" s="868"/>
      <c r="E13" s="868"/>
      <c r="F13" s="868"/>
      <c r="G13" s="868"/>
      <c r="H13" s="868"/>
      <c r="I13" s="868"/>
      <c r="J13" s="879"/>
      <c r="L13" s="193"/>
      <c r="M13" s="189"/>
      <c r="N13" s="189"/>
      <c r="O13" s="871"/>
      <c r="P13" s="868"/>
      <c r="Q13" s="868"/>
      <c r="R13" s="868"/>
      <c r="S13" s="868"/>
      <c r="T13" s="868"/>
      <c r="U13" s="868"/>
      <c r="V13" s="868"/>
      <c r="W13" s="884">
        <f>100*(+AE7/$E$9)</f>
        <v>166.89825074802323</v>
      </c>
      <c r="X13" s="919">
        <f>EXP(5.6985-(0.68367*LN(W13)))</f>
        <v>9.0240915654962262</v>
      </c>
      <c r="Y13" s="892">
        <f>(+X13*W13)/100</f>
        <v>15.061050968713108</v>
      </c>
      <c r="Z13" s="884">
        <f>100*((((Y13/100)-((Y13/100)-0.03574)*$E$21)-0.03574-0.00619)/0.344)</f>
        <v>20.239690812065849</v>
      </c>
      <c r="AA13" s="868">
        <f>$E$20</f>
        <v>0.25</v>
      </c>
      <c r="AB13" s="884">
        <f>Z13+AA13</f>
        <v>20.489690812065849</v>
      </c>
      <c r="AC13" s="884">
        <f>100*($E$17*$E$19+($E$18*(AB13/100))/(1-$E$21))</f>
        <v>19.855496752979619</v>
      </c>
      <c r="AD13" s="892">
        <f>AC13/W13</f>
        <v>0.11896767440035491</v>
      </c>
      <c r="AE13" s="911">
        <f>$E$8/(1-AD13)</f>
        <v>1478543.4602984968</v>
      </c>
      <c r="AF13" s="868" t="str">
        <f>IF(AE13=AE7,"yes","not yet")</f>
        <v>not yet</v>
      </c>
      <c r="AG13" s="884">
        <f>100*(1-AD13)</f>
        <v>88.103232559964511</v>
      </c>
      <c r="AH13" s="187"/>
      <c r="AI13" s="187"/>
      <c r="AJ13" s="868"/>
      <c r="AK13" s="868">
        <v>1</v>
      </c>
      <c r="AL13" s="868">
        <v>2</v>
      </c>
      <c r="AM13" s="868">
        <v>3</v>
      </c>
      <c r="AN13" s="868">
        <v>4</v>
      </c>
      <c r="AO13" s="868">
        <v>5</v>
      </c>
      <c r="AP13" s="868">
        <v>6</v>
      </c>
      <c r="AQ13" s="868">
        <v>7</v>
      </c>
      <c r="AR13" s="868">
        <v>8</v>
      </c>
      <c r="AS13" s="868">
        <v>9</v>
      </c>
      <c r="AT13" s="185"/>
      <c r="AU13" s="185"/>
      <c r="AV13" s="185"/>
      <c r="AW13" s="185"/>
      <c r="AX13" s="185"/>
      <c r="AY13" s="185"/>
      <c r="AZ13" s="185"/>
      <c r="BA13" s="185"/>
      <c r="BB13" s="185"/>
      <c r="BC13" s="185"/>
      <c r="BD13" s="185"/>
      <c r="BE13" s="185"/>
      <c r="BF13" s="185"/>
      <c r="BG13" s="185"/>
      <c r="BH13" s="185"/>
      <c r="BI13" s="185"/>
      <c r="BJ13" s="185"/>
      <c r="BK13" s="185"/>
      <c r="BL13" s="186"/>
      <c r="BM13" s="186"/>
      <c r="BN13" s="186"/>
      <c r="BO13" s="186"/>
      <c r="BP13" s="186"/>
      <c r="BQ13" s="186"/>
      <c r="BR13" s="186"/>
      <c r="BS13" s="186"/>
      <c r="BT13" s="186"/>
      <c r="BU13" s="186"/>
      <c r="BV13" s="186"/>
      <c r="BW13" s="186"/>
      <c r="BX13" s="186"/>
      <c r="BY13" s="186"/>
      <c r="BZ13" s="186"/>
      <c r="CA13" s="186"/>
      <c r="CB13" s="186"/>
      <c r="CC13" s="186"/>
      <c r="CD13" s="186"/>
      <c r="CE13" s="186"/>
      <c r="CF13" s="186"/>
      <c r="CG13" s="186"/>
    </row>
    <row r="14" spans="1:85" ht="16.5" customHeight="1">
      <c r="A14" s="185"/>
      <c r="B14" s="870"/>
      <c r="C14" s="875" t="s">
        <v>385</v>
      </c>
      <c r="D14" s="868"/>
      <c r="E14" s="868"/>
      <c r="F14" s="868"/>
      <c r="G14" s="868"/>
      <c r="H14" s="868"/>
      <c r="I14" s="868"/>
      <c r="J14" s="870"/>
      <c r="L14" s="193"/>
      <c r="M14" s="189"/>
      <c r="N14" s="189"/>
      <c r="O14" s="871"/>
      <c r="P14" s="868"/>
      <c r="Q14" s="868"/>
      <c r="R14" s="868"/>
      <c r="S14" s="868"/>
      <c r="T14" s="868"/>
      <c r="U14" s="868"/>
      <c r="V14" s="868"/>
      <c r="W14" s="884">
        <f>100*(+AE8/$E$9)</f>
        <v>166.72546146348515</v>
      </c>
      <c r="X14" s="919">
        <f>EXP(5.6922-(0.68367*LN(W14)))</f>
        <v>8.9737711864597038</v>
      </c>
      <c r="Y14" s="892">
        <f>(+X14*W14)/100</f>
        <v>14.961561421302209</v>
      </c>
      <c r="Z14" s="884">
        <f>100*((((Y14/100)-((Y14/100)-0.03574)*$E$21)-0.03574-0.00619)/0.344)</f>
        <v>20.048809703661217</v>
      </c>
      <c r="AA14" s="868">
        <f>$E$20</f>
        <v>0.25</v>
      </c>
      <c r="AB14" s="884">
        <f>Z14+AA14</f>
        <v>20.298809703661217</v>
      </c>
      <c r="AC14" s="884">
        <f>100*($E$17*$E$19+($E$18*(AB14/100))/(1-$E$21))</f>
        <v>19.681968472611768</v>
      </c>
      <c r="AD14" s="892">
        <f>AC14/W14</f>
        <v>0.11805016642237547</v>
      </c>
      <c r="AE14" s="911">
        <f>$E$8/(1-AD14)</f>
        <v>1477005.3054409688</v>
      </c>
      <c r="AF14" s="868" t="str">
        <f>IF(AE14=AE8,"yes","not yet")</f>
        <v>not yet</v>
      </c>
      <c r="AG14" s="884">
        <f>100*(1-AD14)</f>
        <v>88.194983357762453</v>
      </c>
      <c r="AH14" s="187"/>
      <c r="AI14" s="187"/>
      <c r="AJ14" s="868"/>
      <c r="AK14" s="868" t="str">
        <f>AF5</f>
        <v>not yet</v>
      </c>
      <c r="AL14" s="868" t="str">
        <f>AF11</f>
        <v>not yet</v>
      </c>
      <c r="AM14" s="868" t="str">
        <f>AF17</f>
        <v>not yet</v>
      </c>
      <c r="AN14" s="868" t="str">
        <f>AF23</f>
        <v>not yet</v>
      </c>
      <c r="AO14" s="868" t="str">
        <f>AF29</f>
        <v>not yet</v>
      </c>
      <c r="AP14" s="868" t="str">
        <f>AF35</f>
        <v>not yet</v>
      </c>
      <c r="AQ14" s="868" t="str">
        <f>AF41</f>
        <v>yes</v>
      </c>
      <c r="AR14" s="868" t="str">
        <f>AF47</f>
        <v>yes</v>
      </c>
      <c r="AS14" s="868" t="str">
        <f>AF53</f>
        <v>yes</v>
      </c>
      <c r="AT14" s="185"/>
      <c r="AU14" s="185"/>
      <c r="AV14" s="185"/>
      <c r="AW14" s="185"/>
      <c r="AX14" s="185"/>
      <c r="AY14" s="185"/>
      <c r="AZ14" s="185"/>
      <c r="BA14" s="185"/>
      <c r="BB14" s="185"/>
      <c r="BC14" s="185"/>
      <c r="BD14" s="185"/>
      <c r="BE14" s="185"/>
      <c r="BF14" s="185"/>
      <c r="BG14" s="185"/>
      <c r="BH14" s="185"/>
      <c r="BI14" s="185"/>
      <c r="BJ14" s="185"/>
      <c r="BK14" s="185"/>
      <c r="BL14" s="186"/>
      <c r="BM14" s="186"/>
      <c r="BN14" s="186"/>
      <c r="BO14" s="186"/>
      <c r="BP14" s="186"/>
      <c r="BQ14" s="186"/>
      <c r="BR14" s="186"/>
      <c r="BS14" s="186"/>
      <c r="BT14" s="186"/>
      <c r="BU14" s="186"/>
      <c r="BV14" s="186"/>
      <c r="BW14" s="186"/>
      <c r="BX14" s="186"/>
      <c r="BY14" s="186"/>
      <c r="BZ14" s="186"/>
      <c r="CA14" s="186"/>
      <c r="CB14" s="186"/>
      <c r="CC14" s="186"/>
      <c r="CD14" s="186"/>
      <c r="CE14" s="186"/>
      <c r="CF14" s="186"/>
      <c r="CG14" s="186"/>
    </row>
    <row r="15" spans="1:85" ht="16.5" customHeight="1">
      <c r="A15" s="185"/>
      <c r="B15" s="870"/>
      <c r="C15" s="875" t="s">
        <v>386</v>
      </c>
      <c r="D15" s="868"/>
      <c r="E15" s="879" t="s">
        <v>361</v>
      </c>
      <c r="F15" s="875" t="s">
        <v>387</v>
      </c>
      <c r="G15" s="868"/>
      <c r="H15" s="884">
        <f>HLOOKUP($AK$25,$AK$19:$AS$23,($E$12)+1)</f>
        <v>88.154160048990747</v>
      </c>
      <c r="I15" s="875" t="s">
        <v>363</v>
      </c>
      <c r="J15" s="866"/>
      <c r="L15" s="193"/>
      <c r="M15" s="189"/>
      <c r="N15" s="189"/>
      <c r="O15" s="871"/>
      <c r="P15" s="868"/>
      <c r="Q15" s="868"/>
      <c r="R15" s="868"/>
      <c r="S15" s="868"/>
      <c r="T15" s="868"/>
      <c r="U15" s="868"/>
      <c r="V15" s="868"/>
      <c r="W15" s="868"/>
      <c r="X15" s="868"/>
      <c r="Y15" s="868"/>
      <c r="Z15" s="868"/>
      <c r="AA15" s="868"/>
      <c r="AB15" s="884"/>
      <c r="AC15" s="868"/>
      <c r="AD15" s="868"/>
      <c r="AE15" s="868"/>
      <c r="AF15" s="868"/>
      <c r="AG15" s="868"/>
      <c r="AH15" s="187"/>
      <c r="AI15" s="187"/>
      <c r="AJ15" s="868"/>
      <c r="AK15" s="868" t="str">
        <f>AF6</f>
        <v>not yet</v>
      </c>
      <c r="AL15" s="868" t="str">
        <f>AF12</f>
        <v>not yet</v>
      </c>
      <c r="AM15" s="868" t="str">
        <f>AF18</f>
        <v>not yet</v>
      </c>
      <c r="AN15" s="868" t="str">
        <f>AF24</f>
        <v>not yet</v>
      </c>
      <c r="AO15" s="868" t="str">
        <f>AF30</f>
        <v>not yet</v>
      </c>
      <c r="AP15" s="868" t="str">
        <f>AF36</f>
        <v>not yet</v>
      </c>
      <c r="AQ15" s="868" t="str">
        <f>AF42</f>
        <v>yes</v>
      </c>
      <c r="AR15" s="868" t="str">
        <f>AF48</f>
        <v>yes</v>
      </c>
      <c r="AS15" s="868" t="str">
        <f>AF54</f>
        <v>yes</v>
      </c>
      <c r="AT15" s="185"/>
      <c r="AU15" s="185"/>
      <c r="AV15" s="185"/>
      <c r="AW15" s="185"/>
      <c r="AX15" s="185"/>
      <c r="AY15" s="185"/>
      <c r="AZ15" s="185"/>
      <c r="BA15" s="185"/>
      <c r="BB15" s="185"/>
      <c r="BC15" s="185"/>
      <c r="BD15" s="185"/>
      <c r="BE15" s="185"/>
      <c r="BF15" s="185"/>
      <c r="BG15" s="185"/>
      <c r="BH15" s="185"/>
      <c r="BI15" s="185"/>
      <c r="BJ15" s="185"/>
      <c r="BK15" s="185"/>
      <c r="BL15" s="186"/>
      <c r="BM15" s="186"/>
      <c r="BN15" s="186"/>
      <c r="BO15" s="186"/>
      <c r="BP15" s="186"/>
      <c r="BQ15" s="186"/>
      <c r="BR15" s="186"/>
      <c r="BS15" s="186"/>
      <c r="BT15" s="186"/>
      <c r="BU15" s="186"/>
      <c r="BV15" s="186"/>
      <c r="BW15" s="186"/>
      <c r="BX15" s="186"/>
      <c r="BY15" s="186"/>
      <c r="BZ15" s="186"/>
      <c r="CA15" s="186"/>
      <c r="CB15" s="186"/>
      <c r="CC15" s="186"/>
      <c r="CD15" s="186"/>
      <c r="CE15" s="186"/>
      <c r="CF15" s="186"/>
      <c r="CG15" s="186"/>
    </row>
    <row r="16" spans="1:85" ht="16.5" customHeight="1">
      <c r="A16" s="185"/>
      <c r="B16" s="870"/>
      <c r="C16" s="886"/>
      <c r="D16" s="886"/>
      <c r="E16" s="887"/>
      <c r="F16" s="868"/>
      <c r="G16" s="868"/>
      <c r="H16" s="886"/>
      <c r="I16" s="870"/>
      <c r="J16" s="866"/>
      <c r="K16" s="188"/>
      <c r="L16" s="187"/>
      <c r="M16" s="187"/>
      <c r="N16" s="187"/>
      <c r="O16" s="868"/>
      <c r="P16" s="868"/>
      <c r="Q16" s="868"/>
      <c r="R16" s="868"/>
      <c r="S16" s="868"/>
      <c r="T16" s="868"/>
      <c r="U16" s="868"/>
      <c r="V16" s="868"/>
      <c r="W16" s="875" t="s">
        <v>388</v>
      </c>
      <c r="X16" s="918" t="s">
        <v>352</v>
      </c>
      <c r="Y16" s="918" t="s">
        <v>353</v>
      </c>
      <c r="Z16" s="918" t="s">
        <v>354</v>
      </c>
      <c r="AA16" s="868"/>
      <c r="AB16" s="884"/>
      <c r="AC16" s="868"/>
      <c r="AD16" s="868"/>
      <c r="AE16" s="868"/>
      <c r="AF16" s="868"/>
      <c r="AG16" s="868"/>
      <c r="AH16" s="187"/>
      <c r="AI16" s="187"/>
      <c r="AJ16" s="868"/>
      <c r="AK16" s="868" t="str">
        <f>AF7</f>
        <v>not yet</v>
      </c>
      <c r="AL16" s="868" t="str">
        <f>AF13</f>
        <v>not yet</v>
      </c>
      <c r="AM16" s="868" t="str">
        <f>AF19</f>
        <v>not yet</v>
      </c>
      <c r="AN16" s="868" t="str">
        <f>AF25</f>
        <v>not yet</v>
      </c>
      <c r="AO16" s="868" t="str">
        <f>AF31</f>
        <v>not yet</v>
      </c>
      <c r="AP16" s="868" t="str">
        <f>AF37</f>
        <v>not yet</v>
      </c>
      <c r="AQ16" s="868" t="str">
        <f>AF43</f>
        <v>yes</v>
      </c>
      <c r="AR16" s="868" t="str">
        <f>AF49</f>
        <v>yes</v>
      </c>
      <c r="AS16" s="868" t="str">
        <f>AF55</f>
        <v>yes</v>
      </c>
      <c r="AT16" s="185"/>
      <c r="AU16" s="185"/>
      <c r="AV16" s="185"/>
      <c r="AW16" s="185"/>
      <c r="AX16" s="185"/>
      <c r="AY16" s="185"/>
      <c r="AZ16" s="185"/>
      <c r="BA16" s="185"/>
      <c r="BB16" s="185"/>
      <c r="BC16" s="185"/>
      <c r="BD16" s="185"/>
      <c r="BE16" s="185"/>
      <c r="BF16" s="185"/>
      <c r="BG16" s="185"/>
      <c r="BH16" s="185"/>
      <c r="BI16" s="185"/>
      <c r="BJ16" s="185"/>
      <c r="BK16" s="185"/>
      <c r="BL16" s="186"/>
      <c r="BM16" s="186"/>
      <c r="BN16" s="186"/>
      <c r="BO16" s="186"/>
      <c r="BP16" s="186"/>
      <c r="BQ16" s="186"/>
      <c r="BR16" s="186"/>
      <c r="BS16" s="186"/>
      <c r="BT16" s="186"/>
      <c r="BU16" s="186"/>
      <c r="BV16" s="186"/>
      <c r="BW16" s="186"/>
      <c r="BX16" s="186"/>
      <c r="BY16" s="186"/>
      <c r="BZ16" s="186"/>
      <c r="CA16" s="186"/>
      <c r="CB16" s="186"/>
      <c r="CC16" s="186"/>
      <c r="CD16" s="186"/>
      <c r="CE16" s="186"/>
      <c r="CF16" s="186"/>
      <c r="CG16" s="186"/>
    </row>
    <row r="17" spans="1:85" ht="16.5" customHeight="1">
      <c r="A17" s="185"/>
      <c r="B17" s="879" t="s">
        <v>370</v>
      </c>
      <c r="C17" s="875" t="s">
        <v>389</v>
      </c>
      <c r="D17" s="868"/>
      <c r="E17" s="888">
        <f>'WCI BS'!D58</f>
        <v>0.4</v>
      </c>
      <c r="F17" s="875" t="s">
        <v>390</v>
      </c>
      <c r="G17" s="868"/>
      <c r="H17" s="868"/>
      <c r="I17" s="870"/>
      <c r="J17" s="866"/>
      <c r="K17" s="187"/>
      <c r="L17" s="187"/>
      <c r="M17" s="187"/>
      <c r="N17" s="187"/>
      <c r="O17" s="868"/>
      <c r="P17" s="868"/>
      <c r="Q17" s="868"/>
      <c r="R17" s="868"/>
      <c r="S17" s="868"/>
      <c r="T17" s="868"/>
      <c r="U17" s="868"/>
      <c r="V17" s="868"/>
      <c r="W17" s="884">
        <f>100*(+AE11/$E$9)</f>
        <v>168.91160624547527</v>
      </c>
      <c r="X17" s="919">
        <f>EXP(5.7226-(0.68367*LN(+W17)))</f>
        <v>9.1687395746121432</v>
      </c>
      <c r="Y17" s="892">
        <f>(+X17*W17)/100</f>
        <v>15.487065287941927</v>
      </c>
      <c r="Z17" s="884">
        <f>100*((((Y17/100)-((Y17/100)-0.03574)*$E$21)-0.03574-0.00619)/0.344)</f>
        <v>21.057043866400214</v>
      </c>
      <c r="AA17" s="868">
        <f>$E$20</f>
        <v>0.25</v>
      </c>
      <c r="AB17" s="884">
        <f>Z17+AA17</f>
        <v>21.307043866400214</v>
      </c>
      <c r="AC17" s="884">
        <f>100*($E$17*$E$19+($E$18*(AB17/100))/(1-$E$21))</f>
        <v>20.598544984192674</v>
      </c>
      <c r="AD17" s="892">
        <f>AC17/W17</f>
        <v>0.12194866558936923</v>
      </c>
      <c r="AE17" s="911">
        <f>$E$8/(1-AD17)</f>
        <v>1483563.126979697</v>
      </c>
      <c r="AF17" s="868" t="str">
        <f>IF(AE17=AE11,"yes","not yet")</f>
        <v>not yet</v>
      </c>
      <c r="AG17" s="884">
        <f>100*(1-AD17)</f>
        <v>87.805133441063077</v>
      </c>
      <c r="AH17" s="187"/>
      <c r="AI17" s="187"/>
      <c r="AJ17" s="868"/>
      <c r="AK17" s="868" t="str">
        <f>AF8</f>
        <v>not yet</v>
      </c>
      <c r="AL17" s="868" t="str">
        <f>AF14</f>
        <v>not yet</v>
      </c>
      <c r="AM17" s="868" t="str">
        <f>AF20</f>
        <v>not yet</v>
      </c>
      <c r="AN17" s="868" t="str">
        <f>AF26</f>
        <v>not yet</v>
      </c>
      <c r="AO17" s="868" t="str">
        <f>AF32</f>
        <v>not yet</v>
      </c>
      <c r="AP17" s="868" t="str">
        <f>AF38</f>
        <v>not yet</v>
      </c>
      <c r="AQ17" s="868" t="str">
        <f>AF44</f>
        <v>yes</v>
      </c>
      <c r="AR17" s="868" t="str">
        <f>AF50</f>
        <v>yes</v>
      </c>
      <c r="AS17" s="868" t="str">
        <f>AF56</f>
        <v>yes</v>
      </c>
      <c r="AT17" s="185"/>
      <c r="AU17" s="185"/>
      <c r="AV17" s="185"/>
      <c r="AW17" s="185"/>
      <c r="AX17" s="185"/>
      <c r="AY17" s="185"/>
      <c r="AZ17" s="185"/>
      <c r="BA17" s="185"/>
      <c r="BB17" s="185"/>
      <c r="BC17" s="185"/>
      <c r="BD17" s="185"/>
      <c r="BE17" s="185"/>
      <c r="BF17" s="185"/>
      <c r="BG17" s="185"/>
      <c r="BH17" s="185"/>
      <c r="BI17" s="185"/>
      <c r="BJ17" s="185"/>
      <c r="BK17" s="185"/>
      <c r="BL17" s="186"/>
      <c r="BM17" s="186"/>
      <c r="BN17" s="186"/>
      <c r="BO17" s="186"/>
      <c r="BP17" s="186"/>
      <c r="BQ17" s="186"/>
      <c r="BR17" s="186"/>
      <c r="BS17" s="186"/>
      <c r="BT17" s="186"/>
      <c r="BU17" s="186"/>
      <c r="BV17" s="186"/>
      <c r="BW17" s="186"/>
      <c r="BX17" s="186"/>
      <c r="BY17" s="186"/>
      <c r="BZ17" s="186"/>
      <c r="CA17" s="186"/>
      <c r="CB17" s="186"/>
      <c r="CC17" s="186"/>
      <c r="CD17" s="186"/>
      <c r="CE17" s="186"/>
      <c r="CF17" s="186"/>
      <c r="CG17" s="186"/>
    </row>
    <row r="18" spans="1:85" ht="16.5" customHeight="1">
      <c r="A18" s="185"/>
      <c r="B18" s="879" t="s">
        <v>370</v>
      </c>
      <c r="C18" s="875" t="s">
        <v>391</v>
      </c>
      <c r="D18" s="868"/>
      <c r="E18" s="888">
        <f>'WCI BS'!D59</f>
        <v>0.6</v>
      </c>
      <c r="F18" s="875" t="s">
        <v>392</v>
      </c>
      <c r="G18" s="868"/>
      <c r="H18" s="889">
        <v>1.4999999999999999E-2</v>
      </c>
      <c r="I18" s="875" t="s">
        <v>370</v>
      </c>
      <c r="J18" s="866"/>
      <c r="K18" s="187"/>
      <c r="L18" s="187"/>
      <c r="M18" s="187"/>
      <c r="N18" s="187"/>
      <c r="O18" s="868"/>
      <c r="P18" s="868"/>
      <c r="Q18" s="868"/>
      <c r="R18" s="868"/>
      <c r="S18" s="868"/>
      <c r="T18" s="868"/>
      <c r="U18" s="868"/>
      <c r="V18" s="868"/>
      <c r="W18" s="884">
        <f>100*(+AE12/$E$9)</f>
        <v>168.50477429395511</v>
      </c>
      <c r="X18" s="919">
        <f>EXP(5.70827-(0.68367*LN(+W18)))</f>
        <v>9.053201617571176</v>
      </c>
      <c r="Y18" s="892">
        <f>(+X18*W18)/100</f>
        <v>15.255076952065004</v>
      </c>
      <c r="Z18" s="884">
        <f>100*((((Y18/100)-((Y18/100)-0.03574)*$E$21)-0.03574-0.00619)/0.344)</f>
        <v>20.611949966171231</v>
      </c>
      <c r="AA18" s="868">
        <f>$E$20</f>
        <v>0.25</v>
      </c>
      <c r="AB18" s="884">
        <f>Z18+AA18</f>
        <v>20.861949966171231</v>
      </c>
      <c r="AC18" s="884">
        <f>100*($E$17*$E$19+($E$18*(AB18/100))/(1-$E$21))</f>
        <v>20.193914165802688</v>
      </c>
      <c r="AD18" s="892">
        <f>AC18/W18</f>
        <v>0.11984179231963232</v>
      </c>
      <c r="AE18" s="911">
        <f>$E$8/(1-AD18)</f>
        <v>1480011.8569137866</v>
      </c>
      <c r="AF18" s="868" t="str">
        <f>IF(AE18=AE12,"yes","not yet")</f>
        <v>not yet</v>
      </c>
      <c r="AG18" s="884">
        <f>100*(1-AD18)</f>
        <v>88.015820768036761</v>
      </c>
      <c r="AH18" s="187"/>
      <c r="AI18" s="187"/>
      <c r="AJ18" s="868"/>
      <c r="AK18" s="868"/>
      <c r="AL18" s="868"/>
      <c r="AM18" s="868"/>
      <c r="AN18" s="868"/>
      <c r="AO18" s="868"/>
      <c r="AP18" s="868"/>
      <c r="AQ18" s="868"/>
      <c r="AR18" s="868"/>
      <c r="AS18" s="868"/>
      <c r="AT18" s="185"/>
      <c r="AU18" s="185"/>
      <c r="AV18" s="185"/>
      <c r="AW18" s="185"/>
      <c r="AX18" s="185"/>
      <c r="AY18" s="185"/>
      <c r="AZ18" s="185"/>
      <c r="BA18" s="185"/>
      <c r="BB18" s="185"/>
      <c r="BC18" s="185"/>
      <c r="BD18" s="185"/>
      <c r="BE18" s="185"/>
      <c r="BF18" s="185"/>
      <c r="BG18" s="185"/>
      <c r="BH18" s="185"/>
      <c r="BI18" s="185"/>
      <c r="BJ18" s="185"/>
      <c r="BK18" s="185"/>
      <c r="BL18" s="186"/>
      <c r="BM18" s="186"/>
      <c r="BN18" s="186"/>
      <c r="BO18" s="186"/>
      <c r="BP18" s="186"/>
      <c r="BQ18" s="186"/>
      <c r="BR18" s="186"/>
      <c r="BS18" s="186"/>
      <c r="BT18" s="186"/>
      <c r="BU18" s="186"/>
      <c r="BV18" s="186"/>
      <c r="BW18" s="186"/>
      <c r="BX18" s="186"/>
      <c r="BY18" s="186"/>
      <c r="BZ18" s="186"/>
      <c r="CA18" s="186"/>
      <c r="CB18" s="186"/>
      <c r="CC18" s="186"/>
      <c r="CD18" s="186"/>
      <c r="CE18" s="186"/>
      <c r="CF18" s="186"/>
      <c r="CG18" s="186"/>
    </row>
    <row r="19" spans="1:85" ht="16.5" customHeight="1">
      <c r="A19" s="185"/>
      <c r="B19" s="879" t="s">
        <v>370</v>
      </c>
      <c r="C19" s="875" t="s">
        <v>393</v>
      </c>
      <c r="D19" s="868"/>
      <c r="E19" s="888">
        <f>'WCI BS'!B67</f>
        <v>3.071262764117556E-2</v>
      </c>
      <c r="F19" s="875" t="s">
        <v>394</v>
      </c>
      <c r="G19" s="868"/>
      <c r="H19" s="890">
        <v>5.1000000000000004E-3</v>
      </c>
      <c r="I19" s="875" t="s">
        <v>370</v>
      </c>
      <c r="J19" s="866"/>
      <c r="K19" s="187"/>
      <c r="L19" s="187"/>
      <c r="M19" s="187"/>
      <c r="N19" s="187"/>
      <c r="O19" s="868"/>
      <c r="P19" s="868"/>
      <c r="Q19" s="868"/>
      <c r="R19" s="868"/>
      <c r="S19" s="868"/>
      <c r="T19" s="868"/>
      <c r="U19" s="868"/>
      <c r="V19" s="868"/>
      <c r="W19" s="884">
        <f>100*(+AE13/$E$9)</f>
        <v>168.23099419529768</v>
      </c>
      <c r="X19" s="919">
        <f>EXP(5.6985-(0.68367*LN(W19)))</f>
        <v>8.9751546841710237</v>
      </c>
      <c r="Y19" s="892">
        <f>(+X19*W19)/100</f>
        <v>15.098991955746742</v>
      </c>
      <c r="Z19" s="884">
        <f>100*((((Y19/100)-((Y19/100)-0.03574)*$E$21)-0.03574-0.00619)/0.344)</f>
        <v>20.312484566258288</v>
      </c>
      <c r="AA19" s="868">
        <f>$E$20</f>
        <v>0.25</v>
      </c>
      <c r="AB19" s="884">
        <f>Z19+AA19</f>
        <v>20.562484566258288</v>
      </c>
      <c r="AC19" s="884">
        <f>100*($E$17*$E$19+($E$18*(AB19/100))/(1-$E$21))</f>
        <v>19.921672893154561</v>
      </c>
      <c r="AD19" s="892">
        <f>AC19/W19</f>
        <v>0.11841856483370532</v>
      </c>
      <c r="AE19" s="911">
        <f>$E$8/(1-AD19)</f>
        <v>1477622.521714299</v>
      </c>
      <c r="AF19" s="868" t="str">
        <f>IF(AE19=AE13,"yes","not yet")</f>
        <v>not yet</v>
      </c>
      <c r="AG19" s="884">
        <f>100*(1-AD19)</f>
        <v>88.15814351662948</v>
      </c>
      <c r="AH19" s="187"/>
      <c r="AI19" s="187"/>
      <c r="AJ19" s="868"/>
      <c r="AK19" s="868" t="str">
        <f>HLOOKUP(1,$AK$13:$AS$17,($E$12)+1)</f>
        <v>not yet</v>
      </c>
      <c r="AL19" s="868" t="str">
        <f>HLOOKUP(2,$AK$13:$AS$17,($E$12)+1)</f>
        <v>not yet</v>
      </c>
      <c r="AM19" s="868" t="str">
        <f>HLOOKUP(3,$AK$13:$AS$17,($E$12)+1)</f>
        <v>not yet</v>
      </c>
      <c r="AN19" s="868" t="str">
        <f>HLOOKUP(4,$AK$13:$AS$17,($E$12)+1)</f>
        <v>not yet</v>
      </c>
      <c r="AO19" s="868" t="str">
        <f>HLOOKUP(5,$AK$13:$AS$17,($E$12)+1)</f>
        <v>not yet</v>
      </c>
      <c r="AP19" s="868" t="str">
        <f>HLOOKUP(6,$AK$13:$AS$17,($E$12)+1)</f>
        <v>not yet</v>
      </c>
      <c r="AQ19" s="868" t="str">
        <f>HLOOKUP(7,$AK$13:$AS$17,($E$12)+1)</f>
        <v>yes</v>
      </c>
      <c r="AR19" s="868" t="str">
        <f>HLOOKUP(8,$AK$13:$AS$17,($E$12)+1)</f>
        <v>yes</v>
      </c>
      <c r="AS19" s="868" t="str">
        <f>HLOOKUP(9,$AK$13:$AS$17,($E$12)+1)</f>
        <v>yes</v>
      </c>
      <c r="AT19" s="185"/>
      <c r="AU19" s="185"/>
      <c r="AV19" s="185"/>
      <c r="AW19" s="185"/>
      <c r="AX19" s="185"/>
      <c r="AY19" s="185"/>
      <c r="AZ19" s="185"/>
      <c r="BA19" s="185"/>
      <c r="BB19" s="185"/>
      <c r="BC19" s="185"/>
      <c r="BD19" s="185"/>
      <c r="BE19" s="185"/>
      <c r="BF19" s="185"/>
      <c r="BG19" s="185"/>
      <c r="BH19" s="185"/>
      <c r="BI19" s="185"/>
      <c r="BJ19" s="185"/>
      <c r="BK19" s="185"/>
      <c r="BL19" s="186"/>
      <c r="BM19" s="186"/>
      <c r="BN19" s="186"/>
      <c r="BO19" s="186"/>
      <c r="BP19" s="186"/>
      <c r="BQ19" s="186"/>
      <c r="BR19" s="186"/>
      <c r="BS19" s="186"/>
      <c r="BT19" s="186"/>
      <c r="BU19" s="186"/>
      <c r="BV19" s="186"/>
      <c r="BW19" s="186"/>
      <c r="BX19" s="186"/>
      <c r="BY19" s="186"/>
      <c r="BZ19" s="186"/>
      <c r="CA19" s="186"/>
      <c r="CB19" s="186"/>
      <c r="CC19" s="186"/>
      <c r="CD19" s="186"/>
      <c r="CE19" s="186"/>
      <c r="CF19" s="186"/>
      <c r="CG19" s="186"/>
    </row>
    <row r="20" spans="1:85" ht="16.5" customHeight="1">
      <c r="A20" s="185"/>
      <c r="B20" s="879" t="s">
        <v>370</v>
      </c>
      <c r="C20" s="875" t="s">
        <v>395</v>
      </c>
      <c r="D20" s="868"/>
      <c r="E20" s="891">
        <v>0.25</v>
      </c>
      <c r="F20" s="875" t="s">
        <v>396</v>
      </c>
      <c r="G20" s="868"/>
      <c r="H20" s="889"/>
      <c r="I20" s="875" t="s">
        <v>370</v>
      </c>
      <c r="J20" s="866"/>
      <c r="K20" s="194"/>
      <c r="L20" s="187"/>
      <c r="M20" s="187"/>
      <c r="N20" s="187"/>
      <c r="O20" s="871"/>
      <c r="P20" s="868"/>
      <c r="Q20" s="868"/>
      <c r="R20" s="868"/>
      <c r="S20" s="868"/>
      <c r="T20" s="868"/>
      <c r="U20" s="868"/>
      <c r="V20" s="868"/>
      <c r="W20" s="884">
        <f>100*(+AE14/$E$9)</f>
        <v>168.05598052281761</v>
      </c>
      <c r="X20" s="919">
        <f>EXP(5.6922-(0.68367*LN(W20)))</f>
        <v>8.9251378543315294</v>
      </c>
      <c r="Y20" s="892">
        <f>(+X20*W20)/100</f>
        <v>14.999227934110015</v>
      </c>
      <c r="Z20" s="884">
        <f>100*((((Y20/100)-((Y20/100)-0.03574)*$E$21)-0.03574-0.00619)/0.344)</f>
        <v>20.121076850327356</v>
      </c>
      <c r="AA20" s="868">
        <f>$E$20</f>
        <v>0.25</v>
      </c>
      <c r="AB20" s="884">
        <f>Z20+AA20</f>
        <v>20.371076850327356</v>
      </c>
      <c r="AC20" s="884">
        <f>100*($E$17*$E$19+($E$18*(AB20/100))/(1-$E$21))</f>
        <v>19.747665878671896</v>
      </c>
      <c r="AD20" s="892">
        <f>AC20/W20</f>
        <v>0.1175064750283652</v>
      </c>
      <c r="AE20" s="911">
        <f>$E$8/(1-AD20)</f>
        <v>1476095.3440069726</v>
      </c>
      <c r="AF20" s="868" t="str">
        <f>IF(AE20=AE14,"yes","not yet")</f>
        <v>not yet</v>
      </c>
      <c r="AG20" s="884">
        <f>100*(1-AD20)</f>
        <v>88.249352497163486</v>
      </c>
      <c r="AH20" s="187"/>
      <c r="AI20" s="187"/>
      <c r="AJ20" s="868">
        <v>1</v>
      </c>
      <c r="AK20" s="884">
        <f>AG5</f>
        <v>88.449291695168824</v>
      </c>
      <c r="AL20" s="884">
        <f>AG11</f>
        <v>87.748229590821197</v>
      </c>
      <c r="AM20" s="884">
        <f>AG17</f>
        <v>87.805133441063077</v>
      </c>
      <c r="AN20" s="884">
        <f>AG23</f>
        <v>87.800506464828715</v>
      </c>
      <c r="AO20" s="884">
        <f>AG29</f>
        <v>87.800882640068878</v>
      </c>
      <c r="AP20" s="884">
        <f>AG35</f>
        <v>87.800852056494534</v>
      </c>
      <c r="AQ20" s="884">
        <f>AG41</f>
        <v>87.800852285717951</v>
      </c>
      <c r="AR20" s="884">
        <f>AG47</f>
        <v>87.800852285717951</v>
      </c>
      <c r="AS20" s="884">
        <f>AG53</f>
        <v>87.800852285717951</v>
      </c>
      <c r="AT20" s="185"/>
      <c r="AU20" s="185"/>
      <c r="AV20" s="185"/>
      <c r="AW20" s="185"/>
      <c r="AX20" s="185"/>
      <c r="AY20" s="185"/>
      <c r="AZ20" s="185"/>
      <c r="BA20" s="185"/>
      <c r="BB20" s="185"/>
      <c r="BC20" s="185"/>
      <c r="BD20" s="185"/>
      <c r="BE20" s="185"/>
      <c r="BF20" s="185"/>
      <c r="BG20" s="185"/>
      <c r="BH20" s="185"/>
      <c r="BI20" s="185"/>
      <c r="BJ20" s="185"/>
      <c r="BK20" s="185"/>
      <c r="BL20" s="186"/>
      <c r="BM20" s="186"/>
      <c r="BN20" s="186"/>
      <c r="BO20" s="186"/>
      <c r="BP20" s="186"/>
      <c r="BQ20" s="186"/>
      <c r="BR20" s="186"/>
      <c r="BS20" s="186"/>
      <c r="BT20" s="186"/>
      <c r="BU20" s="186"/>
      <c r="BV20" s="186"/>
      <c r="BW20" s="186"/>
      <c r="BX20" s="186"/>
      <c r="BY20" s="186"/>
      <c r="BZ20" s="186"/>
      <c r="CA20" s="186"/>
      <c r="CB20" s="186"/>
      <c r="CC20" s="186"/>
      <c r="CD20" s="186"/>
      <c r="CE20" s="186"/>
      <c r="CF20" s="186"/>
      <c r="CG20" s="186"/>
    </row>
    <row r="21" spans="1:85" ht="16.5" customHeight="1">
      <c r="A21" s="185"/>
      <c r="B21" s="879" t="s">
        <v>370</v>
      </c>
      <c r="C21" s="875" t="s">
        <v>397</v>
      </c>
      <c r="D21" s="868"/>
      <c r="E21" s="891">
        <v>0.34</v>
      </c>
      <c r="F21" s="875" t="s">
        <v>398</v>
      </c>
      <c r="G21" s="868"/>
      <c r="H21" s="888">
        <f>'Restating Adj''s'!E80</f>
        <v>6.2179639958343316E-3</v>
      </c>
      <c r="I21" s="875" t="s">
        <v>370</v>
      </c>
      <c r="J21" s="866"/>
      <c r="K21" s="187"/>
      <c r="L21" s="187"/>
      <c r="M21" s="187"/>
      <c r="N21" s="187"/>
      <c r="O21" s="868"/>
      <c r="P21" s="868"/>
      <c r="Q21" s="868"/>
      <c r="R21" s="868"/>
      <c r="S21" s="868"/>
      <c r="T21" s="868"/>
      <c r="U21" s="868"/>
      <c r="V21" s="868"/>
      <c r="W21" s="868"/>
      <c r="X21" s="868"/>
      <c r="Y21" s="868"/>
      <c r="Z21" s="868"/>
      <c r="AA21" s="868"/>
      <c r="AB21" s="884"/>
      <c r="AC21" s="868"/>
      <c r="AD21" s="868"/>
      <c r="AE21" s="868"/>
      <c r="AF21" s="868"/>
      <c r="AG21" s="868"/>
      <c r="AH21" s="187"/>
      <c r="AI21" s="187"/>
      <c r="AJ21" s="868">
        <v>2</v>
      </c>
      <c r="AK21" s="884">
        <f>AG6</f>
        <v>88.662887339061143</v>
      </c>
      <c r="AL21" s="884">
        <f>AG12</f>
        <v>87.960085804607729</v>
      </c>
      <c r="AM21" s="884">
        <f>AG18</f>
        <v>88.015820768036761</v>
      </c>
      <c r="AN21" s="884">
        <f>AG24</f>
        <v>88.011392834245342</v>
      </c>
      <c r="AO21" s="884">
        <f>AG30</f>
        <v>88.011744566866327</v>
      </c>
      <c r="AP21" s="884">
        <f>AG36</f>
        <v>88.011716626693214</v>
      </c>
      <c r="AQ21" s="884">
        <f>AG42</f>
        <v>88.011719448525298</v>
      </c>
      <c r="AR21" s="884">
        <f>AG48</f>
        <v>88.011719448525298</v>
      </c>
      <c r="AS21" s="884">
        <f>AG54</f>
        <v>88.011719448525298</v>
      </c>
      <c r="AT21" s="185"/>
      <c r="AU21" s="185"/>
      <c r="AV21" s="185"/>
      <c r="AW21" s="185"/>
      <c r="AX21" s="185"/>
      <c r="AY21" s="185"/>
      <c r="AZ21" s="185"/>
      <c r="BA21" s="185"/>
      <c r="BB21" s="185"/>
      <c r="BC21" s="185"/>
      <c r="BD21" s="185"/>
      <c r="BE21" s="185"/>
      <c r="BF21" s="185"/>
      <c r="BG21" s="185"/>
      <c r="BH21" s="185"/>
      <c r="BI21" s="185"/>
      <c r="BJ21" s="185"/>
      <c r="BK21" s="185"/>
      <c r="BL21" s="186"/>
      <c r="BM21" s="186"/>
      <c r="BN21" s="186"/>
      <c r="BO21" s="186"/>
      <c r="BP21" s="186"/>
      <c r="BQ21" s="186"/>
      <c r="BR21" s="186"/>
      <c r="BS21" s="186"/>
      <c r="BT21" s="186"/>
      <c r="BU21" s="186"/>
      <c r="BV21" s="186"/>
      <c r="BW21" s="186"/>
      <c r="BX21" s="186"/>
      <c r="BY21" s="186"/>
      <c r="BZ21" s="186"/>
      <c r="CA21" s="186"/>
      <c r="CB21" s="186"/>
      <c r="CC21" s="186"/>
      <c r="CD21" s="186"/>
      <c r="CE21" s="186"/>
      <c r="CF21" s="186"/>
      <c r="CG21" s="186"/>
    </row>
    <row r="22" spans="1:85" ht="16.5" customHeight="1">
      <c r="A22" s="185"/>
      <c r="B22" s="870"/>
      <c r="C22" s="868"/>
      <c r="D22" s="868"/>
      <c r="E22" s="868"/>
      <c r="F22" s="868"/>
      <c r="G22" s="868"/>
      <c r="H22" s="886"/>
      <c r="I22" s="886"/>
      <c r="J22" s="870"/>
      <c r="K22" s="187"/>
      <c r="L22" s="188"/>
      <c r="M22" s="187"/>
      <c r="N22" s="187"/>
      <c r="O22" s="868"/>
      <c r="P22" s="868"/>
      <c r="Q22" s="868"/>
      <c r="R22" s="868"/>
      <c r="S22" s="868"/>
      <c r="T22" s="868"/>
      <c r="U22" s="868"/>
      <c r="V22" s="868"/>
      <c r="W22" s="875" t="s">
        <v>399</v>
      </c>
      <c r="X22" s="918" t="s">
        <v>352</v>
      </c>
      <c r="Y22" s="918" t="s">
        <v>353</v>
      </c>
      <c r="Z22" s="918" t="s">
        <v>354</v>
      </c>
      <c r="AA22" s="868"/>
      <c r="AB22" s="884"/>
      <c r="AC22" s="868"/>
      <c r="AD22" s="868"/>
      <c r="AE22" s="868"/>
      <c r="AF22" s="868"/>
      <c r="AG22" s="868"/>
      <c r="AH22" s="187"/>
      <c r="AI22" s="187"/>
      <c r="AJ22" s="868">
        <v>3</v>
      </c>
      <c r="AK22" s="884">
        <f>AG7</f>
        <v>88.806769028152345</v>
      </c>
      <c r="AL22" s="884">
        <f>AG13</f>
        <v>88.103232559964511</v>
      </c>
      <c r="AM22" s="884">
        <f>AG19</f>
        <v>88.15814351662948</v>
      </c>
      <c r="AN22" s="884">
        <f>AG25</f>
        <v>88.153849983574844</v>
      </c>
      <c r="AO22" s="884">
        <f>AG31</f>
        <v>88.154185651101528</v>
      </c>
      <c r="AP22" s="884">
        <f>AG37</f>
        <v>88.154159408394179</v>
      </c>
      <c r="AQ22" s="884">
        <f>AG43</f>
        <v>88.154160048990747</v>
      </c>
      <c r="AR22" s="884">
        <f>AG49</f>
        <v>88.154160048990747</v>
      </c>
      <c r="AS22" s="884">
        <f>AG55</f>
        <v>88.154160048990747</v>
      </c>
      <c r="AT22" s="185"/>
      <c r="AU22" s="185"/>
      <c r="AV22" s="185"/>
      <c r="AW22" s="185"/>
      <c r="AX22" s="185"/>
      <c r="AY22" s="185"/>
      <c r="AZ22" s="185"/>
      <c r="BA22" s="185"/>
      <c r="BB22" s="185"/>
      <c r="BC22" s="185"/>
      <c r="BD22" s="185"/>
      <c r="BE22" s="185"/>
      <c r="BF22" s="185"/>
      <c r="BG22" s="185"/>
      <c r="BH22" s="185"/>
      <c r="BI22" s="185"/>
      <c r="BJ22" s="185"/>
      <c r="BK22" s="185"/>
      <c r="BL22" s="186"/>
      <c r="BM22" s="186"/>
      <c r="BN22" s="186"/>
      <c r="BO22" s="186"/>
      <c r="BP22" s="186"/>
      <c r="BQ22" s="186"/>
      <c r="BR22" s="186"/>
      <c r="BS22" s="186"/>
      <c r="BT22" s="186"/>
      <c r="BU22" s="186"/>
      <c r="BV22" s="186"/>
      <c r="BW22" s="186"/>
      <c r="BX22" s="186"/>
      <c r="BY22" s="186"/>
      <c r="BZ22" s="186"/>
      <c r="CA22" s="186"/>
      <c r="CB22" s="186"/>
      <c r="CC22" s="186"/>
      <c r="CD22" s="186"/>
      <c r="CE22" s="186"/>
      <c r="CF22" s="186"/>
      <c r="CG22" s="186"/>
    </row>
    <row r="23" spans="1:85" ht="16.5" customHeight="1">
      <c r="A23" s="185"/>
      <c r="B23" s="870"/>
      <c r="C23" s="868"/>
      <c r="D23" s="868"/>
      <c r="E23" s="868"/>
      <c r="F23" s="875" t="s">
        <v>400</v>
      </c>
      <c r="G23" s="868"/>
      <c r="H23" s="889">
        <f>SUM(H18:H21)</f>
        <v>2.6317963995834331E-2</v>
      </c>
      <c r="I23" s="889"/>
      <c r="J23" s="870"/>
      <c r="K23" s="187"/>
      <c r="L23" s="187"/>
      <c r="M23" s="187"/>
      <c r="N23" s="187"/>
      <c r="O23" s="868"/>
      <c r="P23" s="868"/>
      <c r="Q23" s="871"/>
      <c r="R23" s="868"/>
      <c r="S23" s="868"/>
      <c r="T23" s="868"/>
      <c r="U23" s="868"/>
      <c r="V23" s="868"/>
      <c r="W23" s="884">
        <f>100*(+AE17/$E$9)</f>
        <v>168.80213974426709</v>
      </c>
      <c r="X23" s="919">
        <f>EXP(5.7226-(0.68367*LN(+W23)))</f>
        <v>9.1728041474988018</v>
      </c>
      <c r="Y23" s="892">
        <f>(+X23*W23)/100</f>
        <v>15.483889675528856</v>
      </c>
      <c r="Z23" s="884">
        <f>100*((((Y23/100)-((Y23/100)-0.03574)*$E$21)-0.03574-0.00619)/0.344)</f>
        <v>21.050951121654201</v>
      </c>
      <c r="AA23" s="868">
        <f>$E$20</f>
        <v>0.25</v>
      </c>
      <c r="AB23" s="884">
        <f>Z23+AA23</f>
        <v>21.300951121654201</v>
      </c>
      <c r="AC23" s="884">
        <f>100*($E$17*$E$19+($E$18*(AB23/100))/(1-$E$21))</f>
        <v>20.593006125332661</v>
      </c>
      <c r="AD23" s="892">
        <f>AC23/W23</f>
        <v>0.12199493535171284</v>
      </c>
      <c r="AE23" s="911">
        <f>$E$8/(1-AD23)</f>
        <v>1483641.3088901108</v>
      </c>
      <c r="AF23" s="868" t="str">
        <f>IF(AE23=AE17,"yes","not yet")</f>
        <v>not yet</v>
      </c>
      <c r="AG23" s="884">
        <f>100*(1-AD23)</f>
        <v>87.800506464828715</v>
      </c>
      <c r="AH23" s="187"/>
      <c r="AI23" s="187"/>
      <c r="AJ23" s="868">
        <v>4</v>
      </c>
      <c r="AK23" s="884">
        <f>AG8</f>
        <v>88.898805708979708</v>
      </c>
      <c r="AL23" s="884">
        <f>AG14</f>
        <v>88.194983357762453</v>
      </c>
      <c r="AM23" s="884">
        <f>AG20</f>
        <v>88.249352497163486</v>
      </c>
      <c r="AN23" s="884">
        <f>AG26</f>
        <v>88.245144956209572</v>
      </c>
      <c r="AO23" s="884">
        <f>AG32</f>
        <v>88.245470525439941</v>
      </c>
      <c r="AP23" s="884">
        <f>AG38</f>
        <v>88.245445333415702</v>
      </c>
      <c r="AQ23" s="884">
        <f>AG44</f>
        <v>88.245448671623137</v>
      </c>
      <c r="AR23" s="884">
        <f>AG50</f>
        <v>88.245448671623137</v>
      </c>
      <c r="AS23" s="884">
        <f>AG56</f>
        <v>88.245448671623137</v>
      </c>
      <c r="AT23" s="185"/>
      <c r="AU23" s="185"/>
      <c r="AV23" s="185"/>
      <c r="AW23" s="185"/>
      <c r="AX23" s="185"/>
      <c r="AY23" s="185"/>
      <c r="AZ23" s="185"/>
      <c r="BA23" s="185"/>
      <c r="BB23" s="185"/>
      <c r="BC23" s="185"/>
      <c r="BD23" s="185"/>
      <c r="BE23" s="185"/>
      <c r="BF23" s="185"/>
      <c r="BG23" s="185"/>
      <c r="BH23" s="185"/>
      <c r="BI23" s="185"/>
      <c r="BJ23" s="185"/>
      <c r="BK23" s="185"/>
      <c r="BL23" s="186"/>
      <c r="BM23" s="186"/>
      <c r="BN23" s="186"/>
      <c r="BO23" s="186"/>
      <c r="BP23" s="186"/>
      <c r="BQ23" s="186"/>
      <c r="BR23" s="186"/>
      <c r="BS23" s="186"/>
      <c r="BT23" s="186"/>
      <c r="BU23" s="186"/>
      <c r="BV23" s="186"/>
      <c r="BW23" s="186"/>
      <c r="BX23" s="186"/>
      <c r="BY23" s="186"/>
      <c r="BZ23" s="186"/>
      <c r="CA23" s="186"/>
      <c r="CB23" s="186"/>
      <c r="CC23" s="186"/>
      <c r="CD23" s="186"/>
      <c r="CE23" s="186"/>
      <c r="CF23" s="186"/>
      <c r="CG23" s="186"/>
    </row>
    <row r="24" spans="1:85" ht="16.5" customHeight="1">
      <c r="A24" s="185"/>
      <c r="B24" s="870"/>
      <c r="C24" s="868"/>
      <c r="D24" s="868"/>
      <c r="E24" s="868"/>
      <c r="F24" s="868"/>
      <c r="G24" s="868"/>
      <c r="H24" s="868"/>
      <c r="I24" s="868"/>
      <c r="J24" s="870"/>
      <c r="K24" s="187"/>
      <c r="L24" s="187"/>
      <c r="M24" s="187"/>
      <c r="N24" s="187"/>
      <c r="O24" s="868"/>
      <c r="P24" s="868"/>
      <c r="Q24" s="868"/>
      <c r="R24" s="868"/>
      <c r="S24" s="868"/>
      <c r="T24" s="868"/>
      <c r="U24" s="868"/>
      <c r="V24" s="868"/>
      <c r="W24" s="884">
        <f>100*(+AE18/$E$9)</f>
        <v>168.3980706655513</v>
      </c>
      <c r="X24" s="919">
        <f>EXP(5.70827-(0.68367*LN(+W24)))</f>
        <v>9.0571230729417795</v>
      </c>
      <c r="Y24" s="892">
        <f>(+X24*W24)/100</f>
        <v>15.252020512638449</v>
      </c>
      <c r="Z24" s="884">
        <f>100*((((Y24/100)-((Y24/100)-0.03574)*$E$21)-0.03574-0.00619)/0.344)</f>
        <v>20.606085867271442</v>
      </c>
      <c r="AA24" s="868">
        <f>$E$20</f>
        <v>0.25</v>
      </c>
      <c r="AB24" s="884">
        <f>Z24+AA24</f>
        <v>20.856085867271442</v>
      </c>
      <c r="AC24" s="884">
        <f>100*($E$17*$E$19+($E$18*(AB24/100))/(1-$E$21))</f>
        <v>20.188583166802882</v>
      </c>
      <c r="AD24" s="892">
        <f>AC24/W24</f>
        <v>0.11988607165754661</v>
      </c>
      <c r="AE24" s="911">
        <f>$E$8/(1-AD24)</f>
        <v>1480086.3176659902</v>
      </c>
      <c r="AF24" s="868" t="str">
        <f>IF(AE24=AE18,"yes","not yet")</f>
        <v>not yet</v>
      </c>
      <c r="AG24" s="884">
        <f>100*(1-AD24)</f>
        <v>88.011392834245342</v>
      </c>
      <c r="AH24" s="187"/>
      <c r="AI24" s="187"/>
      <c r="AJ24" s="868"/>
      <c r="AK24" s="868"/>
      <c r="AL24" s="868"/>
      <c r="AM24" s="868"/>
      <c r="AN24" s="868"/>
      <c r="AO24" s="868"/>
      <c r="AP24" s="868"/>
      <c r="AQ24" s="868"/>
      <c r="AR24" s="868"/>
      <c r="AS24" s="868"/>
      <c r="AT24" s="185"/>
      <c r="AU24" s="185"/>
      <c r="AV24" s="185"/>
      <c r="AW24" s="185"/>
      <c r="AX24" s="185"/>
      <c r="AY24" s="185"/>
      <c r="AZ24" s="185"/>
      <c r="BA24" s="185"/>
      <c r="BB24" s="185"/>
      <c r="BC24" s="185"/>
      <c r="BD24" s="185"/>
      <c r="BE24" s="185"/>
      <c r="BF24" s="185"/>
      <c r="BG24" s="185"/>
      <c r="BH24" s="185"/>
      <c r="BI24" s="185"/>
      <c r="BJ24" s="185"/>
      <c r="BK24" s="185"/>
      <c r="BL24" s="186"/>
      <c r="BM24" s="186"/>
      <c r="BN24" s="186"/>
      <c r="BO24" s="186"/>
      <c r="BP24" s="186"/>
      <c r="BQ24" s="186"/>
      <c r="BR24" s="186"/>
      <c r="BS24" s="186"/>
      <c r="BT24" s="186"/>
      <c r="BU24" s="186"/>
      <c r="BV24" s="186"/>
      <c r="BW24" s="186"/>
      <c r="BX24" s="186"/>
      <c r="BY24" s="186"/>
      <c r="BZ24" s="186"/>
      <c r="CA24" s="186"/>
      <c r="CB24" s="186"/>
      <c r="CC24" s="186"/>
      <c r="CD24" s="186"/>
      <c r="CE24" s="186"/>
      <c r="CF24" s="186"/>
      <c r="CG24" s="186"/>
    </row>
    <row r="25" spans="1:85" ht="16.5" customHeight="1">
      <c r="A25" s="185"/>
      <c r="B25" s="870"/>
      <c r="C25" s="868"/>
      <c r="D25" s="868"/>
      <c r="E25" s="868"/>
      <c r="F25" s="875" t="s">
        <v>401</v>
      </c>
      <c r="G25" s="868"/>
      <c r="H25" s="892">
        <f>((+H15/100)-H23)</f>
        <v>0.85522363649407318</v>
      </c>
      <c r="I25" s="892"/>
      <c r="J25" s="870"/>
      <c r="K25" s="187"/>
      <c r="L25" s="187"/>
      <c r="M25" s="187"/>
      <c r="N25" s="187"/>
      <c r="O25" s="868"/>
      <c r="P25" s="868"/>
      <c r="Q25" s="868"/>
      <c r="R25" s="868"/>
      <c r="S25" s="868"/>
      <c r="T25" s="868"/>
      <c r="U25" s="868"/>
      <c r="V25" s="868"/>
      <c r="W25" s="884">
        <f>100*(+AE19/$E$9)</f>
        <v>168.12620835857894</v>
      </c>
      <c r="X25" s="919">
        <f>EXP(5.6985-(0.68367*LN(W25)))</f>
        <v>8.9789786396756686</v>
      </c>
      <c r="Y25" s="892">
        <f>(+X25*W25)/100</f>
        <v>15.096016336213411</v>
      </c>
      <c r="Z25" s="884">
        <f>100*((((Y25/100)-((Y25/100)-0.03574)*$E$21)-0.03574-0.00619)/0.344)</f>
        <v>20.306775528781543</v>
      </c>
      <c r="AA25" s="868">
        <f>$E$20</f>
        <v>0.25</v>
      </c>
      <c r="AB25" s="884">
        <f>Z25+AA25</f>
        <v>20.556775528781543</v>
      </c>
      <c r="AC25" s="884">
        <f>100*($E$17*$E$19+($E$18*(AB25/100))/(1-$E$21))</f>
        <v>19.916482859084791</v>
      </c>
      <c r="AD25" s="892">
        <f>AC25/W25</f>
        <v>0.11846150016425157</v>
      </c>
      <c r="AE25" s="911">
        <f>$E$8/(1-AD25)</f>
        <v>1477694.4893157189</v>
      </c>
      <c r="AF25" s="868" t="str">
        <f>IF(AE25=AE19,"yes","not yet")</f>
        <v>not yet</v>
      </c>
      <c r="AG25" s="884">
        <f>100*(1-AD25)</f>
        <v>88.153849983574844</v>
      </c>
      <c r="AH25" s="187"/>
      <c r="AI25" s="187"/>
      <c r="AJ25" s="868"/>
      <c r="AK25" s="868" t="s">
        <v>402</v>
      </c>
      <c r="AL25" s="868"/>
      <c r="AM25" s="868"/>
      <c r="AN25" s="868"/>
      <c r="AO25" s="868"/>
      <c r="AP25" s="868"/>
      <c r="AQ25" s="868"/>
      <c r="AR25" s="868"/>
      <c r="AS25" s="868"/>
      <c r="AT25" s="185"/>
      <c r="AU25" s="185"/>
      <c r="AV25" s="185"/>
      <c r="AW25" s="185"/>
      <c r="AX25" s="185"/>
      <c r="AY25" s="185"/>
      <c r="AZ25" s="185"/>
      <c r="BA25" s="185"/>
      <c r="BB25" s="185"/>
      <c r="BC25" s="185"/>
      <c r="BD25" s="185"/>
      <c r="BE25" s="185"/>
      <c r="BF25" s="185"/>
      <c r="BG25" s="185"/>
      <c r="BH25" s="185"/>
      <c r="BI25" s="185"/>
      <c r="BJ25" s="185"/>
      <c r="BK25" s="185"/>
      <c r="BL25" s="186"/>
      <c r="BM25" s="186"/>
      <c r="BN25" s="186"/>
      <c r="BO25" s="186"/>
      <c r="BP25" s="186"/>
      <c r="BQ25" s="186"/>
      <c r="BR25" s="186"/>
      <c r="BS25" s="186"/>
      <c r="BT25" s="186"/>
      <c r="BU25" s="186"/>
      <c r="BV25" s="186"/>
      <c r="BW25" s="186"/>
      <c r="BX25" s="186"/>
      <c r="BY25" s="186"/>
      <c r="BZ25" s="186"/>
      <c r="CA25" s="186"/>
      <c r="CB25" s="186"/>
      <c r="CC25" s="186"/>
      <c r="CD25" s="186"/>
      <c r="CE25" s="186"/>
      <c r="CF25" s="186"/>
      <c r="CG25" s="186"/>
    </row>
    <row r="26" spans="1:85" ht="16.5" customHeight="1">
      <c r="A26" s="185"/>
      <c r="B26" s="870"/>
      <c r="C26" s="868"/>
      <c r="D26" s="868"/>
      <c r="E26" s="868"/>
      <c r="F26" s="868"/>
      <c r="G26" s="868"/>
      <c r="H26" s="868"/>
      <c r="I26" s="868"/>
      <c r="J26" s="870"/>
      <c r="K26" s="187"/>
      <c r="L26" s="187"/>
      <c r="M26" s="187"/>
      <c r="N26" s="187"/>
      <c r="O26" s="868"/>
      <c r="P26" s="868"/>
      <c r="Q26" s="868"/>
      <c r="R26" s="868"/>
      <c r="S26" s="868"/>
      <c r="T26" s="868"/>
      <c r="U26" s="868"/>
      <c r="V26" s="868"/>
      <c r="W26" s="884">
        <f>100*(+AE20/$E$9)</f>
        <v>167.95244368346783</v>
      </c>
      <c r="X26" s="919">
        <f>EXP(5.6922-(0.68367*LN(W26)))</f>
        <v>8.9288990653201381</v>
      </c>
      <c r="Y26" s="892">
        <f>(+X26*W26)/100</f>
        <v>14.99630417423549</v>
      </c>
      <c r="Z26" s="884">
        <f>100*((((Y26/100)-((Y26/100)-0.03574)*$E$21)-0.03574-0.00619)/0.344)</f>
        <v>20.115467311033207</v>
      </c>
      <c r="AA26" s="868">
        <f>$E$20</f>
        <v>0.25</v>
      </c>
      <c r="AB26" s="884">
        <f>Z26+AA26</f>
        <v>20.365467311033207</v>
      </c>
      <c r="AC26" s="884">
        <f>100*($E$17*$E$19+($E$18*(AB26/100))/(1-$E$21))</f>
        <v>19.742566297495394</v>
      </c>
      <c r="AD26" s="892">
        <f>AC26/W26</f>
        <v>0.11754855043790426</v>
      </c>
      <c r="AE26" s="911">
        <f>$E$8/(1-AD26)</f>
        <v>1476165.7244411013</v>
      </c>
      <c r="AF26" s="868" t="str">
        <f>IF(AE26=AE20,"yes","not yet")</f>
        <v>not yet</v>
      </c>
      <c r="AG26" s="884">
        <f>100*(1-AD26)</f>
        <v>88.245144956209572</v>
      </c>
      <c r="AH26" s="187"/>
      <c r="AI26" s="187"/>
      <c r="AJ26" s="868"/>
      <c r="AK26" s="884">
        <f>HLOOKUP($AK$25,$AK$19:$AS$23,($E$12)+1)</f>
        <v>88.154160048990747</v>
      </c>
      <c r="AL26" s="868"/>
      <c r="AM26" s="868"/>
      <c r="AN26" s="868"/>
      <c r="AO26" s="868"/>
      <c r="AP26" s="868"/>
      <c r="AQ26" s="868"/>
      <c r="AR26" s="868"/>
      <c r="AS26" s="868"/>
      <c r="AT26" s="185"/>
      <c r="AU26" s="185"/>
      <c r="AV26" s="185"/>
      <c r="AW26" s="185"/>
      <c r="AX26" s="185"/>
      <c r="AY26" s="185"/>
      <c r="AZ26" s="185"/>
      <c r="BA26" s="185"/>
      <c r="BB26" s="185"/>
      <c r="BC26" s="185"/>
      <c r="BD26" s="185"/>
      <c r="BE26" s="185"/>
      <c r="BF26" s="185"/>
      <c r="BG26" s="185"/>
      <c r="BH26" s="185"/>
      <c r="BI26" s="185"/>
      <c r="BJ26" s="185"/>
      <c r="BK26" s="185"/>
      <c r="BL26" s="186"/>
      <c r="BM26" s="186"/>
      <c r="BN26" s="186"/>
      <c r="BO26" s="186"/>
      <c r="BP26" s="186"/>
      <c r="BQ26" s="186"/>
      <c r="BR26" s="186"/>
      <c r="BS26" s="186"/>
      <c r="BT26" s="186"/>
      <c r="BU26" s="186"/>
      <c r="BV26" s="186"/>
      <c r="BW26" s="186"/>
      <c r="BX26" s="186"/>
      <c r="BY26" s="186"/>
      <c r="BZ26" s="186"/>
      <c r="CA26" s="186"/>
      <c r="CB26" s="186"/>
      <c r="CC26" s="186"/>
      <c r="CD26" s="186"/>
      <c r="CE26" s="186"/>
      <c r="CF26" s="186"/>
      <c r="CG26" s="186"/>
    </row>
    <row r="27" spans="1:85" ht="16.5" customHeight="1">
      <c r="A27" s="185"/>
      <c r="B27" s="870"/>
      <c r="C27" s="868"/>
      <c r="D27" s="868"/>
      <c r="E27" s="893"/>
      <c r="F27" s="894"/>
      <c r="G27" s="894"/>
      <c r="H27" s="868"/>
      <c r="I27" s="868"/>
      <c r="J27" s="870"/>
      <c r="K27" s="187"/>
      <c r="L27" s="187"/>
      <c r="M27" s="187"/>
      <c r="N27" s="187"/>
      <c r="O27" s="868"/>
      <c r="P27" s="868"/>
      <c r="Q27" s="868"/>
      <c r="R27" s="868"/>
      <c r="S27" s="868"/>
      <c r="T27" s="868"/>
      <c r="U27" s="868"/>
      <c r="V27" s="868"/>
      <c r="W27" s="868"/>
      <c r="X27" s="868"/>
      <c r="Y27" s="868"/>
      <c r="Z27" s="868"/>
      <c r="AA27" s="868"/>
      <c r="AB27" s="884"/>
      <c r="AC27" s="868"/>
      <c r="AD27" s="868"/>
      <c r="AE27" s="868"/>
      <c r="AF27" s="868"/>
      <c r="AG27" s="868"/>
      <c r="AH27" s="187"/>
      <c r="AI27" s="187"/>
      <c r="AJ27" s="868"/>
      <c r="AK27" s="868"/>
      <c r="AL27" s="868"/>
      <c r="AM27" s="868"/>
      <c r="AN27" s="868"/>
      <c r="AO27" s="868"/>
      <c r="AP27" s="868"/>
      <c r="AQ27" s="868"/>
      <c r="AR27" s="868"/>
      <c r="AS27" s="868"/>
      <c r="AT27" s="185"/>
      <c r="AU27" s="185"/>
      <c r="AV27" s="185"/>
      <c r="AW27" s="185"/>
      <c r="AX27" s="185"/>
      <c r="AY27" s="185"/>
      <c r="AZ27" s="185"/>
      <c r="BA27" s="185"/>
      <c r="BB27" s="185"/>
      <c r="BC27" s="185"/>
      <c r="BD27" s="185"/>
      <c r="BE27" s="185"/>
      <c r="BF27" s="185"/>
      <c r="BG27" s="185"/>
      <c r="BH27" s="185"/>
      <c r="BI27" s="185"/>
      <c r="BJ27" s="185"/>
      <c r="BK27" s="185"/>
      <c r="BL27" s="186"/>
      <c r="BM27" s="186"/>
      <c r="BN27" s="186"/>
      <c r="BO27" s="186"/>
      <c r="BP27" s="186"/>
      <c r="BQ27" s="186"/>
      <c r="BR27" s="186"/>
      <c r="BS27" s="186"/>
      <c r="BT27" s="186"/>
      <c r="BU27" s="186"/>
      <c r="BV27" s="186"/>
      <c r="BW27" s="186"/>
      <c r="BX27" s="186"/>
      <c r="BY27" s="186"/>
      <c r="BZ27" s="186"/>
      <c r="CA27" s="186"/>
      <c r="CB27" s="186"/>
      <c r="CC27" s="186"/>
      <c r="CD27" s="186"/>
      <c r="CE27" s="186"/>
      <c r="CF27" s="186"/>
      <c r="CG27" s="186"/>
    </row>
    <row r="28" spans="1:85" ht="16.5" customHeight="1">
      <c r="A28" s="185"/>
      <c r="B28" s="870"/>
      <c r="C28" s="895"/>
      <c r="D28" s="896"/>
      <c r="E28" s="880"/>
      <c r="F28" s="897"/>
      <c r="G28" s="898"/>
      <c r="H28" s="895"/>
      <c r="I28" s="895"/>
      <c r="J28" s="868"/>
      <c r="K28" s="187"/>
      <c r="L28" s="187"/>
      <c r="M28" s="187"/>
      <c r="N28" s="187"/>
      <c r="O28" s="868"/>
      <c r="P28" s="868"/>
      <c r="Q28" s="868"/>
      <c r="R28" s="868"/>
      <c r="S28" s="868"/>
      <c r="T28" s="868"/>
      <c r="U28" s="868"/>
      <c r="V28" s="868"/>
      <c r="W28" s="875" t="s">
        <v>403</v>
      </c>
      <c r="X28" s="918" t="s">
        <v>352</v>
      </c>
      <c r="Y28" s="918" t="s">
        <v>353</v>
      </c>
      <c r="Z28" s="918" t="s">
        <v>354</v>
      </c>
      <c r="AA28" s="868"/>
      <c r="AB28" s="884"/>
      <c r="AC28" s="868"/>
      <c r="AD28" s="868"/>
      <c r="AE28" s="868"/>
      <c r="AF28" s="868"/>
      <c r="AG28" s="868"/>
      <c r="AH28" s="187"/>
      <c r="AI28" s="187"/>
      <c r="AJ28" s="868"/>
      <c r="AK28" s="868" t="str">
        <f>HLOOKUP(1,$AK$13:$AS$17,($E$12)+1)</f>
        <v>not yet</v>
      </c>
      <c r="AL28" s="868" t="str">
        <f>HLOOKUP(2,$AK$13:$AS$17,($E$12)+1)</f>
        <v>not yet</v>
      </c>
      <c r="AM28" s="868" t="str">
        <f>HLOOKUP(3,$AK$13:$AS$17,($E$12)+1)</f>
        <v>not yet</v>
      </c>
      <c r="AN28" s="868" t="str">
        <f>HLOOKUP(4,$AK$13:$AS$17,($E$12)+1)</f>
        <v>not yet</v>
      </c>
      <c r="AO28" s="868" t="str">
        <f>HLOOKUP(5,$AK$13:$AS$17,($E$12)+1)</f>
        <v>not yet</v>
      </c>
      <c r="AP28" s="868" t="str">
        <f>HLOOKUP(6,$AK$13:$AS$17,($E$12)+1)</f>
        <v>not yet</v>
      </c>
      <c r="AQ28" s="868" t="str">
        <f>HLOOKUP(7,$AK$13:$AS$17,($E$12)+1)</f>
        <v>yes</v>
      </c>
      <c r="AR28" s="868" t="str">
        <f>HLOOKUP(8,$AK$13:$AS$17,($E$12)+1)</f>
        <v>yes</v>
      </c>
      <c r="AS28" s="868" t="str">
        <f>HLOOKUP(9,$AK$13:$AS$17,($E$12)+1)</f>
        <v>yes</v>
      </c>
      <c r="AT28" s="185"/>
      <c r="AU28" s="185"/>
      <c r="AV28" s="185"/>
      <c r="AW28" s="185"/>
      <c r="AX28" s="185"/>
      <c r="AY28" s="185"/>
      <c r="AZ28" s="185"/>
      <c r="BA28" s="185"/>
      <c r="BB28" s="185"/>
      <c r="BC28" s="185"/>
      <c r="BD28" s="185"/>
      <c r="BE28" s="185"/>
      <c r="BF28" s="185"/>
      <c r="BG28" s="185"/>
      <c r="BH28" s="185"/>
      <c r="BI28" s="185"/>
      <c r="BJ28" s="185"/>
      <c r="BK28" s="185"/>
      <c r="BL28" s="186"/>
      <c r="BM28" s="186"/>
      <c r="BN28" s="186"/>
      <c r="BO28" s="186"/>
      <c r="BP28" s="186"/>
      <c r="BQ28" s="186"/>
      <c r="BR28" s="186"/>
      <c r="BS28" s="186"/>
      <c r="BT28" s="186"/>
      <c r="BU28" s="186"/>
      <c r="BV28" s="186"/>
      <c r="BW28" s="186"/>
      <c r="BX28" s="186"/>
      <c r="BY28" s="186"/>
      <c r="BZ28" s="186"/>
      <c r="CA28" s="186"/>
      <c r="CB28" s="186"/>
      <c r="CC28" s="186"/>
      <c r="CD28" s="186"/>
      <c r="CE28" s="186"/>
      <c r="CF28" s="186"/>
      <c r="CG28" s="186"/>
    </row>
    <row r="29" spans="1:85" ht="16.5" customHeight="1">
      <c r="A29" s="185"/>
      <c r="B29" s="868"/>
      <c r="C29" s="899"/>
      <c r="D29" s="900"/>
      <c r="E29" s="901"/>
      <c r="F29" s="902"/>
      <c r="G29" s="903"/>
      <c r="H29" s="868"/>
      <c r="I29" s="872"/>
      <c r="J29" s="868"/>
      <c r="K29" s="187"/>
      <c r="L29" s="187"/>
      <c r="M29" s="187"/>
      <c r="N29" s="187"/>
      <c r="O29" s="868"/>
      <c r="P29" s="868"/>
      <c r="Q29" s="868"/>
      <c r="R29" s="868"/>
      <c r="S29" s="868"/>
      <c r="T29" s="868"/>
      <c r="U29" s="868"/>
      <c r="V29" s="868"/>
      <c r="W29" s="884">
        <f>100*(+AE23/$E$9)</f>
        <v>168.81103540467223</v>
      </c>
      <c r="X29" s="919">
        <f>EXP(5.7226-(0.68367*LN(+W29)))</f>
        <v>9.1724736793365977</v>
      </c>
      <c r="Y29" s="892">
        <f>(+X29*W29)/100</f>
        <v>15.484147790309146</v>
      </c>
      <c r="Z29" s="884">
        <f>100*((((Y29/100)-((Y29/100)-0.03574)*$E$21)-0.03574-0.00619)/0.344)</f>
        <v>21.0514463418722</v>
      </c>
      <c r="AA29" s="868">
        <f>$E$20</f>
        <v>0.25</v>
      </c>
      <c r="AB29" s="884">
        <f>Z29+AA29</f>
        <v>21.3014463418722</v>
      </c>
      <c r="AC29" s="884">
        <f>100*($E$17*$E$19+($E$18*(AB29/100))/(1-$E$21))</f>
        <v>20.593456325530841</v>
      </c>
      <c r="AD29" s="892">
        <f>AC29/W29</f>
        <v>0.12199117359931122</v>
      </c>
      <c r="AE29" s="911">
        <f>$E$8/(1-AD29)</f>
        <v>1483634.9523580475</v>
      </c>
      <c r="AF29" s="868" t="str">
        <f>IF(AE29=AE23,"yes","not yet")</f>
        <v>not yet</v>
      </c>
      <c r="AG29" s="884">
        <f>100*(1-AD29)</f>
        <v>87.800882640068878</v>
      </c>
      <c r="AH29" s="187"/>
      <c r="AI29" s="187"/>
      <c r="AJ29" s="868">
        <v>1</v>
      </c>
      <c r="AK29" s="884">
        <f>W5</f>
        <v>185.27118006727937</v>
      </c>
      <c r="AL29" s="884">
        <f>W11</f>
        <v>167.57278799319005</v>
      </c>
      <c r="AM29" s="884">
        <f>W17</f>
        <v>168.91160624547527</v>
      </c>
      <c r="AN29" s="884">
        <f>W23</f>
        <v>168.80213974426709</v>
      </c>
      <c r="AO29" s="884">
        <f>W29</f>
        <v>168.81103540467223</v>
      </c>
      <c r="AP29" s="884">
        <f>W35</f>
        <v>168.81031214848301</v>
      </c>
      <c r="AQ29" s="884">
        <f>W41</f>
        <v>168.8103175692591</v>
      </c>
      <c r="AR29" s="884">
        <f>W47</f>
        <v>168.8103175692591</v>
      </c>
      <c r="AS29" s="884">
        <f>W53</f>
        <v>168.8103175692591</v>
      </c>
      <c r="AT29" s="185"/>
      <c r="AU29" s="185"/>
      <c r="AV29" s="185"/>
      <c r="AW29" s="185"/>
      <c r="AX29" s="185"/>
      <c r="AY29" s="185"/>
      <c r="AZ29" s="185"/>
      <c r="BA29" s="185"/>
      <c r="BB29" s="185"/>
      <c r="BC29" s="185"/>
      <c r="BD29" s="185"/>
      <c r="BE29" s="185"/>
      <c r="BF29" s="185"/>
      <c r="BG29" s="185"/>
      <c r="BH29" s="185"/>
      <c r="BI29" s="185"/>
      <c r="BJ29" s="185"/>
      <c r="BK29" s="185"/>
      <c r="BL29" s="186"/>
      <c r="BM29" s="186"/>
      <c r="BN29" s="186"/>
      <c r="BO29" s="186"/>
      <c r="BP29" s="186"/>
      <c r="BQ29" s="186"/>
      <c r="BR29" s="186"/>
      <c r="BS29" s="186"/>
      <c r="BT29" s="186"/>
      <c r="BU29" s="186"/>
      <c r="BV29" s="186"/>
      <c r="BW29" s="186"/>
      <c r="BX29" s="186"/>
      <c r="BY29" s="186"/>
      <c r="BZ29" s="186"/>
      <c r="CA29" s="186"/>
      <c r="CB29" s="186"/>
      <c r="CC29" s="186"/>
      <c r="CD29" s="186"/>
      <c r="CE29" s="186"/>
      <c r="CF29" s="186"/>
      <c r="CG29" s="186"/>
    </row>
    <row r="30" spans="1:85" ht="16.5" customHeight="1">
      <c r="A30" s="185"/>
      <c r="B30" s="868"/>
      <c r="C30" s="899"/>
      <c r="D30" s="900"/>
      <c r="E30" s="904"/>
      <c r="F30" s="902"/>
      <c r="G30" s="903"/>
      <c r="H30" s="868"/>
      <c r="I30" s="872"/>
      <c r="J30" s="868"/>
      <c r="K30" s="187"/>
      <c r="L30" s="187"/>
      <c r="M30" s="187"/>
      <c r="N30" s="187"/>
      <c r="O30" s="868"/>
      <c r="P30" s="868"/>
      <c r="Q30" s="868"/>
      <c r="R30" s="868"/>
      <c r="S30" s="868"/>
      <c r="T30" s="868"/>
      <c r="U30" s="868"/>
      <c r="V30" s="868"/>
      <c r="W30" s="884">
        <f>100*(+AE24/$E$9)</f>
        <v>168.40654292673813</v>
      </c>
      <c r="X30" s="919">
        <f>EXP(5.70827-(0.68367*LN(+W30)))</f>
        <v>9.056811556751228</v>
      </c>
      <c r="Y30" s="892">
        <f>(+X30*W30)/100</f>
        <v>15.252263242114037</v>
      </c>
      <c r="Z30" s="884">
        <f>100*((((Y30/100)-((Y30/100)-0.03574)*$E$21)-0.03574-0.00619)/0.344)</f>
        <v>20.606551569172282</v>
      </c>
      <c r="AA30" s="868">
        <f>$E$20</f>
        <v>0.25</v>
      </c>
      <c r="AB30" s="884">
        <f>Z30+AA30</f>
        <v>20.856551569172282</v>
      </c>
      <c r="AC30" s="884">
        <f>100*($E$17*$E$19+($E$18*(AB30/100))/(1-$E$21))</f>
        <v>20.18900653216728</v>
      </c>
      <c r="AD30" s="892">
        <f>AC30/W30</f>
        <v>0.11988255433133677</v>
      </c>
      <c r="AE30" s="911">
        <f>$E$8/(1-AD30)</f>
        <v>1480080.4026072405</v>
      </c>
      <c r="AF30" s="868" t="str">
        <f>IF(AE30=AE24,"yes","not yet")</f>
        <v>not yet</v>
      </c>
      <c r="AG30" s="884">
        <f>100*(1-AD30)</f>
        <v>88.011744566866327</v>
      </c>
      <c r="AH30" s="187"/>
      <c r="AI30" s="187"/>
      <c r="AJ30" s="868">
        <v>2</v>
      </c>
      <c r="AK30" s="884">
        <f>W6</f>
        <v>185.27118006727937</v>
      </c>
      <c r="AL30" s="884">
        <f>W12</f>
        <v>167.16909239264689</v>
      </c>
      <c r="AM30" s="884">
        <f>W18</f>
        <v>168.50477429395511</v>
      </c>
      <c r="AN30" s="884">
        <f>W24</f>
        <v>168.3980706655513</v>
      </c>
      <c r="AO30" s="884">
        <f>W30</f>
        <v>168.40654292673813</v>
      </c>
      <c r="AP30" s="884">
        <f>W36</f>
        <v>168.40586990207507</v>
      </c>
      <c r="AQ30" s="884">
        <f>W42</f>
        <v>168.40593787436035</v>
      </c>
      <c r="AR30" s="884">
        <f>W48</f>
        <v>168.40593787436035</v>
      </c>
      <c r="AS30" s="884">
        <f>W54</f>
        <v>168.40593787436035</v>
      </c>
      <c r="AT30" s="185"/>
      <c r="AU30" s="185"/>
      <c r="AV30" s="185"/>
      <c r="AW30" s="185"/>
      <c r="AX30" s="185"/>
      <c r="AY30" s="185"/>
      <c r="AZ30" s="185"/>
      <c r="BA30" s="185"/>
      <c r="BB30" s="185"/>
      <c r="BC30" s="185"/>
      <c r="BD30" s="185"/>
      <c r="BE30" s="185"/>
      <c r="BF30" s="185"/>
      <c r="BG30" s="185"/>
      <c r="BH30" s="185"/>
      <c r="BI30" s="185"/>
      <c r="BJ30" s="185"/>
      <c r="BK30" s="185"/>
      <c r="BL30" s="186"/>
      <c r="BM30" s="186"/>
      <c r="BN30" s="186"/>
      <c r="BO30" s="186"/>
      <c r="BP30" s="186"/>
      <c r="BQ30" s="186"/>
      <c r="BR30" s="186"/>
      <c r="BS30" s="186"/>
      <c r="BT30" s="186"/>
      <c r="BU30" s="186"/>
      <c r="BV30" s="186"/>
      <c r="BW30" s="186"/>
      <c r="BX30" s="186"/>
      <c r="BY30" s="186"/>
      <c r="BZ30" s="186"/>
      <c r="CA30" s="186"/>
      <c r="CB30" s="186"/>
      <c r="CC30" s="186"/>
      <c r="CD30" s="186"/>
      <c r="CE30" s="186"/>
      <c r="CF30" s="186"/>
      <c r="CG30" s="186"/>
    </row>
    <row r="31" spans="1:85" ht="16.5" customHeight="1">
      <c r="A31" s="185"/>
      <c r="B31" s="868"/>
      <c r="C31" s="899"/>
      <c r="D31" s="899"/>
      <c r="E31" s="905"/>
      <c r="F31" s="906"/>
      <c r="G31" s="907"/>
      <c r="H31" s="908"/>
      <c r="I31" s="907"/>
      <c r="J31" s="868"/>
      <c r="K31" s="187"/>
      <c r="L31" s="187"/>
      <c r="M31" s="187"/>
      <c r="N31" s="187"/>
      <c r="O31" s="868"/>
      <c r="P31" s="868"/>
      <c r="Q31" s="868"/>
      <c r="R31" s="868"/>
      <c r="S31" s="868"/>
      <c r="T31" s="868"/>
      <c r="U31" s="868"/>
      <c r="V31" s="868"/>
      <c r="W31" s="884">
        <f>100*(+AE25/$E$9)</f>
        <v>168.13439694515878</v>
      </c>
      <c r="X31" s="919">
        <f>EXP(5.6985-(0.68367*LN(W31)))</f>
        <v>8.9786796685946673</v>
      </c>
      <c r="Y31" s="892">
        <f>(+X31*W31)/100</f>
        <v>15.096248914429225</v>
      </c>
      <c r="Z31" s="884">
        <f>100*((((Y31/100)-((Y31/100)-0.03574)*$E$21)-0.03574-0.00619)/0.344)</f>
        <v>20.307221754428166</v>
      </c>
      <c r="AA31" s="868">
        <f>$E$20</f>
        <v>0.25</v>
      </c>
      <c r="AB31" s="884">
        <f>Z31+AA31</f>
        <v>20.557221754428166</v>
      </c>
      <c r="AC31" s="884">
        <f>100*($E$17*$E$19+($E$18*(AB31/100))/(1-$E$21))</f>
        <v>19.916888518763539</v>
      </c>
      <c r="AD31" s="892">
        <f>AC31/W31</f>
        <v>0.11845814348898476</v>
      </c>
      <c r="AE31" s="911">
        <f>$E$8/(1-AD31)</f>
        <v>1477688.8626509069</v>
      </c>
      <c r="AF31" s="868" t="str">
        <f>IF(AE31=AE25,"yes","not yet")</f>
        <v>not yet</v>
      </c>
      <c r="AG31" s="884">
        <f>100*(1-AD31)</f>
        <v>88.154185651101528</v>
      </c>
      <c r="AH31" s="187"/>
      <c r="AI31" s="187"/>
      <c r="AJ31" s="868">
        <v>3</v>
      </c>
      <c r="AK31" s="884">
        <f>W7</f>
        <v>185.27118006727937</v>
      </c>
      <c r="AL31" s="884">
        <f>W13</f>
        <v>166.89825074802323</v>
      </c>
      <c r="AM31" s="884">
        <f>W19</f>
        <v>168.23099419529768</v>
      </c>
      <c r="AN31" s="884">
        <f>W25</f>
        <v>168.12620835857894</v>
      </c>
      <c r="AO31" s="884">
        <f>W31</f>
        <v>168.13439694515878</v>
      </c>
      <c r="AP31" s="884">
        <f>W37</f>
        <v>168.13375673441035</v>
      </c>
      <c r="AQ31" s="884">
        <f>W43</f>
        <v>168.1337723622056</v>
      </c>
      <c r="AR31" s="884">
        <f>W49</f>
        <v>168.1337723622056</v>
      </c>
      <c r="AS31" s="884">
        <f>W55</f>
        <v>168.1337723622056</v>
      </c>
      <c r="AT31" s="185"/>
      <c r="AU31" s="185"/>
      <c r="AV31" s="185"/>
      <c r="AW31" s="185"/>
      <c r="AX31" s="185"/>
      <c r="AY31" s="185"/>
      <c r="AZ31" s="185"/>
      <c r="BA31" s="185"/>
      <c r="BB31" s="185"/>
      <c r="BC31" s="185"/>
      <c r="BD31" s="185"/>
      <c r="BE31" s="185"/>
      <c r="BF31" s="185"/>
      <c r="BG31" s="185"/>
      <c r="BH31" s="185"/>
      <c r="BI31" s="185"/>
      <c r="BJ31" s="185"/>
      <c r="BK31" s="185"/>
      <c r="BL31" s="186"/>
      <c r="BM31" s="186"/>
      <c r="BN31" s="186"/>
      <c r="BO31" s="186"/>
      <c r="BP31" s="186"/>
      <c r="BQ31" s="186"/>
      <c r="BR31" s="186"/>
      <c r="BS31" s="186"/>
      <c r="BT31" s="186"/>
      <c r="BU31" s="186"/>
      <c r="BV31" s="186"/>
      <c r="BW31" s="186"/>
      <c r="BX31" s="186"/>
      <c r="BY31" s="186"/>
      <c r="BZ31" s="186"/>
      <c r="CA31" s="186"/>
      <c r="CB31" s="186"/>
      <c r="CC31" s="186"/>
      <c r="CD31" s="186"/>
      <c r="CE31" s="186"/>
      <c r="CF31" s="186"/>
      <c r="CG31" s="186"/>
    </row>
    <row r="32" spans="1:85" ht="16.5" customHeight="1">
      <c r="A32" s="185"/>
      <c r="B32" s="868"/>
      <c r="C32" s="899"/>
      <c r="D32" s="909"/>
      <c r="E32" s="910"/>
      <c r="F32" s="906"/>
      <c r="G32" s="911"/>
      <c r="H32" s="868"/>
      <c r="I32" s="868"/>
      <c r="J32" s="868"/>
      <c r="K32" s="187"/>
      <c r="L32" s="187"/>
      <c r="M32" s="187"/>
      <c r="N32" s="187"/>
      <c r="O32" s="868"/>
      <c r="P32" s="868"/>
      <c r="Q32" s="868"/>
      <c r="R32" s="868"/>
      <c r="S32" s="868"/>
      <c r="T32" s="868"/>
      <c r="U32" s="868"/>
      <c r="V32" s="868"/>
      <c r="W32" s="884">
        <f>100*(+AE26/$E$9)</f>
        <v>167.96045167966363</v>
      </c>
      <c r="X32" s="919">
        <f>EXP(5.6922-(0.68367*LN(W32)))</f>
        <v>8.9286080173758986</v>
      </c>
      <c r="Y32" s="892">
        <f>(+X32*W32)/100</f>
        <v>14.99653035469122</v>
      </c>
      <c r="Z32" s="884">
        <f>100*((((Y32/100)-((Y32/100)-0.03574)*$E$21)-0.03574-0.00619)/0.344)</f>
        <v>20.11590126190757</v>
      </c>
      <c r="AA32" s="868">
        <f>$E$20</f>
        <v>0.25</v>
      </c>
      <c r="AB32" s="884">
        <f>Z32+AA32</f>
        <v>20.36590126190757</v>
      </c>
      <c r="AC32" s="884">
        <f>100*($E$17*$E$19+($E$18*(AB32/100))/(1-$E$21))</f>
        <v>19.74296079829027</v>
      </c>
      <c r="AD32" s="892">
        <f>AC32/W32</f>
        <v>0.1175452947456006</v>
      </c>
      <c r="AE32" s="911">
        <f>$E$8/(1-AD32)</f>
        <v>1476160.2783356421</v>
      </c>
      <c r="AF32" s="868" t="str">
        <f>IF(AE32=AE26,"yes","not yet")</f>
        <v>not yet</v>
      </c>
      <c r="AG32" s="884">
        <f>100*(1-AD32)</f>
        <v>88.245470525439941</v>
      </c>
      <c r="AH32" s="187"/>
      <c r="AI32" s="187"/>
      <c r="AJ32" s="868">
        <v>4</v>
      </c>
      <c r="AK32" s="884">
        <f>W8</f>
        <v>185.27118006727937</v>
      </c>
      <c r="AL32" s="884">
        <f>W14</f>
        <v>166.72546146348515</v>
      </c>
      <c r="AM32" s="884">
        <f>W20</f>
        <v>168.05598052281761</v>
      </c>
      <c r="AN32" s="884">
        <f>W26</f>
        <v>167.95244368346783</v>
      </c>
      <c r="AO32" s="884">
        <f>W32</f>
        <v>167.96045167966363</v>
      </c>
      <c r="AP32" s="884">
        <f>W38</f>
        <v>167.95983201324157</v>
      </c>
      <c r="AQ32" s="884">
        <f>W44</f>
        <v>167.95991412534423</v>
      </c>
      <c r="AR32" s="884">
        <f>W50</f>
        <v>167.95991412534423</v>
      </c>
      <c r="AS32" s="884">
        <f>W56</f>
        <v>167.95991412534423</v>
      </c>
      <c r="AT32" s="185"/>
      <c r="AU32" s="185"/>
      <c r="AV32" s="185"/>
      <c r="AW32" s="185"/>
      <c r="AX32" s="185"/>
      <c r="AY32" s="185"/>
      <c r="AZ32" s="185"/>
      <c r="BA32" s="185"/>
      <c r="BB32" s="185"/>
      <c r="BC32" s="185"/>
      <c r="BD32" s="185"/>
      <c r="BE32" s="185"/>
      <c r="BF32" s="185"/>
      <c r="BG32" s="185"/>
      <c r="BH32" s="185"/>
      <c r="BI32" s="185"/>
      <c r="BJ32" s="185"/>
      <c r="BK32" s="185"/>
      <c r="BL32" s="186"/>
      <c r="BM32" s="186"/>
      <c r="BN32" s="186"/>
      <c r="BO32" s="186"/>
      <c r="BP32" s="186"/>
      <c r="BQ32" s="186"/>
      <c r="BR32" s="186"/>
      <c r="BS32" s="186"/>
      <c r="BT32" s="186"/>
      <c r="BU32" s="186"/>
      <c r="BV32" s="186"/>
      <c r="BW32" s="186"/>
      <c r="BX32" s="186"/>
      <c r="BY32" s="186"/>
      <c r="BZ32" s="186"/>
      <c r="CA32" s="186"/>
      <c r="CB32" s="186"/>
      <c r="CC32" s="186"/>
      <c r="CD32" s="186"/>
      <c r="CE32" s="186"/>
      <c r="CF32" s="186"/>
      <c r="CG32" s="186"/>
    </row>
    <row r="33" spans="1:85" ht="16.5" customHeight="1">
      <c r="A33" s="185"/>
      <c r="B33" s="868"/>
      <c r="C33" s="899"/>
      <c r="D33" s="899"/>
      <c r="E33" s="912"/>
      <c r="F33" s="906"/>
      <c r="G33" s="889"/>
      <c r="H33" s="868"/>
      <c r="I33" s="889"/>
      <c r="J33" s="868"/>
      <c r="K33" s="187"/>
      <c r="L33" s="187"/>
      <c r="M33" s="187"/>
      <c r="N33" s="187"/>
      <c r="O33" s="868"/>
      <c r="P33" s="868"/>
      <c r="Q33" s="868"/>
      <c r="R33" s="868"/>
      <c r="S33" s="868"/>
      <c r="T33" s="868"/>
      <c r="U33" s="868"/>
      <c r="V33" s="868"/>
      <c r="W33" s="868"/>
      <c r="X33" s="868"/>
      <c r="Y33" s="868"/>
      <c r="Z33" s="868"/>
      <c r="AA33" s="868"/>
      <c r="AB33" s="884"/>
      <c r="AC33" s="868"/>
      <c r="AD33" s="868"/>
      <c r="AE33" s="868"/>
      <c r="AF33" s="868"/>
      <c r="AG33" s="868"/>
      <c r="AH33" s="187"/>
      <c r="AI33" s="187"/>
      <c r="AJ33" s="868"/>
      <c r="AK33" s="868"/>
      <c r="AL33" s="868"/>
      <c r="AM33" s="868"/>
      <c r="AN33" s="868"/>
      <c r="AO33" s="868"/>
      <c r="AP33" s="868"/>
      <c r="AQ33" s="868"/>
      <c r="AR33" s="868"/>
      <c r="AS33" s="868"/>
      <c r="AT33" s="185"/>
      <c r="AU33" s="185"/>
      <c r="AV33" s="185"/>
      <c r="AW33" s="185"/>
      <c r="AX33" s="185"/>
      <c r="AY33" s="185"/>
      <c r="AZ33" s="185"/>
      <c r="BA33" s="185"/>
      <c r="BB33" s="185"/>
      <c r="BC33" s="185"/>
      <c r="BD33" s="185"/>
      <c r="BE33" s="185"/>
      <c r="BF33" s="185"/>
      <c r="BG33" s="185"/>
      <c r="BH33" s="185"/>
      <c r="BI33" s="185"/>
      <c r="BJ33" s="185"/>
      <c r="BK33" s="185"/>
      <c r="BL33" s="186"/>
      <c r="BM33" s="186"/>
      <c r="BN33" s="186"/>
      <c r="BO33" s="186"/>
      <c r="BP33" s="186"/>
      <c r="BQ33" s="186"/>
      <c r="BR33" s="186"/>
      <c r="BS33" s="186"/>
      <c r="BT33" s="186"/>
      <c r="BU33" s="186"/>
      <c r="BV33" s="186"/>
      <c r="BW33" s="186"/>
      <c r="BX33" s="186"/>
      <c r="BY33" s="186"/>
      <c r="BZ33" s="186"/>
      <c r="CA33" s="186"/>
      <c r="CB33" s="186"/>
      <c r="CC33" s="186"/>
      <c r="CD33" s="186"/>
      <c r="CE33" s="186"/>
      <c r="CF33" s="186"/>
      <c r="CG33" s="186"/>
    </row>
    <row r="34" spans="1:85" ht="16.5" customHeight="1">
      <c r="A34" s="185"/>
      <c r="B34" s="868"/>
      <c r="C34" s="899"/>
      <c r="D34" s="899"/>
      <c r="E34" s="904"/>
      <c r="F34" s="906"/>
      <c r="G34" s="868"/>
      <c r="H34" s="868"/>
      <c r="I34" s="868"/>
      <c r="J34" s="868"/>
      <c r="K34" s="187"/>
      <c r="L34" s="187"/>
      <c r="M34" s="187"/>
      <c r="N34" s="187"/>
      <c r="O34" s="868"/>
      <c r="P34" s="868"/>
      <c r="Q34" s="868"/>
      <c r="R34" s="868"/>
      <c r="S34" s="868"/>
      <c r="T34" s="868"/>
      <c r="U34" s="868"/>
      <c r="V34" s="868"/>
      <c r="W34" s="875" t="s">
        <v>404</v>
      </c>
      <c r="X34" s="918" t="s">
        <v>352</v>
      </c>
      <c r="Y34" s="918" t="s">
        <v>353</v>
      </c>
      <c r="Z34" s="918" t="s">
        <v>354</v>
      </c>
      <c r="AA34" s="868"/>
      <c r="AB34" s="884"/>
      <c r="AC34" s="868"/>
      <c r="AD34" s="868"/>
      <c r="AE34" s="868"/>
      <c r="AF34" s="868"/>
      <c r="AG34" s="868"/>
      <c r="AH34" s="187"/>
      <c r="AI34" s="187"/>
      <c r="AJ34" s="868"/>
      <c r="AK34" s="868" t="s">
        <v>402</v>
      </c>
      <c r="AL34" s="868"/>
      <c r="AM34" s="868"/>
      <c r="AN34" s="868"/>
      <c r="AO34" s="868"/>
      <c r="AP34" s="868"/>
      <c r="AQ34" s="868"/>
      <c r="AR34" s="868"/>
      <c r="AS34" s="868"/>
      <c r="AT34" s="185"/>
      <c r="AU34" s="185"/>
      <c r="AV34" s="185"/>
      <c r="AW34" s="185"/>
      <c r="AX34" s="185"/>
      <c r="AY34" s="185"/>
      <c r="AZ34" s="185"/>
      <c r="BA34" s="185"/>
      <c r="BB34" s="185"/>
      <c r="BC34" s="185"/>
      <c r="BD34" s="185"/>
      <c r="BE34" s="185"/>
      <c r="BF34" s="185"/>
      <c r="BG34" s="185"/>
      <c r="BH34" s="185"/>
      <c r="BI34" s="185"/>
      <c r="BJ34" s="185"/>
      <c r="BK34" s="185"/>
      <c r="BL34" s="186"/>
      <c r="BM34" s="186"/>
      <c r="BN34" s="186"/>
      <c r="BO34" s="186"/>
      <c r="BP34" s="186"/>
      <c r="BQ34" s="186"/>
      <c r="BR34" s="186"/>
      <c r="BS34" s="186"/>
      <c r="BT34" s="186"/>
      <c r="BU34" s="186"/>
      <c r="BV34" s="186"/>
      <c r="BW34" s="186"/>
      <c r="BX34" s="186"/>
      <c r="BY34" s="186"/>
      <c r="BZ34" s="186"/>
      <c r="CA34" s="186"/>
      <c r="CB34" s="186"/>
      <c r="CC34" s="186"/>
      <c r="CD34" s="186"/>
      <c r="CE34" s="186"/>
      <c r="CF34" s="186"/>
      <c r="CG34" s="186"/>
    </row>
    <row r="35" spans="1:85" ht="16.5" customHeight="1">
      <c r="A35" s="185"/>
      <c r="B35" s="868"/>
      <c r="C35" s="899"/>
      <c r="D35" s="899"/>
      <c r="E35" s="913"/>
      <c r="F35" s="906"/>
      <c r="G35" s="906"/>
      <c r="H35" s="868"/>
      <c r="I35" s="868"/>
      <c r="J35" s="868"/>
      <c r="K35" s="187"/>
      <c r="L35" s="187"/>
      <c r="M35" s="187"/>
      <c r="N35" s="187"/>
      <c r="O35" s="868"/>
      <c r="P35" s="868"/>
      <c r="Q35" s="868"/>
      <c r="R35" s="868"/>
      <c r="S35" s="868"/>
      <c r="T35" s="868"/>
      <c r="U35" s="868"/>
      <c r="V35" s="868"/>
      <c r="W35" s="884">
        <f>100*(+AE29/$E$9)</f>
        <v>168.81031214848301</v>
      </c>
      <c r="X35" s="919">
        <f>EXP(5.7226-(0.68367*LN(+W35)))</f>
        <v>9.1725005467519249</v>
      </c>
      <c r="Y35" s="892">
        <f>(+X35*W35)/100</f>
        <v>15.484126804793235</v>
      </c>
      <c r="Z35" s="884">
        <f>100*((((Y35/100)-((Y35/100)-0.03574)*$E$21)-0.03574-0.00619)/0.344)</f>
        <v>21.051406078963769</v>
      </c>
      <c r="AA35" s="868">
        <f>$E$20</f>
        <v>0.25</v>
      </c>
      <c r="AB35" s="884">
        <f>Z35+AA35</f>
        <v>21.301406078963769</v>
      </c>
      <c r="AC35" s="884">
        <f>100*($E$17*$E$19+($E$18*(AB35/100))/(1-$E$21))</f>
        <v>20.593419722886814</v>
      </c>
      <c r="AD35" s="892">
        <f>AC35/W35</f>
        <v>0.12199147943505462</v>
      </c>
      <c r="AE35" s="911">
        <f>ROUND($E$8/(1-AD35),0)</f>
        <v>1483635</v>
      </c>
      <c r="AF35" s="868" t="str">
        <f>IF(AE35=AE29,"yes","not yet")</f>
        <v>not yet</v>
      </c>
      <c r="AG35" s="884">
        <f>100*(1-AD35)</f>
        <v>87.800852056494534</v>
      </c>
      <c r="AH35" s="187"/>
      <c r="AI35" s="187"/>
      <c r="AJ35" s="868"/>
      <c r="AK35" s="884">
        <f>HLOOKUP($AK$34,$AK$28:$AS$32,($E$12)+1)</f>
        <v>168.1337723622056</v>
      </c>
      <c r="AL35" s="868"/>
      <c r="AM35" s="868"/>
      <c r="AN35" s="868"/>
      <c r="AO35" s="868"/>
      <c r="AP35" s="868"/>
      <c r="AQ35" s="868"/>
      <c r="AR35" s="868"/>
      <c r="AS35" s="868"/>
      <c r="AT35" s="185"/>
      <c r="AU35" s="185"/>
      <c r="AV35" s="185"/>
      <c r="AW35" s="185"/>
      <c r="AX35" s="185"/>
      <c r="AY35" s="185"/>
      <c r="AZ35" s="185"/>
      <c r="BA35" s="185"/>
      <c r="BB35" s="185"/>
      <c r="BC35" s="185"/>
      <c r="BD35" s="185"/>
      <c r="BE35" s="185"/>
      <c r="BF35" s="185"/>
      <c r="BG35" s="185"/>
      <c r="BH35" s="185"/>
      <c r="BI35" s="185"/>
      <c r="BJ35" s="185"/>
      <c r="BK35" s="185"/>
      <c r="BL35" s="186"/>
      <c r="BM35" s="186"/>
      <c r="BN35" s="186"/>
      <c r="BO35" s="186"/>
      <c r="BP35" s="186"/>
      <c r="BQ35" s="186"/>
      <c r="BR35" s="186"/>
      <c r="BS35" s="186"/>
      <c r="BT35" s="186"/>
      <c r="BU35" s="186"/>
      <c r="BV35" s="186"/>
      <c r="BW35" s="186"/>
      <c r="BX35" s="186"/>
      <c r="BY35" s="186"/>
      <c r="BZ35" s="186"/>
      <c r="CA35" s="186"/>
      <c r="CB35" s="186"/>
      <c r="CC35" s="186"/>
      <c r="CD35" s="186"/>
      <c r="CE35" s="186"/>
      <c r="CF35" s="186"/>
      <c r="CG35" s="186"/>
    </row>
    <row r="36" spans="1:85" ht="16.5" customHeight="1">
      <c r="A36" s="185"/>
      <c r="B36" s="868"/>
      <c r="C36" s="899"/>
      <c r="D36" s="899"/>
      <c r="E36" s="914"/>
      <c r="F36" s="868"/>
      <c r="G36" s="868"/>
      <c r="H36" s="868"/>
      <c r="I36" s="868"/>
      <c r="J36" s="868"/>
      <c r="K36" s="187"/>
      <c r="L36" s="187"/>
      <c r="M36" s="187"/>
      <c r="N36" s="187"/>
      <c r="O36" s="868"/>
      <c r="P36" s="868"/>
      <c r="Q36" s="868"/>
      <c r="R36" s="868"/>
      <c r="S36" s="868"/>
      <c r="T36" s="868"/>
      <c r="U36" s="868"/>
      <c r="V36" s="868"/>
      <c r="W36" s="884">
        <f>100*(+AE30/$E$9)</f>
        <v>168.40586990207507</v>
      </c>
      <c r="X36" s="919">
        <f>EXP(5.70827-(0.68367*LN(+W36)))</f>
        <v>9.056836302200006</v>
      </c>
      <c r="Y36" s="892">
        <f>(+X36*W36)/100</f>
        <v>15.252243960326847</v>
      </c>
      <c r="Z36" s="884">
        <f>100*((((Y36/100)-((Y36/100)-0.03574)*$E$21)-0.03574-0.00619)/0.344)</f>
        <v>20.606514575045697</v>
      </c>
      <c r="AA36" s="868">
        <f>$E$20</f>
        <v>0.25</v>
      </c>
      <c r="AB36" s="884">
        <f>Z36+AA36</f>
        <v>20.856514575045697</v>
      </c>
      <c r="AC36" s="884">
        <f>100*($E$17*$E$19+($E$18*(AB36/100))/(1-$E$21))</f>
        <v>20.188972901143114</v>
      </c>
      <c r="AD36" s="892">
        <f>AC36/W36</f>
        <v>0.11988283373306781</v>
      </c>
      <c r="AE36" s="911">
        <f>ROUND($E$8/(1-AD36),0)</f>
        <v>1480081</v>
      </c>
      <c r="AF36" s="868" t="str">
        <f>IF(AE36=AE30,"yes","not yet")</f>
        <v>not yet</v>
      </c>
      <c r="AG36" s="884">
        <f>100*(1-AD36)</f>
        <v>88.011716626693214</v>
      </c>
      <c r="AH36" s="187"/>
      <c r="AI36" s="187"/>
      <c r="AJ36" s="868"/>
      <c r="AK36" s="868"/>
      <c r="AL36" s="868"/>
      <c r="AM36" s="868"/>
      <c r="AN36" s="868"/>
      <c r="AO36" s="868"/>
      <c r="AP36" s="868"/>
      <c r="AQ36" s="868"/>
      <c r="AR36" s="868"/>
      <c r="AS36" s="868"/>
      <c r="AT36" s="185"/>
      <c r="AU36" s="185"/>
      <c r="AV36" s="185"/>
      <c r="AW36" s="185"/>
      <c r="AX36" s="185"/>
      <c r="AY36" s="185"/>
      <c r="AZ36" s="185"/>
      <c r="BA36" s="185"/>
      <c r="BB36" s="185"/>
      <c r="BC36" s="185"/>
      <c r="BD36" s="185"/>
      <c r="BE36" s="185"/>
      <c r="BF36" s="185"/>
      <c r="BG36" s="185"/>
      <c r="BH36" s="185"/>
      <c r="BI36" s="185"/>
      <c r="BJ36" s="185"/>
      <c r="BK36" s="185"/>
      <c r="BL36" s="186"/>
      <c r="BM36" s="186"/>
      <c r="BN36" s="186"/>
      <c r="BO36" s="186"/>
      <c r="BP36" s="186"/>
      <c r="BQ36" s="186"/>
      <c r="BR36" s="186"/>
      <c r="BS36" s="186"/>
      <c r="BT36" s="186"/>
      <c r="BU36" s="186"/>
      <c r="BV36" s="186"/>
      <c r="BW36" s="186"/>
      <c r="BX36" s="186"/>
      <c r="BY36" s="186"/>
      <c r="BZ36" s="186"/>
      <c r="CA36" s="186"/>
      <c r="CB36" s="186"/>
      <c r="CC36" s="186"/>
      <c r="CD36" s="186"/>
      <c r="CE36" s="186"/>
      <c r="CF36" s="186"/>
      <c r="CG36" s="186"/>
    </row>
    <row r="37" spans="1:85" ht="16.5" customHeight="1">
      <c r="A37" s="185"/>
      <c r="B37" s="868"/>
      <c r="C37" s="899"/>
      <c r="D37" s="899"/>
      <c r="E37" s="901"/>
      <c r="F37" s="868"/>
      <c r="G37" s="906"/>
      <c r="H37" s="868"/>
      <c r="I37" s="868"/>
      <c r="J37" s="868"/>
      <c r="K37" s="187"/>
      <c r="L37" s="187"/>
      <c r="M37" s="187"/>
      <c r="N37" s="187"/>
      <c r="O37" s="868"/>
      <c r="P37" s="868"/>
      <c r="Q37" s="868"/>
      <c r="R37" s="868"/>
      <c r="S37" s="868"/>
      <c r="T37" s="868"/>
      <c r="U37" s="868"/>
      <c r="V37" s="868"/>
      <c r="W37" s="884">
        <f>100*(+AE31/$E$9)</f>
        <v>168.13375673441035</v>
      </c>
      <c r="X37" s="919">
        <f>EXP(5.6985-(0.68367*LN(W37)))</f>
        <v>8.9787030422579566</v>
      </c>
      <c r="Y37" s="892">
        <f>(+X37*W37)/100</f>
        <v>15.096230730975094</v>
      </c>
      <c r="Z37" s="884">
        <f>100*((((Y37/100)-((Y37/100)-0.03574)*$E$21)-0.03574-0.00619)/0.344)</f>
        <v>20.307186867568493</v>
      </c>
      <c r="AA37" s="868">
        <f>$E$20</f>
        <v>0.25</v>
      </c>
      <c r="AB37" s="884">
        <f>Z37+AA37</f>
        <v>20.557186867568493</v>
      </c>
      <c r="AC37" s="884">
        <f>100*($E$17*$E$19+($E$18*(AB37/100))/(1-$E$21))</f>
        <v>19.916856803436566</v>
      </c>
      <c r="AD37" s="892">
        <f>AC37/W37</f>
        <v>0.1184584059160582</v>
      </c>
      <c r="AE37" s="911">
        <f>ROUND($E$8/(1-AD37),0)</f>
        <v>1477689</v>
      </c>
      <c r="AF37" s="868" t="str">
        <f>IF(AE37=AE31,"yes","not yet")</f>
        <v>not yet</v>
      </c>
      <c r="AG37" s="884">
        <f>100*(1-AD37)</f>
        <v>88.154159408394179</v>
      </c>
      <c r="AH37" s="187"/>
      <c r="AI37" s="187"/>
      <c r="AJ37" s="868"/>
      <c r="AK37" s="868" t="str">
        <f>HLOOKUP(1,$AK$13:$AS$17,($E$12)+1)</f>
        <v>not yet</v>
      </c>
      <c r="AL37" s="868" t="str">
        <f>HLOOKUP(2,$AK$13:$AS$17,($E$12)+1)</f>
        <v>not yet</v>
      </c>
      <c r="AM37" s="868" t="str">
        <f>HLOOKUP(3,$AK$13:$AS$17,($E$12)+1)</f>
        <v>not yet</v>
      </c>
      <c r="AN37" s="868" t="str">
        <f>HLOOKUP(4,$AK$13:$AS$17,($E$12)+1)</f>
        <v>not yet</v>
      </c>
      <c r="AO37" s="868" t="str">
        <f>HLOOKUP(5,$AK$13:$AS$17,($E$12)+1)</f>
        <v>not yet</v>
      </c>
      <c r="AP37" s="868" t="str">
        <f>HLOOKUP(6,$AK$13:$AS$17,($E$12)+1)</f>
        <v>not yet</v>
      </c>
      <c r="AQ37" s="868" t="str">
        <f>HLOOKUP(7,$AK$13:$AS$17,($E$12)+1)</f>
        <v>yes</v>
      </c>
      <c r="AR37" s="868" t="str">
        <f>HLOOKUP(8,$AK$13:$AS$17,($E$12)+1)</f>
        <v>yes</v>
      </c>
      <c r="AS37" s="868" t="str">
        <f>HLOOKUP(9,$AK$13:$AS$17,($E$12)+1)</f>
        <v>yes</v>
      </c>
      <c r="AT37" s="185"/>
      <c r="AU37" s="185"/>
      <c r="AV37" s="185"/>
      <c r="AW37" s="185"/>
      <c r="AX37" s="185"/>
      <c r="AY37" s="185"/>
      <c r="AZ37" s="185"/>
      <c r="BA37" s="185"/>
      <c r="BB37" s="185"/>
      <c r="BC37" s="185"/>
      <c r="BD37" s="185"/>
      <c r="BE37" s="185"/>
      <c r="BF37" s="185"/>
      <c r="BG37" s="185"/>
      <c r="BH37" s="185"/>
      <c r="BI37" s="185"/>
      <c r="BJ37" s="185"/>
      <c r="BK37" s="185"/>
      <c r="BL37" s="186"/>
      <c r="BM37" s="186"/>
      <c r="BN37" s="186"/>
      <c r="BO37" s="186"/>
      <c r="BP37" s="186"/>
      <c r="BQ37" s="186"/>
      <c r="BR37" s="186"/>
      <c r="BS37" s="186"/>
      <c r="BT37" s="186"/>
      <c r="BU37" s="186"/>
      <c r="BV37" s="186"/>
      <c r="BW37" s="186"/>
      <c r="BX37" s="186"/>
      <c r="BY37" s="186"/>
      <c r="BZ37" s="186"/>
      <c r="CA37" s="186"/>
      <c r="CB37" s="186"/>
      <c r="CC37" s="186"/>
      <c r="CD37" s="186"/>
      <c r="CE37" s="186"/>
      <c r="CF37" s="186"/>
      <c r="CG37" s="186"/>
    </row>
    <row r="38" spans="1:85" ht="16.5" customHeight="1">
      <c r="A38" s="185"/>
      <c r="B38" s="868"/>
      <c r="C38" s="899"/>
      <c r="D38" s="899"/>
      <c r="E38" s="913"/>
      <c r="F38" s="868"/>
      <c r="G38" s="868"/>
      <c r="H38" s="868"/>
      <c r="I38" s="868"/>
      <c r="J38" s="868"/>
      <c r="K38" s="187"/>
      <c r="L38" s="187"/>
      <c r="M38" s="187"/>
      <c r="N38" s="187"/>
      <c r="O38" s="868"/>
      <c r="P38" s="868"/>
      <c r="Q38" s="868"/>
      <c r="R38" s="868"/>
      <c r="S38" s="868"/>
      <c r="T38" s="868"/>
      <c r="U38" s="868"/>
      <c r="V38" s="868"/>
      <c r="W38" s="884">
        <f>100*(+AE32/$E$9)</f>
        <v>167.95983201324157</v>
      </c>
      <c r="X38" s="919">
        <f>EXP(5.6922-(0.68367*LN(W38)))</f>
        <v>8.9286305381108182</v>
      </c>
      <c r="Y38" s="892">
        <f>(+X38*W38)/100</f>
        <v>14.996512852893916</v>
      </c>
      <c r="Z38" s="884">
        <f>100*((((Y38/100)-((Y38/100)-0.03574)*$E$21)-0.03574-0.00619)/0.344)</f>
        <v>20.115867682877866</v>
      </c>
      <c r="AA38" s="868">
        <f>$E$20</f>
        <v>0.25</v>
      </c>
      <c r="AB38" s="884">
        <f>Z38+AA38</f>
        <v>20.365867682877866</v>
      </c>
      <c r="AC38" s="884">
        <f>100*($E$17*$E$19+($E$18*(AB38/100))/(1-$E$21))</f>
        <v>19.742930271899631</v>
      </c>
      <c r="AD38" s="892">
        <f>AC38/W38</f>
        <v>0.11754554666584296</v>
      </c>
      <c r="AE38" s="911">
        <f>ROUND($E$8/(1-AD38),0)</f>
        <v>1476161</v>
      </c>
      <c r="AF38" s="868" t="str">
        <f>IF(AE38=AE32,"yes","not yet")</f>
        <v>not yet</v>
      </c>
      <c r="AG38" s="884">
        <f>100*(1-AD38)</f>
        <v>88.245445333415702</v>
      </c>
      <c r="AH38" s="187"/>
      <c r="AI38" s="187"/>
      <c r="AJ38" s="868">
        <v>1</v>
      </c>
      <c r="AK38" s="911">
        <f>AE5</f>
        <v>1472758.6375890477</v>
      </c>
      <c r="AL38" s="911">
        <f>AE11</f>
        <v>1484525.2028460216</v>
      </c>
      <c r="AM38" s="911">
        <f>AE17</f>
        <v>1483563.126979697</v>
      </c>
      <c r="AN38" s="911">
        <f>AE23</f>
        <v>1483641.3088901108</v>
      </c>
      <c r="AO38" s="911">
        <f>AE29</f>
        <v>1483634.9523580475</v>
      </c>
      <c r="AP38" s="911">
        <f>AE35</f>
        <v>1483635</v>
      </c>
      <c r="AQ38" s="911">
        <f>AE41</f>
        <v>1483635</v>
      </c>
      <c r="AR38" s="911">
        <f>AE47</f>
        <v>1483635</v>
      </c>
      <c r="AS38" s="911">
        <f>AE53</f>
        <v>1483635</v>
      </c>
      <c r="AT38" s="185"/>
      <c r="AU38" s="185"/>
      <c r="AV38" s="185"/>
      <c r="AW38" s="185"/>
      <c r="AX38" s="185"/>
      <c r="AY38" s="185"/>
      <c r="AZ38" s="185"/>
      <c r="BA38" s="185"/>
      <c r="BB38" s="185"/>
      <c r="BC38" s="185"/>
      <c r="BD38" s="185"/>
      <c r="BE38" s="185"/>
      <c r="BF38" s="185"/>
      <c r="BG38" s="185"/>
      <c r="BH38" s="185"/>
      <c r="BI38" s="185"/>
      <c r="BJ38" s="185"/>
      <c r="BK38" s="185"/>
      <c r="BL38" s="186"/>
      <c r="BM38" s="186"/>
      <c r="BN38" s="186"/>
      <c r="BO38" s="186"/>
      <c r="BP38" s="186"/>
      <c r="BQ38" s="186"/>
      <c r="BR38" s="186"/>
      <c r="BS38" s="186"/>
      <c r="BT38" s="186"/>
      <c r="BU38" s="186"/>
      <c r="BV38" s="186"/>
      <c r="BW38" s="186"/>
      <c r="BX38" s="186"/>
      <c r="BY38" s="186"/>
      <c r="BZ38" s="186"/>
      <c r="CA38" s="186"/>
      <c r="CB38" s="186"/>
      <c r="CC38" s="186"/>
      <c r="CD38" s="186"/>
      <c r="CE38" s="186"/>
      <c r="CF38" s="186"/>
      <c r="CG38" s="186"/>
    </row>
    <row r="39" spans="1:85" ht="16.5" customHeight="1">
      <c r="A39" s="185"/>
      <c r="B39" s="868"/>
      <c r="C39" s="899"/>
      <c r="D39" s="899"/>
      <c r="E39" s="915"/>
      <c r="F39" s="868"/>
      <c r="G39" s="868"/>
      <c r="H39" s="868"/>
      <c r="I39" s="868"/>
      <c r="J39" s="868"/>
      <c r="K39" s="187"/>
      <c r="L39" s="187"/>
      <c r="M39" s="187"/>
      <c r="N39" s="187"/>
      <c r="O39" s="868"/>
      <c r="P39" s="868"/>
      <c r="Q39" s="868"/>
      <c r="R39" s="868"/>
      <c r="S39" s="868"/>
      <c r="T39" s="868"/>
      <c r="U39" s="868"/>
      <c r="V39" s="868"/>
      <c r="W39" s="868"/>
      <c r="X39" s="868"/>
      <c r="Y39" s="868"/>
      <c r="Z39" s="868"/>
      <c r="AA39" s="868"/>
      <c r="AB39" s="884"/>
      <c r="AC39" s="868"/>
      <c r="AD39" s="868"/>
      <c r="AE39" s="868"/>
      <c r="AF39" s="868"/>
      <c r="AG39" s="868"/>
      <c r="AH39" s="187"/>
      <c r="AI39" s="187"/>
      <c r="AJ39" s="868">
        <v>2</v>
      </c>
      <c r="AK39" s="911">
        <f>AE6</f>
        <v>1469210.6499367754</v>
      </c>
      <c r="AL39" s="911">
        <f>AE12</f>
        <v>1480949.6505273907</v>
      </c>
      <c r="AM39" s="911">
        <f>AE18</f>
        <v>1480011.8569137866</v>
      </c>
      <c r="AN39" s="911">
        <f>AE24</f>
        <v>1480086.3176659902</v>
      </c>
      <c r="AO39" s="911">
        <f>AE30</f>
        <v>1480080.4026072405</v>
      </c>
      <c r="AP39" s="911">
        <f>AE36</f>
        <v>1480081</v>
      </c>
      <c r="AQ39" s="911">
        <f>AE42</f>
        <v>1480081</v>
      </c>
      <c r="AR39" s="911">
        <f>AE48</f>
        <v>1480081</v>
      </c>
      <c r="AS39" s="911">
        <f>AE54</f>
        <v>1480081</v>
      </c>
      <c r="AT39" s="185"/>
      <c r="AU39" s="185"/>
      <c r="AV39" s="185"/>
      <c r="AW39" s="185"/>
      <c r="AX39" s="185"/>
      <c r="AY39" s="185"/>
      <c r="AZ39" s="185"/>
      <c r="BA39" s="185"/>
      <c r="BB39" s="185"/>
      <c r="BC39" s="185"/>
      <c r="BD39" s="185"/>
      <c r="BE39" s="185"/>
      <c r="BF39" s="185"/>
      <c r="BG39" s="185"/>
      <c r="BH39" s="185"/>
      <c r="BI39" s="185"/>
      <c r="BJ39" s="185"/>
      <c r="BK39" s="185"/>
      <c r="BL39" s="186"/>
      <c r="BM39" s="186"/>
      <c r="BN39" s="186"/>
      <c r="BO39" s="186"/>
      <c r="BP39" s="186"/>
      <c r="BQ39" s="186"/>
      <c r="BR39" s="186"/>
      <c r="BS39" s="186"/>
      <c r="BT39" s="186"/>
      <c r="BU39" s="186"/>
      <c r="BV39" s="186"/>
      <c r="BW39" s="186"/>
      <c r="BX39" s="186"/>
      <c r="BY39" s="186"/>
      <c r="BZ39" s="186"/>
      <c r="CA39" s="186"/>
      <c r="CB39" s="186"/>
      <c r="CC39" s="186"/>
      <c r="CD39" s="186"/>
      <c r="CE39" s="186"/>
      <c r="CF39" s="186"/>
      <c r="CG39" s="186"/>
    </row>
    <row r="40" spans="1:85" ht="16.5" customHeight="1">
      <c r="A40" s="185"/>
      <c r="B40" s="868"/>
      <c r="C40" s="868"/>
      <c r="D40" s="868"/>
      <c r="E40" s="872"/>
      <c r="F40" s="868"/>
      <c r="G40" s="868"/>
      <c r="H40" s="868"/>
      <c r="I40" s="868"/>
      <c r="J40" s="868"/>
      <c r="K40" s="187"/>
      <c r="L40" s="187"/>
      <c r="M40" s="187"/>
      <c r="N40" s="187"/>
      <c r="O40" s="868"/>
      <c r="P40" s="868"/>
      <c r="Q40" s="868"/>
      <c r="R40" s="868"/>
      <c r="S40" s="868"/>
      <c r="T40" s="868"/>
      <c r="U40" s="868"/>
      <c r="V40" s="868"/>
      <c r="W40" s="875" t="s">
        <v>405</v>
      </c>
      <c r="X40" s="918" t="s">
        <v>352</v>
      </c>
      <c r="Y40" s="918" t="s">
        <v>353</v>
      </c>
      <c r="Z40" s="918" t="s">
        <v>354</v>
      </c>
      <c r="AA40" s="868"/>
      <c r="AB40" s="884"/>
      <c r="AC40" s="868"/>
      <c r="AD40" s="868"/>
      <c r="AE40" s="868"/>
      <c r="AF40" s="868"/>
      <c r="AG40" s="868"/>
      <c r="AH40" s="187"/>
      <c r="AI40" s="187"/>
      <c r="AJ40" s="868">
        <v>3</v>
      </c>
      <c r="AK40" s="911">
        <f>AE7</f>
        <v>1466830.2851035872</v>
      </c>
      <c r="AL40" s="911">
        <f>AE13</f>
        <v>1478543.4602984968</v>
      </c>
      <c r="AM40" s="911">
        <f>AE19</f>
        <v>1477622.521714299</v>
      </c>
      <c r="AN40" s="911">
        <f>AE25</f>
        <v>1477694.4893157189</v>
      </c>
      <c r="AO40" s="911">
        <f>AE31</f>
        <v>1477688.8626509069</v>
      </c>
      <c r="AP40" s="911">
        <f>AE37</f>
        <v>1477689</v>
      </c>
      <c r="AQ40" s="911">
        <f>AE43</f>
        <v>1477689</v>
      </c>
      <c r="AR40" s="911">
        <f>AE49</f>
        <v>1477689</v>
      </c>
      <c r="AS40" s="911">
        <f>AE55</f>
        <v>1477689</v>
      </c>
      <c r="AT40" s="185"/>
      <c r="AU40" s="185"/>
      <c r="AV40" s="185"/>
      <c r="AW40" s="185"/>
      <c r="AX40" s="185"/>
      <c r="AY40" s="185"/>
      <c r="AZ40" s="185"/>
      <c r="BA40" s="185"/>
      <c r="BB40" s="185"/>
      <c r="BC40" s="185"/>
      <c r="BD40" s="185"/>
      <c r="BE40" s="185"/>
      <c r="BF40" s="185"/>
      <c r="BG40" s="185"/>
      <c r="BH40" s="185"/>
      <c r="BI40" s="185"/>
      <c r="BJ40" s="185"/>
      <c r="BK40" s="185"/>
      <c r="BL40" s="186"/>
      <c r="BM40" s="186"/>
      <c r="BN40" s="186"/>
      <c r="BO40" s="186"/>
      <c r="BP40" s="186"/>
      <c r="BQ40" s="186"/>
      <c r="BR40" s="186"/>
      <c r="BS40" s="186"/>
      <c r="BT40" s="186"/>
      <c r="BU40" s="186"/>
      <c r="BV40" s="186"/>
      <c r="BW40" s="186"/>
      <c r="BX40" s="186"/>
      <c r="BY40" s="186"/>
      <c r="BZ40" s="186"/>
      <c r="CA40" s="186"/>
      <c r="CB40" s="186"/>
      <c r="CC40" s="186"/>
      <c r="CD40" s="186"/>
      <c r="CE40" s="186"/>
      <c r="CF40" s="186"/>
      <c r="CG40" s="186"/>
    </row>
    <row r="41" spans="1:85" ht="16.5" customHeight="1">
      <c r="A41" s="185"/>
      <c r="B41" s="868"/>
      <c r="C41" s="868"/>
      <c r="D41" s="868"/>
      <c r="E41" s="871"/>
      <c r="F41" s="868"/>
      <c r="G41" s="868"/>
      <c r="H41" s="868"/>
      <c r="I41" s="868"/>
      <c r="J41" s="868"/>
      <c r="K41" s="187"/>
      <c r="L41" s="187"/>
      <c r="M41" s="187"/>
      <c r="N41" s="187"/>
      <c r="O41" s="868"/>
      <c r="P41" s="868"/>
      <c r="Q41" s="868"/>
      <c r="R41" s="868"/>
      <c r="S41" s="868"/>
      <c r="T41" s="868"/>
      <c r="U41" s="868"/>
      <c r="V41" s="868"/>
      <c r="W41" s="884">
        <f>100*(+AE35/$E$9)</f>
        <v>168.8103175692591</v>
      </c>
      <c r="X41" s="919">
        <f>EXP(5.7226-(0.68367*LN(+W41)))</f>
        <v>9.1725003453809997</v>
      </c>
      <c r="Y41" s="892">
        <f>(+X41*W41)/100</f>
        <v>15.484126962079053</v>
      </c>
      <c r="Z41" s="884">
        <f>100*((((Y41/100)-((Y41/100)-0.03574)*$E$21)-0.03574-0.00619)/0.344)</f>
        <v>21.05140638073307</v>
      </c>
      <c r="AA41" s="868">
        <f>$E$20</f>
        <v>0.25</v>
      </c>
      <c r="AB41" s="884">
        <f>Z41+AA41</f>
        <v>21.30140638073307</v>
      </c>
      <c r="AC41" s="884">
        <f>100*($E$17*$E$19+($E$18*(AB41/100))/(1-$E$21))</f>
        <v>20.593419997222544</v>
      </c>
      <c r="AD41" s="892">
        <f>AC41/W41</f>
        <v>0.12199147714282052</v>
      </c>
      <c r="AE41" s="911">
        <f>ROUND($E$8/(1-AD41),0)</f>
        <v>1483635</v>
      </c>
      <c r="AF41" s="868" t="str">
        <f>IF(OR(OR(AE41=AE35,AE41=(AE35+1)),AE41=(AE27-1)),"yes","not yet")</f>
        <v>yes</v>
      </c>
      <c r="AG41" s="884">
        <f>100*(1-AD41)</f>
        <v>87.800852285717951</v>
      </c>
      <c r="AH41" s="187"/>
      <c r="AI41" s="187"/>
      <c r="AJ41" s="868">
        <v>4</v>
      </c>
      <c r="AK41" s="911">
        <f>AE8</f>
        <v>1465311.6798793511</v>
      </c>
      <c r="AL41" s="911">
        <f>AE14</f>
        <v>1477005.3054409688</v>
      </c>
      <c r="AM41" s="911">
        <f>AE20</f>
        <v>1476095.3440069726</v>
      </c>
      <c r="AN41" s="911">
        <f>AE26</f>
        <v>1476165.7244411013</v>
      </c>
      <c r="AO41" s="911">
        <f>AE32</f>
        <v>1476160.2783356421</v>
      </c>
      <c r="AP41" s="911">
        <f>AE38</f>
        <v>1476161</v>
      </c>
      <c r="AQ41" s="911">
        <f>AE44</f>
        <v>1476161</v>
      </c>
      <c r="AR41" s="911">
        <f>AE50</f>
        <v>1476161</v>
      </c>
      <c r="AS41" s="911">
        <f>AE56</f>
        <v>1476161</v>
      </c>
      <c r="AT41" s="185"/>
      <c r="AU41" s="185"/>
      <c r="AV41" s="185"/>
      <c r="AW41" s="185"/>
      <c r="AX41" s="185"/>
      <c r="AY41" s="185"/>
      <c r="AZ41" s="185"/>
      <c r="BA41" s="185"/>
      <c r="BB41" s="185"/>
      <c r="BC41" s="185"/>
      <c r="BD41" s="185"/>
      <c r="BE41" s="185"/>
      <c r="BF41" s="185"/>
      <c r="BG41" s="185"/>
      <c r="BH41" s="185"/>
      <c r="BI41" s="185"/>
      <c r="BJ41" s="185"/>
      <c r="BK41" s="185"/>
      <c r="BL41" s="186"/>
      <c r="BM41" s="186"/>
      <c r="BN41" s="186"/>
      <c r="BO41" s="186"/>
      <c r="BP41" s="186"/>
      <c r="BQ41" s="186"/>
      <c r="BR41" s="186"/>
      <c r="BS41" s="186"/>
      <c r="BT41" s="186"/>
      <c r="BU41" s="186"/>
      <c r="BV41" s="186"/>
      <c r="BW41" s="186"/>
      <c r="BX41" s="186"/>
      <c r="BY41" s="186"/>
      <c r="BZ41" s="186"/>
      <c r="CA41" s="186"/>
      <c r="CB41" s="186"/>
      <c r="CC41" s="186"/>
      <c r="CD41" s="186"/>
      <c r="CE41" s="186"/>
      <c r="CF41" s="186"/>
      <c r="CG41" s="186"/>
    </row>
    <row r="42" spans="1:85" ht="16.5" customHeight="1">
      <c r="A42" s="185"/>
      <c r="B42" s="868"/>
      <c r="C42" s="868"/>
      <c r="D42" s="868"/>
      <c r="E42" s="868"/>
      <c r="F42" s="868"/>
      <c r="G42" s="868"/>
      <c r="H42" s="868"/>
      <c r="I42" s="868"/>
      <c r="J42" s="868"/>
      <c r="K42" s="187"/>
      <c r="L42" s="187"/>
      <c r="M42" s="187"/>
      <c r="N42" s="187"/>
      <c r="O42" s="868"/>
      <c r="P42" s="868"/>
      <c r="Q42" s="868"/>
      <c r="R42" s="868"/>
      <c r="S42" s="868"/>
      <c r="T42" s="868"/>
      <c r="U42" s="868"/>
      <c r="V42" s="868"/>
      <c r="W42" s="884">
        <f>100*(+AE36/$E$9)</f>
        <v>168.40593787436035</v>
      </c>
      <c r="X42" s="919">
        <f>EXP(5.70827-(0.68367*LN(+W42)))</f>
        <v>9.0568338030199804</v>
      </c>
      <c r="Y42" s="892">
        <f>(+X42*W42)/100</f>
        <v>15.252245907697896</v>
      </c>
      <c r="Z42" s="884">
        <f>100*((((Y42/100)-((Y42/100)-0.03574)*$E$21)-0.03574-0.00619)/0.344)</f>
        <v>20.606518311280848</v>
      </c>
      <c r="AA42" s="868">
        <f>$E$20</f>
        <v>0.25</v>
      </c>
      <c r="AB42" s="884">
        <f>Z42+AA42</f>
        <v>20.856518311280848</v>
      </c>
      <c r="AC42" s="884">
        <f>100*($E$17*$E$19+($E$18*(AB42/100))/(1-$E$21))</f>
        <v>20.188976297720522</v>
      </c>
      <c r="AD42" s="892">
        <f>AC42/W42</f>
        <v>0.11988280551474709</v>
      </c>
      <c r="AE42" s="911">
        <f>ROUND($E$8/(1-AD42),0)</f>
        <v>1480081</v>
      </c>
      <c r="AF42" s="868" t="str">
        <f>IF(OR(OR(AE42=AE36,AE42=(AE36+5)),AE42=(AE28-5)),"yes","not yet")</f>
        <v>yes</v>
      </c>
      <c r="AG42" s="884">
        <f>100*(1-AD42)</f>
        <v>88.011719448525298</v>
      </c>
      <c r="AH42" s="187"/>
      <c r="AI42" s="187"/>
      <c r="AJ42" s="868"/>
      <c r="AK42" s="868"/>
      <c r="AL42" s="868"/>
      <c r="AM42" s="868"/>
      <c r="AN42" s="868"/>
      <c r="AO42" s="868"/>
      <c r="AP42" s="868"/>
      <c r="AQ42" s="868"/>
      <c r="AR42" s="868"/>
      <c r="AS42" s="868"/>
      <c r="AT42" s="185"/>
      <c r="AU42" s="185"/>
      <c r="AV42" s="185"/>
      <c r="AW42" s="185"/>
      <c r="AX42" s="185"/>
      <c r="AY42" s="185"/>
      <c r="AZ42" s="185"/>
      <c r="BA42" s="185"/>
      <c r="BB42" s="185"/>
      <c r="BC42" s="185"/>
      <c r="BD42" s="185"/>
      <c r="BE42" s="185"/>
      <c r="BF42" s="185"/>
      <c r="BG42" s="185"/>
      <c r="BH42" s="185"/>
      <c r="BI42" s="185"/>
      <c r="BJ42" s="185"/>
      <c r="BK42" s="185"/>
      <c r="BL42" s="186"/>
      <c r="BM42" s="186"/>
      <c r="BN42" s="186"/>
      <c r="BO42" s="186"/>
      <c r="BP42" s="186"/>
      <c r="BQ42" s="186"/>
      <c r="BR42" s="186"/>
      <c r="BS42" s="186"/>
      <c r="BT42" s="186"/>
      <c r="BU42" s="186"/>
      <c r="BV42" s="186"/>
      <c r="BW42" s="186"/>
      <c r="BX42" s="186"/>
      <c r="BY42" s="186"/>
      <c r="BZ42" s="186"/>
      <c r="CA42" s="186"/>
      <c r="CB42" s="186"/>
      <c r="CC42" s="186"/>
      <c r="CD42" s="186"/>
      <c r="CE42" s="186"/>
      <c r="CF42" s="186"/>
      <c r="CG42" s="186"/>
    </row>
    <row r="43" spans="1:85" ht="16.5" customHeight="1">
      <c r="A43" s="185"/>
      <c r="B43" s="868"/>
      <c r="C43" s="868"/>
      <c r="D43" s="868"/>
      <c r="E43" s="868"/>
      <c r="F43" s="868"/>
      <c r="G43" s="868"/>
      <c r="H43" s="868"/>
      <c r="I43" s="868"/>
      <c r="J43" s="868"/>
      <c r="K43" s="187"/>
      <c r="L43" s="187"/>
      <c r="M43" s="187"/>
      <c r="N43" s="187"/>
      <c r="O43" s="868"/>
      <c r="P43" s="868"/>
      <c r="Q43" s="868"/>
      <c r="R43" s="868"/>
      <c r="S43" s="868"/>
      <c r="T43" s="868"/>
      <c r="U43" s="868"/>
      <c r="V43" s="868"/>
      <c r="W43" s="884">
        <f>100*(+AE37/$E$9)</f>
        <v>168.1337723622056</v>
      </c>
      <c r="X43" s="919">
        <f>EXP(5.6985-(0.68367*LN(W43)))</f>
        <v>8.9787024716958914</v>
      </c>
      <c r="Y43" s="892">
        <f>(+X43*W43)/100</f>
        <v>15.096231174840899</v>
      </c>
      <c r="Z43" s="884">
        <f>100*((((Y43/100)-((Y43/100)-0.03574)*$E$21)-0.03574-0.00619)/0.344)</f>
        <v>20.307187719171495</v>
      </c>
      <c r="AA43" s="868">
        <f>$E$20</f>
        <v>0.25</v>
      </c>
      <c r="AB43" s="884">
        <f>Z43+AA43</f>
        <v>20.557187719171495</v>
      </c>
      <c r="AC43" s="884">
        <f>100*($E$17*$E$19+($E$18*(AB43/100))/(1-$E$21))</f>
        <v>19.916857577621112</v>
      </c>
      <c r="AD43" s="892">
        <f>AC43/W43</f>
        <v>0.11845839951009257</v>
      </c>
      <c r="AE43" s="911">
        <f>ROUND($E$8/(1-AD43),0)</f>
        <v>1477689</v>
      </c>
      <c r="AF43" s="868" t="str">
        <f>IF(OR(OR(AE43=AE37,AE43=(AE37+5)),AE43=(AE29-5)),"yes","not yet")</f>
        <v>yes</v>
      </c>
      <c r="AG43" s="884">
        <f>100*(1-AD43)</f>
        <v>88.154160048990747</v>
      </c>
      <c r="AH43" s="187"/>
      <c r="AI43" s="187"/>
      <c r="AJ43" s="868"/>
      <c r="AK43" s="868" t="s">
        <v>402</v>
      </c>
      <c r="AL43" s="868"/>
      <c r="AM43" s="868"/>
      <c r="AN43" s="868"/>
      <c r="AO43" s="868"/>
      <c r="AP43" s="868"/>
      <c r="AQ43" s="868"/>
      <c r="AR43" s="868"/>
      <c r="AS43" s="868"/>
      <c r="AT43" s="185"/>
      <c r="AU43" s="185"/>
      <c r="AV43" s="185"/>
      <c r="AW43" s="185"/>
      <c r="AX43" s="185"/>
      <c r="AY43" s="185"/>
      <c r="AZ43" s="185"/>
      <c r="BA43" s="185"/>
      <c r="BB43" s="185"/>
      <c r="BC43" s="185"/>
      <c r="BD43" s="185"/>
      <c r="BE43" s="185"/>
      <c r="BF43" s="185"/>
      <c r="BG43" s="185"/>
      <c r="BH43" s="185"/>
      <c r="BI43" s="185"/>
      <c r="BJ43" s="185"/>
      <c r="BK43" s="185"/>
      <c r="BL43" s="186"/>
      <c r="BM43" s="186"/>
      <c r="BN43" s="186"/>
      <c r="BO43" s="186"/>
      <c r="BP43" s="186"/>
      <c r="BQ43" s="186"/>
      <c r="BR43" s="186"/>
      <c r="BS43" s="186"/>
      <c r="BT43" s="186"/>
      <c r="BU43" s="186"/>
      <c r="BV43" s="186"/>
      <c r="BW43" s="186"/>
      <c r="BX43" s="186"/>
      <c r="BY43" s="186"/>
      <c r="BZ43" s="186"/>
      <c r="CA43" s="186"/>
      <c r="CB43" s="186"/>
      <c r="CC43" s="186"/>
      <c r="CD43" s="186"/>
      <c r="CE43" s="186"/>
      <c r="CF43" s="186"/>
      <c r="CG43" s="186"/>
    </row>
    <row r="44" spans="1:85" ht="16.5" customHeight="1">
      <c r="A44" s="185"/>
      <c r="B44" s="868"/>
      <c r="C44" s="868"/>
      <c r="D44" s="868"/>
      <c r="E44" s="868"/>
      <c r="F44" s="868"/>
      <c r="G44" s="868"/>
      <c r="H44" s="868"/>
      <c r="I44" s="868"/>
      <c r="J44" s="868"/>
      <c r="K44" s="187"/>
      <c r="L44" s="187"/>
      <c r="M44" s="187"/>
      <c r="N44" s="187"/>
      <c r="O44" s="868"/>
      <c r="P44" s="868"/>
      <c r="Q44" s="868"/>
      <c r="R44" s="868"/>
      <c r="S44" s="868"/>
      <c r="T44" s="868"/>
      <c r="U44" s="868"/>
      <c r="V44" s="868"/>
      <c r="W44" s="884">
        <f>100*(+AE38/$E$9)</f>
        <v>167.95991412534423</v>
      </c>
      <c r="X44" s="919">
        <f>EXP(5.6922-(0.68367*LN(W44)))</f>
        <v>8.92862755387638</v>
      </c>
      <c r="Y44" s="892">
        <f>(+X44*W44)/100</f>
        <v>14.99651517206259</v>
      </c>
      <c r="Z44" s="884">
        <f>100*((((Y44/100)-((Y44/100)-0.03574)*$E$21)-0.03574-0.00619)/0.344)</f>
        <v>20.115872132445674</v>
      </c>
      <c r="AA44" s="868">
        <f>$E$20</f>
        <v>0.25</v>
      </c>
      <c r="AB44" s="884">
        <f>Z44+AA44</f>
        <v>20.365872132445674</v>
      </c>
      <c r="AC44" s="884">
        <f>100*($E$17*$E$19+($E$18*(AB44/100))/(1-$E$21))</f>
        <v>19.742934316961275</v>
      </c>
      <c r="AD44" s="892">
        <f>AC44/W44</f>
        <v>0.11754551328376855</v>
      </c>
      <c r="AE44" s="911">
        <f>ROUND($E$8/(1-AD44),0)</f>
        <v>1476161</v>
      </c>
      <c r="AF44" s="868" t="str">
        <f>IF(OR(OR(AE44=AE38,AE44=(AE38+5)),AE44=(AE30-5)),"yes","not yet")</f>
        <v>yes</v>
      </c>
      <c r="AG44" s="884">
        <f>100*(1-AD44)</f>
        <v>88.245448671623137</v>
      </c>
      <c r="AH44" s="187"/>
      <c r="AI44" s="187"/>
      <c r="AJ44" s="868"/>
      <c r="AK44" s="911">
        <f>HLOOKUP($AK$34,$AK$37:$AS$41,($E$12)+1)</f>
        <v>1477689</v>
      </c>
      <c r="AL44" s="868"/>
      <c r="AM44" s="868"/>
      <c r="AN44" s="868"/>
      <c r="AO44" s="868"/>
      <c r="AP44" s="868"/>
      <c r="AQ44" s="868"/>
      <c r="AR44" s="868"/>
      <c r="AS44" s="868"/>
      <c r="AT44" s="185"/>
      <c r="AU44" s="185"/>
      <c r="AV44" s="185"/>
      <c r="AW44" s="185"/>
      <c r="AX44" s="185"/>
      <c r="AY44" s="185"/>
      <c r="AZ44" s="185"/>
      <c r="BA44" s="185"/>
      <c r="BB44" s="185"/>
      <c r="BC44" s="185"/>
      <c r="BD44" s="185"/>
      <c r="BE44" s="185"/>
      <c r="BF44" s="185"/>
      <c r="BG44" s="185"/>
      <c r="BH44" s="185"/>
      <c r="BI44" s="185"/>
      <c r="BJ44" s="185"/>
      <c r="BK44" s="185"/>
      <c r="BL44" s="186"/>
      <c r="BM44" s="186"/>
      <c r="BN44" s="186"/>
      <c r="BO44" s="186"/>
      <c r="BP44" s="186"/>
      <c r="BQ44" s="186"/>
      <c r="BR44" s="186"/>
      <c r="BS44" s="186"/>
      <c r="BT44" s="186"/>
      <c r="BU44" s="186"/>
      <c r="BV44" s="186"/>
      <c r="BW44" s="186"/>
      <c r="BX44" s="186"/>
      <c r="BY44" s="186"/>
      <c r="BZ44" s="186"/>
      <c r="CA44" s="186"/>
      <c r="CB44" s="186"/>
      <c r="CC44" s="186"/>
      <c r="CD44" s="186"/>
      <c r="CE44" s="186"/>
      <c r="CF44" s="186"/>
      <c r="CG44" s="186"/>
    </row>
    <row r="45" spans="1:85" ht="16.5" customHeight="1">
      <c r="A45" s="185"/>
      <c r="B45" s="868"/>
      <c r="C45" s="868"/>
      <c r="D45" s="868"/>
      <c r="E45" s="868"/>
      <c r="F45" s="868"/>
      <c r="G45" s="868"/>
      <c r="H45" s="868"/>
      <c r="I45" s="868"/>
      <c r="J45" s="868"/>
      <c r="K45" s="187"/>
      <c r="L45" s="187"/>
      <c r="M45" s="187"/>
      <c r="N45" s="187"/>
      <c r="O45" s="868"/>
      <c r="P45" s="868"/>
      <c r="Q45" s="868"/>
      <c r="R45" s="868"/>
      <c r="S45" s="868"/>
      <c r="T45" s="868"/>
      <c r="U45" s="868"/>
      <c r="V45" s="868"/>
      <c r="W45" s="868"/>
      <c r="X45" s="868"/>
      <c r="Y45" s="868"/>
      <c r="Z45" s="868"/>
      <c r="AA45" s="868"/>
      <c r="AB45" s="884"/>
      <c r="AC45" s="868"/>
      <c r="AD45" s="868"/>
      <c r="AE45" s="868"/>
      <c r="AF45" s="868"/>
      <c r="AG45" s="868"/>
      <c r="AH45" s="187"/>
      <c r="AI45" s="187"/>
      <c r="AJ45" s="868"/>
      <c r="AK45" s="868"/>
      <c r="AL45" s="868"/>
      <c r="AM45" s="868"/>
      <c r="AN45" s="868"/>
      <c r="AO45" s="868"/>
      <c r="AP45" s="868"/>
      <c r="AQ45" s="868"/>
      <c r="AR45" s="868"/>
      <c r="AS45" s="868"/>
      <c r="AT45" s="185"/>
      <c r="AU45" s="185"/>
      <c r="AV45" s="185"/>
      <c r="AW45" s="185"/>
      <c r="AX45" s="185"/>
      <c r="AY45" s="185"/>
      <c r="AZ45" s="185"/>
      <c r="BA45" s="185"/>
      <c r="BB45" s="185"/>
      <c r="BC45" s="185"/>
      <c r="BD45" s="185"/>
      <c r="BE45" s="185"/>
      <c r="BF45" s="185"/>
      <c r="BG45" s="185"/>
      <c r="BH45" s="185"/>
      <c r="BI45" s="185"/>
      <c r="BJ45" s="185"/>
      <c r="BK45" s="185"/>
      <c r="BL45" s="186"/>
      <c r="BM45" s="186"/>
      <c r="BN45" s="186"/>
      <c r="BO45" s="186"/>
      <c r="BP45" s="186"/>
      <c r="BQ45" s="186"/>
      <c r="BR45" s="186"/>
      <c r="BS45" s="186"/>
      <c r="BT45" s="186"/>
      <c r="BU45" s="186"/>
      <c r="BV45" s="186"/>
      <c r="BW45" s="186"/>
      <c r="BX45" s="186"/>
      <c r="BY45" s="186"/>
      <c r="BZ45" s="186"/>
      <c r="CA45" s="186"/>
      <c r="CB45" s="186"/>
      <c r="CC45" s="186"/>
      <c r="CD45" s="186"/>
      <c r="CE45" s="186"/>
      <c r="CF45" s="186"/>
      <c r="CG45" s="186"/>
    </row>
    <row r="46" spans="1:85" ht="16.5" customHeight="1">
      <c r="A46" s="185"/>
      <c r="B46" s="868"/>
      <c r="C46" s="868"/>
      <c r="D46" s="868"/>
      <c r="E46" s="868"/>
      <c r="F46" s="868"/>
      <c r="G46" s="868"/>
      <c r="H46" s="868"/>
      <c r="I46" s="868"/>
      <c r="J46" s="868"/>
      <c r="K46" s="187"/>
      <c r="L46" s="187"/>
      <c r="M46" s="187"/>
      <c r="N46" s="187"/>
      <c r="O46" s="868"/>
      <c r="P46" s="868"/>
      <c r="Q46" s="868"/>
      <c r="R46" s="868"/>
      <c r="S46" s="868"/>
      <c r="T46" s="868"/>
      <c r="U46" s="868"/>
      <c r="V46" s="868"/>
      <c r="W46" s="875" t="s">
        <v>406</v>
      </c>
      <c r="X46" s="918" t="s">
        <v>352</v>
      </c>
      <c r="Y46" s="918" t="s">
        <v>353</v>
      </c>
      <c r="Z46" s="918" t="s">
        <v>354</v>
      </c>
      <c r="AA46" s="868"/>
      <c r="AB46" s="884"/>
      <c r="AC46" s="868"/>
      <c r="AD46" s="868"/>
      <c r="AE46" s="868"/>
      <c r="AF46" s="868"/>
      <c r="AG46" s="868"/>
      <c r="AH46" s="187"/>
      <c r="AI46" s="187"/>
      <c r="AJ46" s="868"/>
      <c r="AK46" s="868"/>
      <c r="AL46" s="868"/>
      <c r="AM46" s="868"/>
      <c r="AN46" s="868"/>
      <c r="AO46" s="868"/>
      <c r="AP46" s="868"/>
      <c r="AQ46" s="868"/>
      <c r="AR46" s="868"/>
      <c r="AS46" s="868"/>
      <c r="AT46" s="185"/>
      <c r="AU46" s="185"/>
      <c r="AV46" s="185"/>
      <c r="AW46" s="185"/>
      <c r="AX46" s="185"/>
      <c r="AY46" s="185"/>
      <c r="AZ46" s="185"/>
      <c r="BA46" s="185"/>
      <c r="BB46" s="185"/>
      <c r="BC46" s="185"/>
      <c r="BD46" s="185"/>
      <c r="BE46" s="185"/>
      <c r="BF46" s="185"/>
      <c r="BG46" s="185"/>
      <c r="BH46" s="185"/>
      <c r="BI46" s="185"/>
      <c r="BJ46" s="185"/>
      <c r="BK46" s="185"/>
      <c r="BL46" s="186"/>
      <c r="BM46" s="186"/>
      <c r="BN46" s="186"/>
      <c r="BO46" s="186"/>
      <c r="BP46" s="186"/>
      <c r="BQ46" s="186"/>
      <c r="BR46" s="186"/>
      <c r="BS46" s="186"/>
      <c r="BT46" s="186"/>
      <c r="BU46" s="186"/>
      <c r="BV46" s="186"/>
      <c r="BW46" s="186"/>
      <c r="BX46" s="186"/>
      <c r="BY46" s="186"/>
      <c r="BZ46" s="186"/>
      <c r="CA46" s="186"/>
      <c r="CB46" s="186"/>
      <c r="CC46" s="186"/>
      <c r="CD46" s="186"/>
      <c r="CE46" s="186"/>
      <c r="CF46" s="186"/>
      <c r="CG46" s="186"/>
    </row>
    <row r="47" spans="1:85" ht="16.5" customHeight="1">
      <c r="A47" s="185"/>
      <c r="B47" s="868"/>
      <c r="C47" s="868"/>
      <c r="D47" s="868"/>
      <c r="E47" s="868"/>
      <c r="F47" s="868"/>
      <c r="G47" s="868"/>
      <c r="H47" s="868"/>
      <c r="I47" s="868"/>
      <c r="J47" s="868"/>
      <c r="K47" s="187"/>
      <c r="L47" s="187"/>
      <c r="M47" s="187"/>
      <c r="N47" s="187"/>
      <c r="O47" s="868"/>
      <c r="P47" s="868"/>
      <c r="Q47" s="868"/>
      <c r="R47" s="868"/>
      <c r="S47" s="868"/>
      <c r="T47" s="868"/>
      <c r="U47" s="868"/>
      <c r="V47" s="868"/>
      <c r="W47" s="884">
        <f>100*(+AE41/$E$9)</f>
        <v>168.8103175692591</v>
      </c>
      <c r="X47" s="919">
        <f>EXP(5.7226-(0.68367*LN(+W47)))</f>
        <v>9.1725003453809997</v>
      </c>
      <c r="Y47" s="892">
        <f>(+X47*W47)/100</f>
        <v>15.484126962079053</v>
      </c>
      <c r="Z47" s="884">
        <f>100*((((Y47/100)-((Y47/100)-0.03574)*$E$21)-0.03574-0.00619)/0.344)</f>
        <v>21.05140638073307</v>
      </c>
      <c r="AA47" s="868">
        <f>$E$20</f>
        <v>0.25</v>
      </c>
      <c r="AB47" s="884">
        <f>Z47+AA47</f>
        <v>21.30140638073307</v>
      </c>
      <c r="AC47" s="884">
        <f>100*($E$17*$E$19+($E$18*(AB47/100))/(1-$E$21))</f>
        <v>20.593419997222544</v>
      </c>
      <c r="AD47" s="892">
        <f>AC47/W47</f>
        <v>0.12199147714282052</v>
      </c>
      <c r="AE47" s="911">
        <f>ROUND($E$8/(1-AD47),0)</f>
        <v>1483635</v>
      </c>
      <c r="AF47" s="868" t="str">
        <f>IF(OR(OR(AE47=AE41,AE47=(AE41+1)),AE47=(AE33-1)),"yes","not yet")</f>
        <v>yes</v>
      </c>
      <c r="AG47" s="884">
        <f>100*(1-AD47)</f>
        <v>87.800852285717951</v>
      </c>
      <c r="AH47" s="187"/>
      <c r="AI47" s="187"/>
      <c r="AJ47" s="868"/>
      <c r="AK47" s="868"/>
      <c r="AL47" s="868"/>
      <c r="AM47" s="868"/>
      <c r="AN47" s="868"/>
      <c r="AO47" s="868"/>
      <c r="AP47" s="868"/>
      <c r="AQ47" s="868"/>
      <c r="AR47" s="868"/>
      <c r="AS47" s="868"/>
      <c r="AT47" s="185"/>
      <c r="AU47" s="185"/>
      <c r="AV47" s="185"/>
      <c r="AW47" s="185"/>
      <c r="AX47" s="185"/>
      <c r="AY47" s="185"/>
      <c r="AZ47" s="185"/>
      <c r="BA47" s="185"/>
      <c r="BB47" s="185"/>
      <c r="BC47" s="185"/>
      <c r="BD47" s="185"/>
      <c r="BE47" s="185"/>
      <c r="BF47" s="185"/>
      <c r="BG47" s="185"/>
      <c r="BH47" s="185"/>
      <c r="BI47" s="185"/>
      <c r="BJ47" s="185"/>
      <c r="BK47" s="185"/>
      <c r="BL47" s="186"/>
      <c r="BM47" s="186"/>
      <c r="BN47" s="186"/>
      <c r="BO47" s="186"/>
      <c r="BP47" s="186"/>
      <c r="BQ47" s="186"/>
      <c r="BR47" s="186"/>
      <c r="BS47" s="186"/>
      <c r="BT47" s="186"/>
      <c r="BU47" s="186"/>
      <c r="BV47" s="186"/>
      <c r="BW47" s="186"/>
      <c r="BX47" s="186"/>
      <c r="BY47" s="186"/>
      <c r="BZ47" s="186"/>
      <c r="CA47" s="186"/>
      <c r="CB47" s="186"/>
      <c r="CC47" s="186"/>
      <c r="CD47" s="186"/>
      <c r="CE47" s="186"/>
      <c r="CF47" s="186"/>
      <c r="CG47" s="186"/>
    </row>
    <row r="48" spans="1:85" ht="16.5" customHeight="1">
      <c r="A48" s="185"/>
      <c r="B48" s="868"/>
      <c r="C48" s="868"/>
      <c r="D48" s="868"/>
      <c r="E48" s="868"/>
      <c r="F48" s="868"/>
      <c r="G48" s="868"/>
      <c r="H48" s="868"/>
      <c r="I48" s="868"/>
      <c r="J48" s="868"/>
      <c r="K48" s="187"/>
      <c r="L48" s="187"/>
      <c r="M48" s="187"/>
      <c r="N48" s="187"/>
      <c r="O48" s="868"/>
      <c r="P48" s="868"/>
      <c r="Q48" s="868"/>
      <c r="R48" s="868"/>
      <c r="S48" s="868"/>
      <c r="T48" s="868"/>
      <c r="U48" s="868"/>
      <c r="V48" s="868"/>
      <c r="W48" s="884">
        <f>100*(+AE42/$E$9)</f>
        <v>168.40593787436035</v>
      </c>
      <c r="X48" s="919">
        <f>EXP(5.70827-(0.68367*LN(+W48)))</f>
        <v>9.0568338030199804</v>
      </c>
      <c r="Y48" s="892">
        <f>(+X48*W48)/100</f>
        <v>15.252245907697896</v>
      </c>
      <c r="Z48" s="884">
        <f>100*((((Y48/100)-((Y48/100)-0.03574)*$E$21)-0.03574-0.00619)/0.344)</f>
        <v>20.606518311280848</v>
      </c>
      <c r="AA48" s="868">
        <f>$E$20</f>
        <v>0.25</v>
      </c>
      <c r="AB48" s="884">
        <f>Z48+AA48</f>
        <v>20.856518311280848</v>
      </c>
      <c r="AC48" s="884">
        <f>100*($E$17*$E$19+($E$18*(AB48/100))/(1-$E$21))</f>
        <v>20.188976297720522</v>
      </c>
      <c r="AD48" s="892">
        <f>AC48/W48</f>
        <v>0.11988280551474709</v>
      </c>
      <c r="AE48" s="911">
        <f>ROUND($E$8/(1-AD48),0)</f>
        <v>1480081</v>
      </c>
      <c r="AF48" s="868" t="str">
        <f>IF(OR(OR(AE48=AE42,AE48=(AE42+1)),AE48=(AE42-1)),"yes","not yet")</f>
        <v>yes</v>
      </c>
      <c r="AG48" s="884">
        <f>100*(1-AD48)</f>
        <v>88.011719448525298</v>
      </c>
      <c r="AH48" s="187"/>
      <c r="AI48" s="187"/>
      <c r="AJ48" s="868"/>
      <c r="AK48" s="868"/>
      <c r="AL48" s="868"/>
      <c r="AM48" s="868"/>
      <c r="AN48" s="868"/>
      <c r="AO48" s="868"/>
      <c r="AP48" s="868"/>
      <c r="AQ48" s="868"/>
      <c r="AR48" s="868"/>
      <c r="AS48" s="868"/>
      <c r="AT48" s="185"/>
      <c r="AU48" s="185"/>
      <c r="AV48" s="185"/>
      <c r="AW48" s="185"/>
      <c r="AX48" s="185"/>
      <c r="AY48" s="185"/>
      <c r="AZ48" s="185"/>
      <c r="BA48" s="185"/>
      <c r="BB48" s="185"/>
      <c r="BC48" s="185"/>
      <c r="BD48" s="185"/>
      <c r="BE48" s="185"/>
      <c r="BF48" s="185"/>
      <c r="BG48" s="185"/>
      <c r="BH48" s="185"/>
      <c r="BI48" s="185"/>
      <c r="BJ48" s="185"/>
      <c r="BK48" s="185"/>
      <c r="BL48" s="186"/>
      <c r="BM48" s="186"/>
      <c r="BN48" s="186"/>
      <c r="BO48" s="186"/>
      <c r="BP48" s="186"/>
      <c r="BQ48" s="186"/>
      <c r="BR48" s="186"/>
      <c r="BS48" s="186"/>
      <c r="BT48" s="186"/>
      <c r="BU48" s="186"/>
      <c r="BV48" s="186"/>
      <c r="BW48" s="186"/>
      <c r="BX48" s="186"/>
      <c r="BY48" s="186"/>
      <c r="BZ48" s="186"/>
      <c r="CA48" s="186"/>
      <c r="CB48" s="186"/>
      <c r="CC48" s="186"/>
      <c r="CD48" s="186"/>
      <c r="CE48" s="186"/>
      <c r="CF48" s="186"/>
      <c r="CG48" s="186"/>
    </row>
    <row r="49" spans="1:85" ht="16.5" customHeight="1">
      <c r="A49" s="185"/>
      <c r="B49" s="866"/>
      <c r="C49" s="866"/>
      <c r="D49" s="866"/>
      <c r="E49" s="866"/>
      <c r="F49" s="866"/>
      <c r="G49" s="866"/>
      <c r="H49" s="866"/>
      <c r="I49" s="866"/>
      <c r="J49" s="866"/>
      <c r="K49" s="185"/>
      <c r="L49" s="185"/>
      <c r="M49" s="185"/>
      <c r="N49" s="185"/>
      <c r="O49" s="866"/>
      <c r="P49" s="866"/>
      <c r="Q49" s="866"/>
      <c r="R49" s="866"/>
      <c r="S49" s="868"/>
      <c r="T49" s="868"/>
      <c r="U49" s="868"/>
      <c r="V49" s="868"/>
      <c r="W49" s="884">
        <f>100*(+AE43/$E$9)</f>
        <v>168.1337723622056</v>
      </c>
      <c r="X49" s="919">
        <f>EXP(5.6985-(0.68367*LN(W49)))</f>
        <v>8.9787024716958914</v>
      </c>
      <c r="Y49" s="892">
        <f>(+X49*W49)/100</f>
        <v>15.096231174840899</v>
      </c>
      <c r="Z49" s="884">
        <f>100*((((Y49/100)-((Y49/100)-0.03574)*$E$21)-0.03574-0.00619)/0.344)</f>
        <v>20.307187719171495</v>
      </c>
      <c r="AA49" s="868">
        <f>$E$20</f>
        <v>0.25</v>
      </c>
      <c r="AB49" s="884">
        <f>Z49+AA49</f>
        <v>20.557187719171495</v>
      </c>
      <c r="AC49" s="884">
        <f>100*($E$17*$E$19+($E$18*(AB49/100))/(1-$E$21))</f>
        <v>19.916857577621112</v>
      </c>
      <c r="AD49" s="892">
        <f>AC49/W49</f>
        <v>0.11845839951009257</v>
      </c>
      <c r="AE49" s="911">
        <f>ROUND($E$8/(1-AD49),0)</f>
        <v>1477689</v>
      </c>
      <c r="AF49" s="868" t="str">
        <f>IF(OR(OR(AE49=AE43,AE49=(AE43+1)),AE49=(AE43-1)),"yes","not yet")</f>
        <v>yes</v>
      </c>
      <c r="AG49" s="884">
        <f>100*(1-AD49)</f>
        <v>88.154160048990747</v>
      </c>
      <c r="AH49" s="187"/>
      <c r="AI49" s="187"/>
      <c r="AJ49" s="868"/>
      <c r="AK49" s="868"/>
      <c r="AL49" s="868"/>
      <c r="AM49" s="868"/>
      <c r="AN49" s="868"/>
      <c r="AO49" s="868"/>
      <c r="AP49" s="868"/>
      <c r="AQ49" s="868"/>
      <c r="AR49" s="868"/>
      <c r="AS49" s="868"/>
      <c r="AT49" s="185"/>
      <c r="AU49" s="185"/>
      <c r="AV49" s="185"/>
      <c r="AW49" s="185"/>
      <c r="AX49" s="185"/>
      <c r="AY49" s="185"/>
      <c r="AZ49" s="185"/>
      <c r="BA49" s="185"/>
      <c r="BB49" s="185"/>
      <c r="BC49" s="185"/>
      <c r="BD49" s="185"/>
      <c r="BE49" s="185"/>
      <c r="BF49" s="185"/>
      <c r="BG49" s="185"/>
      <c r="BH49" s="185"/>
      <c r="BI49" s="185"/>
      <c r="BJ49" s="185"/>
      <c r="BK49" s="185"/>
      <c r="BL49" s="186"/>
      <c r="BM49" s="186"/>
      <c r="BN49" s="186"/>
      <c r="BO49" s="186"/>
      <c r="BP49" s="186"/>
      <c r="BQ49" s="186"/>
      <c r="BR49" s="186"/>
      <c r="BS49" s="186"/>
      <c r="BT49" s="186"/>
      <c r="BU49" s="186"/>
      <c r="BV49" s="186"/>
      <c r="BW49" s="186"/>
      <c r="BX49" s="186"/>
      <c r="BY49" s="186"/>
      <c r="BZ49" s="186"/>
      <c r="CA49" s="186"/>
      <c r="CB49" s="186"/>
      <c r="CC49" s="186"/>
      <c r="CD49" s="186"/>
      <c r="CE49" s="186"/>
      <c r="CF49" s="186"/>
      <c r="CG49" s="186"/>
    </row>
    <row r="50" spans="1:85" ht="16.5" customHeight="1">
      <c r="A50" s="185"/>
      <c r="B50" s="866"/>
      <c r="C50" s="866"/>
      <c r="D50" s="866"/>
      <c r="E50" s="866"/>
      <c r="F50" s="866"/>
      <c r="G50" s="866"/>
      <c r="H50" s="866"/>
      <c r="I50" s="866"/>
      <c r="J50" s="866"/>
      <c r="K50" s="185"/>
      <c r="L50" s="185"/>
      <c r="M50" s="185"/>
      <c r="N50" s="185"/>
      <c r="O50" s="866"/>
      <c r="P50" s="866"/>
      <c r="Q50" s="866"/>
      <c r="R50" s="866"/>
      <c r="S50" s="868"/>
      <c r="T50" s="868"/>
      <c r="U50" s="868"/>
      <c r="V50" s="868"/>
      <c r="W50" s="884">
        <f>100*(+AE44/$E$9)</f>
        <v>167.95991412534423</v>
      </c>
      <c r="X50" s="919">
        <f>EXP(5.6922-(0.68367*LN(W50)))</f>
        <v>8.92862755387638</v>
      </c>
      <c r="Y50" s="892">
        <f>(+X50*W50)/100</f>
        <v>14.99651517206259</v>
      </c>
      <c r="Z50" s="884">
        <f>100*((((Y50/100)-((Y50/100)-0.03574)*$E$21)-0.03574-0.00619)/0.344)</f>
        <v>20.115872132445674</v>
      </c>
      <c r="AA50" s="868">
        <f>$E$20</f>
        <v>0.25</v>
      </c>
      <c r="AB50" s="884">
        <f>Z50+AA50</f>
        <v>20.365872132445674</v>
      </c>
      <c r="AC50" s="884">
        <f>100*($E$17*$E$19+($E$18*(AB50/100))/(1-$E$21))</f>
        <v>19.742934316961275</v>
      </c>
      <c r="AD50" s="892">
        <f>AC50/W50</f>
        <v>0.11754551328376855</v>
      </c>
      <c r="AE50" s="911">
        <f>ROUND($E$8/(1-AD50),0)</f>
        <v>1476161</v>
      </c>
      <c r="AF50" s="868" t="str">
        <f>IF(OR(OR(AE50=AE44,AE50=(AE44+1)),AE50=(AE44-1)),"yes","not yet")</f>
        <v>yes</v>
      </c>
      <c r="AG50" s="884">
        <f>100*(1-AD50)</f>
        <v>88.245448671623137</v>
      </c>
      <c r="AH50" s="187"/>
      <c r="AI50" s="187"/>
      <c r="AJ50" s="868"/>
      <c r="AK50" s="868"/>
      <c r="AL50" s="868"/>
      <c r="AM50" s="868"/>
      <c r="AN50" s="868"/>
      <c r="AO50" s="868"/>
      <c r="AP50" s="868"/>
      <c r="AQ50" s="868"/>
      <c r="AR50" s="868"/>
      <c r="AS50" s="868"/>
      <c r="AT50" s="185"/>
      <c r="AU50" s="185"/>
      <c r="AV50" s="185"/>
      <c r="AW50" s="185"/>
      <c r="AX50" s="185"/>
      <c r="AY50" s="185"/>
      <c r="AZ50" s="185"/>
      <c r="BA50" s="185"/>
      <c r="BB50" s="185"/>
      <c r="BC50" s="185"/>
      <c r="BD50" s="185"/>
      <c r="BE50" s="185"/>
      <c r="BF50" s="185"/>
      <c r="BG50" s="185"/>
      <c r="BH50" s="185"/>
      <c r="BI50" s="185"/>
      <c r="BJ50" s="185"/>
      <c r="BK50" s="185"/>
      <c r="BL50" s="186"/>
      <c r="BM50" s="186"/>
      <c r="BN50" s="186"/>
      <c r="BO50" s="186"/>
      <c r="BP50" s="186"/>
      <c r="BQ50" s="186"/>
      <c r="BR50" s="186"/>
      <c r="BS50" s="186"/>
      <c r="BT50" s="186"/>
      <c r="BU50" s="186"/>
      <c r="BV50" s="186"/>
      <c r="BW50" s="186"/>
      <c r="BX50" s="186"/>
      <c r="BY50" s="186"/>
      <c r="BZ50" s="186"/>
      <c r="CA50" s="186"/>
      <c r="CB50" s="186"/>
      <c r="CC50" s="186"/>
      <c r="CD50" s="186"/>
      <c r="CE50" s="186"/>
      <c r="CF50" s="186"/>
      <c r="CG50" s="186"/>
    </row>
    <row r="51" spans="1:85" ht="16.5" customHeight="1">
      <c r="A51" s="185"/>
      <c r="B51" s="866"/>
      <c r="C51" s="866"/>
      <c r="D51" s="866"/>
      <c r="E51" s="866"/>
      <c r="F51" s="866"/>
      <c r="G51" s="866"/>
      <c r="H51" s="866"/>
      <c r="I51" s="866"/>
      <c r="J51" s="866"/>
      <c r="K51" s="185"/>
      <c r="L51" s="185"/>
      <c r="M51" s="185"/>
      <c r="N51" s="185"/>
      <c r="O51" s="866"/>
      <c r="P51" s="866"/>
      <c r="Q51" s="866"/>
      <c r="R51" s="866"/>
      <c r="S51" s="868"/>
      <c r="T51" s="868"/>
      <c r="U51" s="868"/>
      <c r="V51" s="868"/>
      <c r="W51" s="868"/>
      <c r="X51" s="868"/>
      <c r="Y51" s="868"/>
      <c r="Z51" s="868"/>
      <c r="AA51" s="868"/>
      <c r="AB51" s="884"/>
      <c r="AC51" s="868"/>
      <c r="AD51" s="868"/>
      <c r="AE51" s="868"/>
      <c r="AF51" s="868"/>
      <c r="AG51" s="868"/>
      <c r="AH51" s="187"/>
      <c r="AI51" s="187"/>
      <c r="AJ51" s="868"/>
      <c r="AK51" s="868"/>
      <c r="AL51" s="868"/>
      <c r="AM51" s="868"/>
      <c r="AN51" s="868"/>
      <c r="AO51" s="868"/>
      <c r="AP51" s="868"/>
      <c r="AQ51" s="868"/>
      <c r="AR51" s="868"/>
      <c r="AS51" s="868"/>
      <c r="AT51" s="185"/>
      <c r="AU51" s="185"/>
      <c r="AV51" s="185"/>
      <c r="AW51" s="185"/>
      <c r="AX51" s="185"/>
      <c r="AY51" s="185"/>
      <c r="AZ51" s="185"/>
      <c r="BA51" s="185"/>
      <c r="BB51" s="185"/>
      <c r="BC51" s="185"/>
      <c r="BD51" s="185"/>
      <c r="BE51" s="185"/>
      <c r="BF51" s="185"/>
      <c r="BG51" s="185"/>
      <c r="BH51" s="185"/>
      <c r="BI51" s="185"/>
      <c r="BJ51" s="185"/>
      <c r="BK51" s="185"/>
      <c r="BL51" s="186"/>
      <c r="BM51" s="186"/>
      <c r="BN51" s="186"/>
      <c r="BO51" s="186"/>
      <c r="BP51" s="186"/>
      <c r="BQ51" s="186"/>
      <c r="BR51" s="186"/>
      <c r="BS51" s="186"/>
      <c r="BT51" s="186"/>
      <c r="BU51" s="186"/>
      <c r="BV51" s="186"/>
      <c r="BW51" s="186"/>
      <c r="BX51" s="186"/>
      <c r="BY51" s="186"/>
      <c r="BZ51" s="186"/>
      <c r="CA51" s="186"/>
      <c r="CB51" s="186"/>
      <c r="CC51" s="186"/>
      <c r="CD51" s="186"/>
      <c r="CE51" s="186"/>
      <c r="CF51" s="186"/>
      <c r="CG51" s="186"/>
    </row>
    <row r="52" spans="1:85" ht="16.5" customHeight="1">
      <c r="A52" s="185"/>
      <c r="B52" s="866"/>
      <c r="C52" s="866"/>
      <c r="D52" s="866"/>
      <c r="E52" s="866"/>
      <c r="F52" s="866"/>
      <c r="G52" s="866"/>
      <c r="H52" s="866"/>
      <c r="I52" s="866"/>
      <c r="J52" s="866"/>
      <c r="K52" s="185"/>
      <c r="L52" s="185"/>
      <c r="M52" s="185"/>
      <c r="N52" s="185"/>
      <c r="O52" s="866"/>
      <c r="P52" s="866"/>
      <c r="Q52" s="866"/>
      <c r="R52" s="866"/>
      <c r="S52" s="868"/>
      <c r="T52" s="868"/>
      <c r="U52" s="868"/>
      <c r="V52" s="868"/>
      <c r="W52" s="875" t="s">
        <v>407</v>
      </c>
      <c r="X52" s="918" t="s">
        <v>352</v>
      </c>
      <c r="Y52" s="918" t="s">
        <v>353</v>
      </c>
      <c r="Z52" s="918" t="s">
        <v>354</v>
      </c>
      <c r="AA52" s="868"/>
      <c r="AB52" s="884"/>
      <c r="AC52" s="868"/>
      <c r="AD52" s="868"/>
      <c r="AE52" s="868"/>
      <c r="AF52" s="868"/>
      <c r="AG52" s="868"/>
      <c r="AH52" s="187"/>
      <c r="AI52" s="187"/>
      <c r="AJ52" s="868"/>
      <c r="AK52" s="868"/>
      <c r="AL52" s="868"/>
      <c r="AM52" s="868"/>
      <c r="AN52" s="868"/>
      <c r="AO52" s="868"/>
      <c r="AP52" s="868"/>
      <c r="AQ52" s="868"/>
      <c r="AR52" s="868"/>
      <c r="AS52" s="868"/>
      <c r="AT52" s="185"/>
      <c r="AU52" s="185"/>
      <c r="AV52" s="185"/>
      <c r="AW52" s="185"/>
      <c r="AX52" s="185"/>
      <c r="AY52" s="185"/>
      <c r="AZ52" s="185"/>
      <c r="BA52" s="185"/>
      <c r="BB52" s="185"/>
      <c r="BC52" s="185"/>
      <c r="BD52" s="185"/>
      <c r="BE52" s="185"/>
      <c r="BF52" s="185"/>
      <c r="BG52" s="185"/>
      <c r="BH52" s="185"/>
      <c r="BI52" s="185"/>
      <c r="BJ52" s="185"/>
      <c r="BK52" s="185"/>
      <c r="BL52" s="186"/>
      <c r="BM52" s="186"/>
      <c r="BN52" s="186"/>
      <c r="BO52" s="186"/>
      <c r="BP52" s="186"/>
      <c r="BQ52" s="186"/>
      <c r="BR52" s="186"/>
      <c r="BS52" s="186"/>
      <c r="BT52" s="186"/>
      <c r="BU52" s="186"/>
      <c r="BV52" s="186"/>
      <c r="BW52" s="186"/>
      <c r="BX52" s="186"/>
      <c r="BY52" s="186"/>
      <c r="BZ52" s="186"/>
      <c r="CA52" s="186"/>
      <c r="CB52" s="186"/>
      <c r="CC52" s="186"/>
      <c r="CD52" s="186"/>
      <c r="CE52" s="186"/>
      <c r="CF52" s="186"/>
      <c r="CG52" s="186"/>
    </row>
    <row r="53" spans="1:85" ht="16.5" customHeight="1">
      <c r="A53" s="185"/>
      <c r="B53" s="866"/>
      <c r="C53" s="866"/>
      <c r="D53" s="866"/>
      <c r="E53" s="866"/>
      <c r="F53" s="866"/>
      <c r="G53" s="866"/>
      <c r="H53" s="866"/>
      <c r="I53" s="866"/>
      <c r="J53" s="866"/>
      <c r="K53" s="185"/>
      <c r="L53" s="185"/>
      <c r="M53" s="185"/>
      <c r="N53" s="185"/>
      <c r="O53" s="866"/>
      <c r="P53" s="866"/>
      <c r="Q53" s="866"/>
      <c r="R53" s="866"/>
      <c r="S53" s="868"/>
      <c r="T53" s="868"/>
      <c r="U53" s="868"/>
      <c r="V53" s="868"/>
      <c r="W53" s="884">
        <f>100*(+AE47/$E$9)</f>
        <v>168.8103175692591</v>
      </c>
      <c r="X53" s="919">
        <f>EXP(5.7226-(0.68367*LN(+W53)))</f>
        <v>9.1725003453809997</v>
      </c>
      <c r="Y53" s="892">
        <f>(+X53*W53)/100</f>
        <v>15.484126962079053</v>
      </c>
      <c r="Z53" s="884">
        <f>100*((((Y53/100)-((Y53/100)-0.03574)*$E$21)-0.03574-0.00619)/0.344)</f>
        <v>21.05140638073307</v>
      </c>
      <c r="AA53" s="868">
        <f>$E$20</f>
        <v>0.25</v>
      </c>
      <c r="AB53" s="884">
        <f>Z53+AA53</f>
        <v>21.30140638073307</v>
      </c>
      <c r="AC53" s="884">
        <f>100*($E$17*$E$19+($E$18*(AB53/100))/(1-$E$21))</f>
        <v>20.593419997222544</v>
      </c>
      <c r="AD53" s="892">
        <f>AC53/W53</f>
        <v>0.12199147714282052</v>
      </c>
      <c r="AE53" s="911">
        <f>ROUND($E$8/(1-AD53),0)</f>
        <v>1483635</v>
      </c>
      <c r="AF53" s="868" t="str">
        <f>IF(OR(OR(AE53=AE47,AE53=(AE47+1)),AE53=(AE39-1)),"yes","not yet")</f>
        <v>yes</v>
      </c>
      <c r="AG53" s="884">
        <f>100*(1-AD53)</f>
        <v>87.800852285717951</v>
      </c>
      <c r="AH53" s="187"/>
      <c r="AI53" s="187"/>
      <c r="AJ53" s="868"/>
      <c r="AK53" s="868"/>
      <c r="AL53" s="868"/>
      <c r="AM53" s="868"/>
      <c r="AN53" s="868"/>
      <c r="AO53" s="868"/>
      <c r="AP53" s="868"/>
      <c r="AQ53" s="868"/>
      <c r="AR53" s="868"/>
      <c r="AS53" s="868"/>
      <c r="AT53" s="185"/>
      <c r="AU53" s="185"/>
      <c r="AV53" s="185"/>
      <c r="AW53" s="185"/>
      <c r="AX53" s="185"/>
      <c r="AY53" s="185"/>
      <c r="AZ53" s="185"/>
      <c r="BA53" s="185"/>
      <c r="BB53" s="185"/>
      <c r="BC53" s="185"/>
      <c r="BD53" s="185"/>
      <c r="BE53" s="185"/>
      <c r="BF53" s="185"/>
      <c r="BG53" s="185"/>
      <c r="BH53" s="185"/>
      <c r="BI53" s="185"/>
      <c r="BJ53" s="185"/>
      <c r="BK53" s="185"/>
      <c r="BL53" s="186"/>
      <c r="BM53" s="186"/>
      <c r="BN53" s="186"/>
      <c r="BO53" s="186"/>
      <c r="BP53" s="186"/>
      <c r="BQ53" s="186"/>
      <c r="BR53" s="186"/>
      <c r="BS53" s="186"/>
      <c r="BT53" s="186"/>
      <c r="BU53" s="186"/>
      <c r="BV53" s="186"/>
      <c r="BW53" s="186"/>
      <c r="BX53" s="186"/>
      <c r="BY53" s="186"/>
      <c r="BZ53" s="186"/>
      <c r="CA53" s="186"/>
      <c r="CB53" s="186"/>
      <c r="CC53" s="186"/>
      <c r="CD53" s="186"/>
      <c r="CE53" s="186"/>
      <c r="CF53" s="186"/>
      <c r="CG53" s="186"/>
    </row>
    <row r="54" spans="1:85" ht="16.5" customHeight="1">
      <c r="A54" s="185"/>
      <c r="B54" s="866"/>
      <c r="C54" s="866"/>
      <c r="D54" s="866"/>
      <c r="E54" s="866"/>
      <c r="F54" s="866"/>
      <c r="G54" s="866"/>
      <c r="H54" s="866"/>
      <c r="I54" s="866"/>
      <c r="J54" s="866"/>
      <c r="K54" s="185"/>
      <c r="L54" s="185"/>
      <c r="M54" s="185"/>
      <c r="N54" s="185"/>
      <c r="O54" s="866"/>
      <c r="P54" s="866"/>
      <c r="Q54" s="866"/>
      <c r="R54" s="866"/>
      <c r="S54" s="868"/>
      <c r="T54" s="868"/>
      <c r="U54" s="868"/>
      <c r="V54" s="868"/>
      <c r="W54" s="884">
        <f>100*(+AE48/$E$9)</f>
        <v>168.40593787436035</v>
      </c>
      <c r="X54" s="919">
        <f>EXP(5.70827-(0.68367*LN(+W54)))</f>
        <v>9.0568338030199804</v>
      </c>
      <c r="Y54" s="892">
        <f>(+X54*W54)/100</f>
        <v>15.252245907697896</v>
      </c>
      <c r="Z54" s="884">
        <f>100*((((Y54/100)-((Y54/100)-0.03574)*$E$21)-0.03574-0.00619)/0.344)</f>
        <v>20.606518311280848</v>
      </c>
      <c r="AA54" s="868">
        <f>$E$20</f>
        <v>0.25</v>
      </c>
      <c r="AB54" s="884">
        <f>Z54+AA54</f>
        <v>20.856518311280848</v>
      </c>
      <c r="AC54" s="884">
        <f>100*($E$17*$E$19+($E$18*(AB54/100))/(1-$E$21))</f>
        <v>20.188976297720522</v>
      </c>
      <c r="AD54" s="892">
        <f>AC54/W54</f>
        <v>0.11988280551474709</v>
      </c>
      <c r="AE54" s="911">
        <f>ROUND($E$8/(1-AD54),0)</f>
        <v>1480081</v>
      </c>
      <c r="AF54" s="868" t="str">
        <f>IF(OR(OR(AE54=AE48,AE54=(AE48+1)),AE54=(AE48-1)),"yes","not yet")</f>
        <v>yes</v>
      </c>
      <c r="AG54" s="884">
        <f>100*(1-AD54)</f>
        <v>88.011719448525298</v>
      </c>
      <c r="AH54" s="187"/>
      <c r="AI54" s="187"/>
      <c r="AJ54" s="868"/>
      <c r="AK54" s="868"/>
      <c r="AL54" s="868"/>
      <c r="AM54" s="868"/>
      <c r="AN54" s="868"/>
      <c r="AO54" s="868"/>
      <c r="AP54" s="868"/>
      <c r="AQ54" s="868"/>
      <c r="AR54" s="868"/>
      <c r="AS54" s="868"/>
      <c r="AT54" s="185"/>
      <c r="AU54" s="185"/>
      <c r="AV54" s="185"/>
      <c r="AW54" s="185"/>
      <c r="AX54" s="185"/>
      <c r="AY54" s="185"/>
      <c r="AZ54" s="185"/>
      <c r="BA54" s="185"/>
      <c r="BB54" s="185"/>
      <c r="BC54" s="185"/>
      <c r="BD54" s="185"/>
      <c r="BE54" s="185"/>
      <c r="BF54" s="185"/>
      <c r="BG54" s="185"/>
      <c r="BH54" s="185"/>
      <c r="BI54" s="185"/>
      <c r="BJ54" s="185"/>
      <c r="BK54" s="185"/>
      <c r="BL54" s="186"/>
      <c r="BM54" s="186"/>
      <c r="BN54" s="186"/>
      <c r="BO54" s="186"/>
      <c r="BP54" s="186"/>
      <c r="BQ54" s="186"/>
      <c r="BR54" s="186"/>
      <c r="BS54" s="186"/>
      <c r="BT54" s="186"/>
      <c r="BU54" s="186"/>
      <c r="BV54" s="186"/>
      <c r="BW54" s="186"/>
      <c r="BX54" s="186"/>
      <c r="BY54" s="186"/>
      <c r="BZ54" s="186"/>
      <c r="CA54" s="186"/>
      <c r="CB54" s="186"/>
      <c r="CC54" s="186"/>
      <c r="CD54" s="186"/>
      <c r="CE54" s="186"/>
      <c r="CF54" s="186"/>
      <c r="CG54" s="186"/>
    </row>
    <row r="55" spans="1:85" ht="16.5" customHeight="1">
      <c r="A55" s="185"/>
      <c r="B55" s="866"/>
      <c r="C55" s="866"/>
      <c r="D55" s="866"/>
      <c r="E55" s="866"/>
      <c r="F55" s="866"/>
      <c r="G55" s="866"/>
      <c r="H55" s="866"/>
      <c r="I55" s="866"/>
      <c r="J55" s="866"/>
      <c r="K55" s="185"/>
      <c r="L55" s="185"/>
      <c r="M55" s="185"/>
      <c r="N55" s="185"/>
      <c r="O55" s="866"/>
      <c r="P55" s="866"/>
      <c r="Q55" s="866"/>
      <c r="R55" s="866"/>
      <c r="S55" s="868"/>
      <c r="T55" s="868"/>
      <c r="U55" s="868"/>
      <c r="V55" s="868"/>
      <c r="W55" s="884">
        <f>100*(+AE49/$E$9)</f>
        <v>168.1337723622056</v>
      </c>
      <c r="X55" s="919">
        <f>EXP(5.6985-(0.68367*LN(W55)))</f>
        <v>8.9787024716958914</v>
      </c>
      <c r="Y55" s="892">
        <f>(+X55*W55)/100</f>
        <v>15.096231174840899</v>
      </c>
      <c r="Z55" s="884">
        <f>100*((((Y55/100)-((Y55/100)-0.03574)*$E$21)-0.03574-0.00619)/0.344)</f>
        <v>20.307187719171495</v>
      </c>
      <c r="AA55" s="868">
        <f>$E$20</f>
        <v>0.25</v>
      </c>
      <c r="AB55" s="884">
        <f>Z55+AA55</f>
        <v>20.557187719171495</v>
      </c>
      <c r="AC55" s="884">
        <f>100*($E$17*$E$19+($E$18*(AB55/100))/(1-$E$21))</f>
        <v>19.916857577621112</v>
      </c>
      <c r="AD55" s="892">
        <f>AC55/W55</f>
        <v>0.11845839951009257</v>
      </c>
      <c r="AE55" s="911">
        <f>ROUND($E$8/(1-AD55),0)</f>
        <v>1477689</v>
      </c>
      <c r="AF55" s="868" t="str">
        <f>IF(OR(OR(AE55=AE49,AE55=(AE49+1)),AE55=(AE49-1)),"yes","not yet")</f>
        <v>yes</v>
      </c>
      <c r="AG55" s="884">
        <f>100*(1-AD55)</f>
        <v>88.154160048990747</v>
      </c>
      <c r="AH55" s="187"/>
      <c r="AI55" s="187"/>
      <c r="AJ55" s="868"/>
      <c r="AK55" s="868"/>
      <c r="AL55" s="868"/>
      <c r="AM55" s="868"/>
      <c r="AN55" s="868"/>
      <c r="AO55" s="868"/>
      <c r="AP55" s="868"/>
      <c r="AQ55" s="868"/>
      <c r="AR55" s="868"/>
      <c r="AS55" s="868"/>
      <c r="AT55" s="185"/>
      <c r="AU55" s="185"/>
      <c r="AV55" s="185"/>
      <c r="AW55" s="185"/>
      <c r="AX55" s="185"/>
      <c r="AY55" s="185"/>
      <c r="AZ55" s="185"/>
      <c r="BA55" s="185"/>
      <c r="BB55" s="185"/>
      <c r="BC55" s="185"/>
      <c r="BD55" s="185"/>
      <c r="BE55" s="185"/>
      <c r="BF55" s="185"/>
      <c r="BG55" s="185"/>
      <c r="BH55" s="185"/>
      <c r="BI55" s="185"/>
      <c r="BJ55" s="185"/>
      <c r="BK55" s="185"/>
      <c r="BL55" s="186"/>
      <c r="BM55" s="186"/>
      <c r="BN55" s="186"/>
      <c r="BO55" s="186"/>
      <c r="BP55" s="186"/>
      <c r="BQ55" s="186"/>
      <c r="BR55" s="186"/>
      <c r="BS55" s="186"/>
      <c r="BT55" s="186"/>
      <c r="BU55" s="186"/>
      <c r="BV55" s="186"/>
      <c r="BW55" s="186"/>
      <c r="BX55" s="186"/>
      <c r="BY55" s="186"/>
      <c r="BZ55" s="186"/>
      <c r="CA55" s="186"/>
      <c r="CB55" s="186"/>
      <c r="CC55" s="186"/>
      <c r="CD55" s="186"/>
      <c r="CE55" s="186"/>
      <c r="CF55" s="186"/>
      <c r="CG55" s="186"/>
    </row>
    <row r="56" spans="1:85" ht="16.5" customHeight="1">
      <c r="A56" s="185"/>
      <c r="B56" s="866"/>
      <c r="C56" s="866"/>
      <c r="D56" s="866"/>
      <c r="E56" s="866"/>
      <c r="F56" s="866"/>
      <c r="G56" s="866"/>
      <c r="H56" s="866"/>
      <c r="I56" s="866"/>
      <c r="J56" s="866"/>
      <c r="K56" s="185"/>
      <c r="L56" s="185"/>
      <c r="M56" s="185"/>
      <c r="N56" s="185"/>
      <c r="O56" s="866"/>
      <c r="P56" s="866"/>
      <c r="Q56" s="866"/>
      <c r="R56" s="866"/>
      <c r="S56" s="868"/>
      <c r="T56" s="868"/>
      <c r="U56" s="868"/>
      <c r="V56" s="868"/>
      <c r="W56" s="884">
        <f>100*(+AE50/$E$9)</f>
        <v>167.95991412534423</v>
      </c>
      <c r="X56" s="919">
        <f>EXP(5.6922-(0.68367*LN(W56)))</f>
        <v>8.92862755387638</v>
      </c>
      <c r="Y56" s="892">
        <f>(+X56*W56)/100</f>
        <v>14.99651517206259</v>
      </c>
      <c r="Z56" s="884">
        <f>100*((((Y56/100)-((Y56/100)-0.03574)*$E$21)-0.03574-0.00619)/0.344)</f>
        <v>20.115872132445674</v>
      </c>
      <c r="AA56" s="868">
        <f>$E$20</f>
        <v>0.25</v>
      </c>
      <c r="AB56" s="884">
        <f>Z56+AA56</f>
        <v>20.365872132445674</v>
      </c>
      <c r="AC56" s="884">
        <f>100*($E$17*$E$19+($E$18*(AB56/100))/(1-$E$21))</f>
        <v>19.742934316961275</v>
      </c>
      <c r="AD56" s="892">
        <f>AC56/W56</f>
        <v>0.11754551328376855</v>
      </c>
      <c r="AE56" s="911">
        <f>ROUND($E$8/(1-AD56),0)</f>
        <v>1476161</v>
      </c>
      <c r="AF56" s="868" t="str">
        <f>IF(OR(OR(AE56=AE50,AE56=(AE50+1)),AE56=(AE50-1)),"yes","not yet")</f>
        <v>yes</v>
      </c>
      <c r="AG56" s="884">
        <f>100*(1-AD56)</f>
        <v>88.245448671623137</v>
      </c>
      <c r="AH56" s="187"/>
      <c r="AI56" s="187"/>
      <c r="AJ56" s="868"/>
      <c r="AK56" s="868"/>
      <c r="AL56" s="868"/>
      <c r="AM56" s="868"/>
      <c r="AN56" s="868"/>
      <c r="AO56" s="868"/>
      <c r="AP56" s="868"/>
      <c r="AQ56" s="868"/>
      <c r="AR56" s="868"/>
      <c r="AS56" s="868"/>
      <c r="AT56" s="185"/>
      <c r="AU56" s="185"/>
      <c r="AV56" s="185"/>
      <c r="AW56" s="185"/>
      <c r="AX56" s="185"/>
      <c r="AY56" s="185"/>
      <c r="AZ56" s="185"/>
      <c r="BA56" s="185"/>
      <c r="BB56" s="185"/>
      <c r="BC56" s="185"/>
      <c r="BD56" s="185"/>
      <c r="BE56" s="185"/>
      <c r="BF56" s="185"/>
      <c r="BG56" s="185"/>
      <c r="BH56" s="185"/>
      <c r="BI56" s="185"/>
      <c r="BJ56" s="185"/>
      <c r="BK56" s="185"/>
      <c r="BL56" s="186"/>
      <c r="BM56" s="186"/>
      <c r="BN56" s="186"/>
      <c r="BO56" s="186"/>
      <c r="BP56" s="186"/>
      <c r="BQ56" s="186"/>
      <c r="BR56" s="186"/>
      <c r="BS56" s="186"/>
      <c r="BT56" s="186"/>
      <c r="BU56" s="186"/>
      <c r="BV56" s="186"/>
      <c r="BW56" s="186"/>
      <c r="BX56" s="186"/>
      <c r="BY56" s="186"/>
      <c r="BZ56" s="186"/>
      <c r="CA56" s="186"/>
      <c r="CB56" s="186"/>
      <c r="CC56" s="186"/>
      <c r="CD56" s="186"/>
      <c r="CE56" s="186"/>
      <c r="CF56" s="186"/>
      <c r="CG56" s="186"/>
    </row>
    <row r="57" spans="1:85" ht="15.75">
      <c r="A57" s="185"/>
      <c r="B57" s="866"/>
      <c r="C57" s="866"/>
      <c r="D57" s="866"/>
      <c r="E57" s="866"/>
      <c r="F57" s="866"/>
      <c r="G57" s="866"/>
      <c r="H57" s="866"/>
      <c r="I57" s="866"/>
      <c r="J57" s="866"/>
      <c r="K57" s="185"/>
      <c r="L57" s="185"/>
      <c r="M57" s="185"/>
      <c r="N57" s="185"/>
      <c r="O57" s="866"/>
      <c r="P57" s="866"/>
      <c r="Q57" s="866"/>
      <c r="R57" s="866"/>
      <c r="S57" s="868"/>
      <c r="T57" s="868"/>
      <c r="U57" s="868"/>
      <c r="V57" s="868"/>
      <c r="W57" s="868"/>
      <c r="X57" s="868"/>
      <c r="Y57" s="868"/>
      <c r="Z57" s="868"/>
      <c r="AA57" s="868"/>
      <c r="AB57" s="884"/>
      <c r="AC57" s="868"/>
      <c r="AD57" s="868"/>
      <c r="AE57" s="868"/>
      <c r="AF57" s="868"/>
      <c r="AG57" s="868"/>
      <c r="AH57" s="187"/>
      <c r="AI57" s="187"/>
      <c r="AJ57" s="868"/>
      <c r="AK57" s="868"/>
      <c r="AL57" s="868"/>
      <c r="AM57" s="868"/>
      <c r="AN57" s="868"/>
      <c r="AO57" s="868"/>
      <c r="AP57" s="868"/>
      <c r="AQ57" s="868"/>
      <c r="AR57" s="868"/>
      <c r="AS57" s="868"/>
      <c r="AT57" s="185"/>
      <c r="AU57" s="185"/>
      <c r="AV57" s="185"/>
      <c r="AW57" s="185"/>
      <c r="AX57" s="185"/>
      <c r="AY57" s="185"/>
      <c r="AZ57" s="185"/>
      <c r="BA57" s="185"/>
      <c r="BB57" s="185"/>
      <c r="BC57" s="185"/>
      <c r="BD57" s="185"/>
      <c r="BE57" s="185"/>
      <c r="BF57" s="185"/>
      <c r="BG57" s="185"/>
      <c r="BH57" s="185"/>
      <c r="BI57" s="185"/>
      <c r="BJ57" s="185"/>
      <c r="BK57" s="185"/>
      <c r="BL57" s="186"/>
      <c r="BM57" s="186"/>
      <c r="BN57" s="186"/>
      <c r="BO57" s="186"/>
      <c r="BP57" s="186"/>
      <c r="BQ57" s="186"/>
      <c r="BR57" s="186"/>
      <c r="BS57" s="186"/>
      <c r="BT57" s="186"/>
      <c r="BU57" s="186"/>
      <c r="BV57" s="186"/>
      <c r="BW57" s="186"/>
      <c r="BX57" s="186"/>
      <c r="BY57" s="186"/>
      <c r="BZ57" s="186"/>
      <c r="CA57" s="186"/>
      <c r="CB57" s="186"/>
      <c r="CC57" s="186"/>
      <c r="CD57" s="186"/>
      <c r="CE57" s="186"/>
      <c r="CF57" s="186"/>
      <c r="CG57" s="186"/>
    </row>
    <row r="58" spans="1:85" ht="15.75">
      <c r="A58" s="185"/>
      <c r="B58" s="866"/>
      <c r="C58" s="866"/>
      <c r="D58" s="866"/>
      <c r="E58" s="866"/>
      <c r="F58" s="866"/>
      <c r="G58" s="866"/>
      <c r="H58" s="866"/>
      <c r="I58" s="866"/>
      <c r="J58" s="866"/>
      <c r="K58" s="185"/>
      <c r="L58" s="185"/>
      <c r="M58" s="185"/>
      <c r="N58" s="185"/>
      <c r="O58" s="866"/>
      <c r="P58" s="866"/>
      <c r="Q58" s="866"/>
      <c r="R58" s="866"/>
      <c r="S58" s="866"/>
      <c r="T58" s="866"/>
      <c r="U58" s="866"/>
      <c r="V58" s="866"/>
      <c r="W58" s="866"/>
      <c r="X58" s="866"/>
      <c r="Y58" s="866"/>
      <c r="Z58" s="866"/>
      <c r="AA58" s="866"/>
      <c r="AB58" s="866"/>
      <c r="AC58" s="866"/>
      <c r="AD58" s="866"/>
      <c r="AE58" s="866"/>
      <c r="AF58" s="866"/>
      <c r="AG58" s="866"/>
      <c r="AH58" s="185"/>
      <c r="AI58" s="185"/>
      <c r="AJ58" s="866"/>
      <c r="AK58" s="866"/>
      <c r="AL58" s="866"/>
      <c r="AM58" s="866"/>
      <c r="AN58" s="866"/>
      <c r="AO58" s="866"/>
      <c r="AP58" s="866"/>
      <c r="AQ58" s="866"/>
      <c r="AR58" s="866"/>
      <c r="AS58" s="866"/>
      <c r="AT58" s="185"/>
      <c r="AU58" s="185"/>
      <c r="AV58" s="185"/>
      <c r="AW58" s="185"/>
      <c r="AX58" s="185"/>
      <c r="AY58" s="185"/>
      <c r="AZ58" s="185"/>
      <c r="BA58" s="185"/>
      <c r="BB58" s="185"/>
      <c r="BC58" s="185"/>
      <c r="BD58" s="185"/>
      <c r="BE58" s="185"/>
      <c r="BF58" s="185"/>
      <c r="BG58" s="185"/>
      <c r="BH58" s="185"/>
      <c r="BI58" s="185"/>
      <c r="BJ58" s="185"/>
      <c r="BK58" s="185"/>
      <c r="BL58" s="186"/>
      <c r="BM58" s="186"/>
      <c r="BN58" s="186"/>
      <c r="BO58" s="186"/>
      <c r="BP58" s="186"/>
      <c r="BQ58" s="186"/>
      <c r="BR58" s="186"/>
      <c r="BS58" s="186"/>
      <c r="BT58" s="186"/>
      <c r="BU58" s="186"/>
      <c r="BV58" s="186"/>
      <c r="BW58" s="186"/>
      <c r="BX58" s="186"/>
      <c r="BY58" s="186"/>
      <c r="BZ58" s="186"/>
      <c r="CA58" s="186"/>
      <c r="CB58" s="186"/>
      <c r="CC58" s="186"/>
      <c r="CD58" s="186"/>
      <c r="CE58" s="186"/>
      <c r="CF58" s="186"/>
      <c r="CG58" s="186"/>
    </row>
    <row r="59" spans="1:85" ht="15.75">
      <c r="A59" s="185"/>
      <c r="B59" s="866"/>
      <c r="C59" s="866"/>
      <c r="D59" s="866"/>
      <c r="E59" s="866"/>
      <c r="F59" s="866"/>
      <c r="G59" s="866"/>
      <c r="H59" s="866"/>
      <c r="I59" s="866"/>
      <c r="J59" s="866"/>
      <c r="K59" s="185"/>
      <c r="L59" s="185"/>
      <c r="M59" s="185"/>
      <c r="N59" s="185"/>
      <c r="O59" s="866"/>
      <c r="P59" s="866"/>
      <c r="Q59" s="866"/>
      <c r="R59" s="866"/>
      <c r="S59" s="866"/>
      <c r="T59" s="866"/>
      <c r="U59" s="866"/>
      <c r="V59" s="866"/>
      <c r="W59" s="866"/>
      <c r="X59" s="866"/>
      <c r="Y59" s="866"/>
      <c r="Z59" s="866"/>
      <c r="AA59" s="866"/>
      <c r="AB59" s="866"/>
      <c r="AC59" s="866"/>
      <c r="AD59" s="866"/>
      <c r="AE59" s="866"/>
      <c r="AF59" s="866"/>
      <c r="AG59" s="866"/>
      <c r="AH59" s="185"/>
      <c r="AI59" s="185"/>
      <c r="AJ59" s="866"/>
      <c r="AK59" s="866"/>
      <c r="AL59" s="866"/>
      <c r="AM59" s="866"/>
      <c r="AN59" s="866"/>
      <c r="AO59" s="866"/>
      <c r="AP59" s="866"/>
      <c r="AQ59" s="866"/>
      <c r="AR59" s="866"/>
      <c r="AS59" s="866"/>
      <c r="AT59" s="185"/>
      <c r="AU59" s="185"/>
      <c r="AV59" s="185"/>
      <c r="AW59" s="185"/>
      <c r="AX59" s="185"/>
      <c r="AY59" s="185"/>
      <c r="AZ59" s="185"/>
      <c r="BA59" s="185"/>
      <c r="BB59" s="185"/>
      <c r="BC59" s="185"/>
      <c r="BD59" s="185"/>
      <c r="BE59" s="185"/>
      <c r="BF59" s="185"/>
      <c r="BG59" s="185"/>
      <c r="BH59" s="185"/>
      <c r="BI59" s="185"/>
      <c r="BJ59" s="185"/>
      <c r="BK59" s="185"/>
      <c r="BL59" s="186"/>
      <c r="BM59" s="186"/>
      <c r="BN59" s="186"/>
      <c r="BO59" s="186"/>
      <c r="BP59" s="186"/>
      <c r="BQ59" s="186"/>
      <c r="BR59" s="186"/>
      <c r="BS59" s="186"/>
      <c r="BT59" s="186"/>
      <c r="BU59" s="186"/>
      <c r="BV59" s="186"/>
      <c r="BW59" s="186"/>
      <c r="BX59" s="186"/>
      <c r="BY59" s="186"/>
      <c r="BZ59" s="186"/>
      <c r="CA59" s="186"/>
      <c r="CB59" s="186"/>
      <c r="CC59" s="186"/>
      <c r="CD59" s="186"/>
      <c r="CE59" s="186"/>
      <c r="CF59" s="186"/>
      <c r="CG59" s="186"/>
    </row>
    <row r="60" spans="1:85" ht="15.75">
      <c r="A60" s="185"/>
      <c r="B60" s="866"/>
      <c r="C60" s="866"/>
      <c r="D60" s="866"/>
      <c r="E60" s="866"/>
      <c r="F60" s="866"/>
      <c r="G60" s="866"/>
      <c r="H60" s="866"/>
      <c r="I60" s="866"/>
      <c r="J60" s="866"/>
      <c r="K60" s="185"/>
      <c r="L60" s="185"/>
      <c r="M60" s="185"/>
      <c r="N60" s="185"/>
      <c r="O60" s="866"/>
      <c r="P60" s="866"/>
      <c r="Q60" s="866"/>
      <c r="R60" s="866"/>
      <c r="S60" s="866"/>
      <c r="T60" s="866"/>
      <c r="U60" s="866"/>
      <c r="V60" s="866"/>
      <c r="W60" s="866"/>
      <c r="X60" s="866"/>
      <c r="Y60" s="866"/>
      <c r="Z60" s="866"/>
      <c r="AA60" s="866"/>
      <c r="AB60" s="866"/>
      <c r="AC60" s="866"/>
      <c r="AD60" s="866"/>
      <c r="AE60" s="866"/>
      <c r="AF60" s="866"/>
      <c r="AG60" s="866"/>
      <c r="AH60" s="185"/>
      <c r="AI60" s="185"/>
      <c r="AJ60" s="866"/>
      <c r="AK60" s="866"/>
      <c r="AL60" s="866"/>
      <c r="AM60" s="866"/>
      <c r="AN60" s="866"/>
      <c r="AO60" s="866"/>
      <c r="AP60" s="866"/>
      <c r="AQ60" s="866"/>
      <c r="AR60" s="866"/>
      <c r="AS60" s="866"/>
      <c r="AT60" s="185"/>
      <c r="AU60" s="185"/>
      <c r="AV60" s="185"/>
      <c r="AW60" s="185"/>
      <c r="AX60" s="185"/>
      <c r="AY60" s="185"/>
      <c r="AZ60" s="185"/>
      <c r="BA60" s="185"/>
      <c r="BB60" s="185"/>
      <c r="BC60" s="185"/>
      <c r="BD60" s="185"/>
      <c r="BE60" s="185"/>
      <c r="BF60" s="185"/>
      <c r="BG60" s="185"/>
      <c r="BH60" s="185"/>
      <c r="BI60" s="185"/>
      <c r="BJ60" s="185"/>
      <c r="BK60" s="185"/>
      <c r="BL60" s="186"/>
      <c r="BM60" s="186"/>
      <c r="BN60" s="186"/>
      <c r="BO60" s="186"/>
      <c r="BP60" s="186"/>
      <c r="BQ60" s="186"/>
      <c r="BR60" s="186"/>
      <c r="BS60" s="186"/>
      <c r="BT60" s="186"/>
      <c r="BU60" s="186"/>
      <c r="BV60" s="186"/>
      <c r="BW60" s="186"/>
      <c r="BX60" s="186"/>
      <c r="BY60" s="186"/>
      <c r="BZ60" s="186"/>
      <c r="CA60" s="186"/>
      <c r="CB60" s="186"/>
      <c r="CC60" s="186"/>
      <c r="CD60" s="186"/>
      <c r="CE60" s="186"/>
      <c r="CF60" s="186"/>
      <c r="CG60" s="186"/>
    </row>
    <row r="61" spans="1:85" ht="15.75">
      <c r="A61" s="185"/>
      <c r="B61" s="866"/>
      <c r="C61" s="866"/>
      <c r="D61" s="866"/>
      <c r="E61" s="866"/>
      <c r="F61" s="866"/>
      <c r="G61" s="866"/>
      <c r="H61" s="866"/>
      <c r="I61" s="866"/>
      <c r="J61" s="866"/>
      <c r="K61" s="185"/>
      <c r="L61" s="185"/>
      <c r="M61" s="185"/>
      <c r="N61" s="185"/>
      <c r="O61" s="866"/>
      <c r="P61" s="866"/>
      <c r="Q61" s="866"/>
      <c r="R61" s="866"/>
      <c r="S61" s="866"/>
      <c r="T61" s="866"/>
      <c r="U61" s="866"/>
      <c r="V61" s="866"/>
      <c r="W61" s="866"/>
      <c r="X61" s="866"/>
      <c r="Y61" s="866"/>
      <c r="Z61" s="866"/>
      <c r="AA61" s="866"/>
      <c r="AB61" s="866"/>
      <c r="AC61" s="866"/>
      <c r="AD61" s="866"/>
      <c r="AE61" s="866"/>
      <c r="AF61" s="866"/>
      <c r="AG61" s="866"/>
      <c r="AH61" s="185"/>
      <c r="AI61" s="185"/>
      <c r="AJ61" s="866"/>
      <c r="AK61" s="866"/>
      <c r="AL61" s="866"/>
      <c r="AM61" s="866"/>
      <c r="AN61" s="866"/>
      <c r="AO61" s="866"/>
      <c r="AP61" s="866"/>
      <c r="AQ61" s="866"/>
      <c r="AR61" s="866"/>
      <c r="AS61" s="866"/>
      <c r="AT61" s="185"/>
      <c r="AU61" s="185"/>
      <c r="AV61" s="185"/>
      <c r="AW61" s="185"/>
      <c r="AX61" s="185"/>
      <c r="AY61" s="185"/>
      <c r="AZ61" s="185"/>
      <c r="BA61" s="185"/>
      <c r="BB61" s="185"/>
      <c r="BC61" s="185"/>
      <c r="BD61" s="185"/>
      <c r="BE61" s="185"/>
      <c r="BF61" s="185"/>
      <c r="BG61" s="185"/>
      <c r="BH61" s="185"/>
      <c r="BI61" s="185"/>
      <c r="BJ61" s="185"/>
      <c r="BK61" s="185"/>
      <c r="BL61" s="186"/>
      <c r="BM61" s="186"/>
      <c r="BN61" s="186"/>
      <c r="BO61" s="186"/>
      <c r="BP61" s="186"/>
      <c r="BQ61" s="186"/>
      <c r="BR61" s="186"/>
      <c r="BS61" s="186"/>
      <c r="BT61" s="186"/>
      <c r="BU61" s="186"/>
      <c r="BV61" s="186"/>
      <c r="BW61" s="186"/>
      <c r="BX61" s="186"/>
      <c r="BY61" s="186"/>
      <c r="BZ61" s="186"/>
      <c r="CA61" s="186"/>
      <c r="CB61" s="186"/>
      <c r="CC61" s="186"/>
      <c r="CD61" s="186"/>
      <c r="CE61" s="186"/>
      <c r="CF61" s="186"/>
      <c r="CG61" s="186"/>
    </row>
    <row r="62" spans="1:85" ht="15.75">
      <c r="A62" s="185"/>
      <c r="B62" s="866"/>
      <c r="C62" s="866"/>
      <c r="D62" s="866"/>
      <c r="E62" s="866"/>
      <c r="F62" s="866"/>
      <c r="G62" s="866"/>
      <c r="H62" s="866"/>
      <c r="I62" s="866"/>
      <c r="J62" s="866"/>
      <c r="K62" s="185"/>
      <c r="L62" s="185"/>
      <c r="M62" s="185"/>
      <c r="N62" s="185"/>
      <c r="O62" s="866"/>
      <c r="P62" s="866"/>
      <c r="Q62" s="866"/>
      <c r="R62" s="866"/>
      <c r="S62" s="866"/>
      <c r="T62" s="866"/>
      <c r="U62" s="866"/>
      <c r="V62" s="866"/>
      <c r="W62" s="866"/>
      <c r="X62" s="866"/>
      <c r="Y62" s="866"/>
      <c r="Z62" s="866"/>
      <c r="AA62" s="866"/>
      <c r="AB62" s="866"/>
      <c r="AC62" s="866"/>
      <c r="AD62" s="866"/>
      <c r="AE62" s="866"/>
      <c r="AF62" s="866"/>
      <c r="AG62" s="866"/>
      <c r="AH62" s="185"/>
      <c r="AI62" s="185"/>
      <c r="AJ62" s="866"/>
      <c r="AK62" s="866"/>
      <c r="AL62" s="866"/>
      <c r="AM62" s="866"/>
      <c r="AN62" s="866"/>
      <c r="AO62" s="866"/>
      <c r="AP62" s="866"/>
      <c r="AQ62" s="866"/>
      <c r="AR62" s="866"/>
      <c r="AS62" s="866"/>
      <c r="AT62" s="185"/>
      <c r="AU62" s="185"/>
      <c r="AV62" s="185"/>
      <c r="AW62" s="185"/>
      <c r="AX62" s="185"/>
      <c r="AY62" s="185"/>
      <c r="AZ62" s="185"/>
      <c r="BA62" s="185"/>
      <c r="BB62" s="185"/>
      <c r="BC62" s="185"/>
      <c r="BD62" s="185"/>
      <c r="BE62" s="185"/>
      <c r="BF62" s="185"/>
      <c r="BG62" s="185"/>
      <c r="BH62" s="185"/>
      <c r="BI62" s="185"/>
      <c r="BJ62" s="185"/>
      <c r="BK62" s="185"/>
      <c r="BL62" s="186"/>
      <c r="BM62" s="186"/>
      <c r="BN62" s="186"/>
      <c r="BO62" s="186"/>
      <c r="BP62" s="186"/>
      <c r="BQ62" s="186"/>
      <c r="BR62" s="186"/>
      <c r="BS62" s="186"/>
      <c r="BT62" s="186"/>
      <c r="BU62" s="186"/>
      <c r="BV62" s="186"/>
      <c r="BW62" s="186"/>
      <c r="BX62" s="186"/>
      <c r="BY62" s="186"/>
      <c r="BZ62" s="186"/>
      <c r="CA62" s="186"/>
      <c r="CB62" s="186"/>
      <c r="CC62" s="186"/>
      <c r="CD62" s="186"/>
      <c r="CE62" s="186"/>
      <c r="CF62" s="186"/>
      <c r="CG62" s="186"/>
    </row>
    <row r="63" spans="1:85" ht="15.75">
      <c r="A63" s="185"/>
      <c r="B63" s="866"/>
      <c r="C63" s="866"/>
      <c r="D63" s="866"/>
      <c r="E63" s="866"/>
      <c r="F63" s="866"/>
      <c r="G63" s="866"/>
      <c r="H63" s="866"/>
      <c r="I63" s="866"/>
      <c r="J63" s="866"/>
      <c r="K63" s="185"/>
      <c r="L63" s="185"/>
      <c r="M63" s="185"/>
      <c r="N63" s="185"/>
      <c r="O63" s="866"/>
      <c r="P63" s="866"/>
      <c r="Q63" s="866"/>
      <c r="R63" s="866"/>
      <c r="S63" s="866"/>
      <c r="T63" s="866"/>
      <c r="U63" s="866"/>
      <c r="V63" s="866"/>
      <c r="W63" s="866"/>
      <c r="X63" s="866"/>
      <c r="Y63" s="866"/>
      <c r="Z63" s="866"/>
      <c r="AA63" s="866"/>
      <c r="AB63" s="866"/>
      <c r="AC63" s="866"/>
      <c r="AD63" s="866"/>
      <c r="AE63" s="866"/>
      <c r="AF63" s="866"/>
      <c r="AG63" s="866"/>
      <c r="AH63" s="185"/>
      <c r="AI63" s="185"/>
      <c r="AJ63" s="866"/>
      <c r="AK63" s="866"/>
      <c r="AL63" s="866"/>
      <c r="AM63" s="866"/>
      <c r="AN63" s="866"/>
      <c r="AO63" s="866"/>
      <c r="AP63" s="866"/>
      <c r="AQ63" s="866"/>
      <c r="AR63" s="866"/>
      <c r="AS63" s="866"/>
      <c r="AT63" s="185"/>
      <c r="AU63" s="185"/>
      <c r="AV63" s="185"/>
      <c r="AW63" s="185"/>
      <c r="AX63" s="185"/>
      <c r="AY63" s="185"/>
      <c r="AZ63" s="185"/>
      <c r="BA63" s="185"/>
      <c r="BB63" s="185"/>
      <c r="BC63" s="185"/>
      <c r="BD63" s="185"/>
      <c r="BE63" s="185"/>
      <c r="BF63" s="185"/>
      <c r="BG63" s="185"/>
      <c r="BH63" s="185"/>
      <c r="BI63" s="185"/>
      <c r="BJ63" s="185"/>
      <c r="BK63" s="185"/>
      <c r="BL63" s="186"/>
      <c r="BM63" s="186"/>
      <c r="BN63" s="186"/>
      <c r="BO63" s="186"/>
      <c r="BP63" s="186"/>
      <c r="BQ63" s="186"/>
      <c r="BR63" s="186"/>
      <c r="BS63" s="186"/>
      <c r="BT63" s="186"/>
      <c r="BU63" s="186"/>
      <c r="BV63" s="186"/>
      <c r="BW63" s="186"/>
      <c r="BX63" s="186"/>
      <c r="BY63" s="186"/>
      <c r="BZ63" s="186"/>
      <c r="CA63" s="186"/>
      <c r="CB63" s="186"/>
      <c r="CC63" s="186"/>
      <c r="CD63" s="186"/>
      <c r="CE63" s="186"/>
      <c r="CF63" s="186"/>
      <c r="CG63" s="186"/>
    </row>
    <row r="64" spans="1:85" ht="15.75">
      <c r="A64" s="185"/>
      <c r="B64" s="866"/>
      <c r="C64" s="866"/>
      <c r="D64" s="866"/>
      <c r="E64" s="866"/>
      <c r="F64" s="866"/>
      <c r="G64" s="866"/>
      <c r="H64" s="866"/>
      <c r="I64" s="866"/>
      <c r="J64" s="866"/>
      <c r="K64" s="185"/>
      <c r="L64" s="185"/>
      <c r="M64" s="185"/>
      <c r="N64" s="185"/>
      <c r="O64" s="866"/>
      <c r="P64" s="866"/>
      <c r="Q64" s="866"/>
      <c r="R64" s="866"/>
      <c r="S64" s="866"/>
      <c r="T64" s="866"/>
      <c r="U64" s="866"/>
      <c r="V64" s="866"/>
      <c r="W64" s="866"/>
      <c r="X64" s="866"/>
      <c r="Y64" s="866"/>
      <c r="Z64" s="866"/>
      <c r="AA64" s="866"/>
      <c r="AB64" s="866"/>
      <c r="AC64" s="866"/>
      <c r="AD64" s="866"/>
      <c r="AE64" s="866"/>
      <c r="AF64" s="866"/>
      <c r="AG64" s="866"/>
      <c r="AH64" s="185"/>
      <c r="AI64" s="185"/>
      <c r="AJ64" s="866"/>
      <c r="AK64" s="866"/>
      <c r="AL64" s="866"/>
      <c r="AM64" s="866"/>
      <c r="AN64" s="866"/>
      <c r="AO64" s="866"/>
      <c r="AP64" s="866"/>
      <c r="AQ64" s="866"/>
      <c r="AR64" s="866"/>
      <c r="AS64" s="866"/>
      <c r="AT64" s="185"/>
      <c r="AU64" s="185"/>
      <c r="AV64" s="185"/>
      <c r="AW64" s="185"/>
      <c r="AX64" s="185"/>
      <c r="AY64" s="185"/>
      <c r="AZ64" s="185"/>
      <c r="BA64" s="185"/>
      <c r="BB64" s="185"/>
      <c r="BC64" s="185"/>
      <c r="BD64" s="185"/>
      <c r="BE64" s="185"/>
      <c r="BF64" s="185"/>
      <c r="BG64" s="185"/>
      <c r="BH64" s="185"/>
      <c r="BI64" s="185"/>
      <c r="BJ64" s="185"/>
      <c r="BK64" s="185"/>
      <c r="BL64" s="186"/>
      <c r="BM64" s="186"/>
      <c r="BN64" s="186"/>
      <c r="BO64" s="186"/>
      <c r="BP64" s="186"/>
      <c r="BQ64" s="186"/>
      <c r="BR64" s="186"/>
      <c r="BS64" s="186"/>
      <c r="BT64" s="186"/>
      <c r="BU64" s="186"/>
      <c r="BV64" s="186"/>
      <c r="BW64" s="186"/>
      <c r="BX64" s="186"/>
      <c r="BY64" s="186"/>
      <c r="BZ64" s="186"/>
      <c r="CA64" s="186"/>
      <c r="CB64" s="186"/>
      <c r="CC64" s="186"/>
      <c r="CD64" s="186"/>
      <c r="CE64" s="186"/>
      <c r="CF64" s="186"/>
      <c r="CG64" s="186"/>
    </row>
    <row r="65" spans="1:85" ht="15.75">
      <c r="A65" s="185"/>
      <c r="B65" s="866"/>
      <c r="C65" s="866"/>
      <c r="D65" s="866"/>
      <c r="E65" s="866"/>
      <c r="F65" s="866"/>
      <c r="G65" s="866"/>
      <c r="H65" s="866"/>
      <c r="I65" s="866"/>
      <c r="J65" s="866"/>
      <c r="K65" s="185"/>
      <c r="L65" s="185"/>
      <c r="M65" s="185"/>
      <c r="N65" s="185"/>
      <c r="O65" s="866"/>
      <c r="P65" s="866"/>
      <c r="Q65" s="866"/>
      <c r="R65" s="866"/>
      <c r="S65" s="866"/>
      <c r="T65" s="866"/>
      <c r="U65" s="866"/>
      <c r="V65" s="866"/>
      <c r="W65" s="866"/>
      <c r="X65" s="866"/>
      <c r="Y65" s="866"/>
      <c r="Z65" s="866"/>
      <c r="AA65" s="866"/>
      <c r="AB65" s="866"/>
      <c r="AC65" s="866"/>
      <c r="AD65" s="866"/>
      <c r="AE65" s="866"/>
      <c r="AF65" s="866"/>
      <c r="AG65" s="866"/>
      <c r="AH65" s="185"/>
      <c r="AI65" s="185"/>
      <c r="AJ65" s="866"/>
      <c r="AK65" s="866"/>
      <c r="AL65" s="866"/>
      <c r="AM65" s="866"/>
      <c r="AN65" s="866"/>
      <c r="AO65" s="866"/>
      <c r="AP65" s="866"/>
      <c r="AQ65" s="866"/>
      <c r="AR65" s="866"/>
      <c r="AS65" s="866"/>
      <c r="AT65" s="185"/>
      <c r="AU65" s="185"/>
      <c r="AV65" s="185"/>
      <c r="AW65" s="185"/>
      <c r="AX65" s="185"/>
      <c r="AY65" s="185"/>
      <c r="AZ65" s="185"/>
      <c r="BA65" s="185"/>
      <c r="BB65" s="185"/>
      <c r="BC65" s="185"/>
      <c r="BD65" s="185"/>
      <c r="BE65" s="185"/>
      <c r="BF65" s="185"/>
      <c r="BG65" s="185"/>
      <c r="BH65" s="185"/>
      <c r="BI65" s="185"/>
      <c r="BJ65" s="185"/>
      <c r="BK65" s="185"/>
      <c r="BL65" s="186"/>
      <c r="BM65" s="186"/>
      <c r="BN65" s="186"/>
      <c r="BO65" s="186"/>
      <c r="BP65" s="186"/>
      <c r="BQ65" s="186"/>
      <c r="BR65" s="186"/>
      <c r="BS65" s="186"/>
      <c r="BT65" s="186"/>
      <c r="BU65" s="186"/>
      <c r="BV65" s="186"/>
      <c r="BW65" s="186"/>
      <c r="BX65" s="186"/>
      <c r="BY65" s="186"/>
      <c r="BZ65" s="186"/>
      <c r="CA65" s="186"/>
      <c r="CB65" s="186"/>
      <c r="CC65" s="186"/>
      <c r="CD65" s="186"/>
      <c r="CE65" s="186"/>
      <c r="CF65" s="186"/>
      <c r="CG65" s="186"/>
    </row>
    <row r="66" spans="1:85" ht="15.75">
      <c r="A66" s="185"/>
      <c r="B66" s="866"/>
      <c r="C66" s="866"/>
      <c r="D66" s="866"/>
      <c r="E66" s="866"/>
      <c r="F66" s="866"/>
      <c r="G66" s="866"/>
      <c r="H66" s="866"/>
      <c r="I66" s="866"/>
      <c r="J66" s="866"/>
      <c r="K66" s="185"/>
      <c r="L66" s="185"/>
      <c r="M66" s="185"/>
      <c r="N66" s="185"/>
      <c r="O66" s="866"/>
      <c r="P66" s="866"/>
      <c r="Q66" s="866"/>
      <c r="R66" s="866"/>
      <c r="S66" s="866"/>
      <c r="T66" s="866"/>
      <c r="U66" s="866"/>
      <c r="V66" s="866"/>
      <c r="W66" s="866"/>
      <c r="X66" s="866"/>
      <c r="Y66" s="866"/>
      <c r="Z66" s="866"/>
      <c r="AA66" s="866"/>
      <c r="AB66" s="866"/>
      <c r="AC66" s="866"/>
      <c r="AD66" s="866"/>
      <c r="AE66" s="866"/>
      <c r="AF66" s="866"/>
      <c r="AG66" s="866"/>
      <c r="AH66" s="185"/>
      <c r="AI66" s="185"/>
      <c r="AJ66" s="866"/>
      <c r="AK66" s="866"/>
      <c r="AL66" s="866"/>
      <c r="AM66" s="866"/>
      <c r="AN66" s="866"/>
      <c r="AO66" s="866"/>
      <c r="AP66" s="866"/>
      <c r="AQ66" s="866"/>
      <c r="AR66" s="866"/>
      <c r="AS66" s="866"/>
      <c r="AT66" s="185"/>
      <c r="AU66" s="185"/>
      <c r="AV66" s="185"/>
      <c r="AW66" s="185"/>
      <c r="AX66" s="185"/>
      <c r="AY66" s="185"/>
      <c r="AZ66" s="185"/>
      <c r="BA66" s="185"/>
      <c r="BB66" s="185"/>
      <c r="BC66" s="185"/>
      <c r="BD66" s="185"/>
      <c r="BE66" s="185"/>
      <c r="BF66" s="185"/>
      <c r="BG66" s="185"/>
      <c r="BH66" s="185"/>
      <c r="BI66" s="185"/>
      <c r="BJ66" s="185"/>
      <c r="BK66" s="185"/>
      <c r="BL66" s="186"/>
      <c r="BM66" s="186"/>
      <c r="BN66" s="186"/>
      <c r="BO66" s="186"/>
      <c r="BP66" s="186"/>
      <c r="BQ66" s="186"/>
      <c r="BR66" s="186"/>
      <c r="BS66" s="186"/>
      <c r="BT66" s="186"/>
      <c r="BU66" s="186"/>
      <c r="BV66" s="186"/>
      <c r="BW66" s="186"/>
      <c r="BX66" s="186"/>
      <c r="BY66" s="186"/>
      <c r="BZ66" s="186"/>
      <c r="CA66" s="186"/>
      <c r="CB66" s="186"/>
      <c r="CC66" s="186"/>
      <c r="CD66" s="186"/>
      <c r="CE66" s="186"/>
      <c r="CF66" s="186"/>
      <c r="CG66" s="186"/>
    </row>
    <row r="67" spans="1:85" ht="15.75">
      <c r="A67" s="185"/>
      <c r="B67" s="866"/>
      <c r="C67" s="866"/>
      <c r="D67" s="866"/>
      <c r="E67" s="866"/>
      <c r="F67" s="866"/>
      <c r="G67" s="866"/>
      <c r="H67" s="866"/>
      <c r="I67" s="866"/>
      <c r="J67" s="866"/>
      <c r="K67" s="185"/>
      <c r="L67" s="185"/>
      <c r="M67" s="185"/>
      <c r="N67" s="185"/>
      <c r="O67" s="866"/>
      <c r="P67" s="866"/>
      <c r="Q67" s="866"/>
      <c r="R67" s="866"/>
      <c r="S67" s="866"/>
      <c r="T67" s="866"/>
      <c r="U67" s="866"/>
      <c r="V67" s="866"/>
      <c r="W67" s="866"/>
      <c r="X67" s="866"/>
      <c r="Y67" s="866"/>
      <c r="Z67" s="866"/>
      <c r="AA67" s="866"/>
      <c r="AB67" s="866"/>
      <c r="AC67" s="866"/>
      <c r="AD67" s="866"/>
      <c r="AE67" s="866"/>
      <c r="AF67" s="866"/>
      <c r="AG67" s="866"/>
      <c r="AH67" s="185"/>
      <c r="AI67" s="185"/>
      <c r="AJ67" s="866"/>
      <c r="AK67" s="866"/>
      <c r="AL67" s="866"/>
      <c r="AM67" s="866"/>
      <c r="AN67" s="866"/>
      <c r="AO67" s="866"/>
      <c r="AP67" s="866"/>
      <c r="AQ67" s="866"/>
      <c r="AR67" s="866"/>
      <c r="AS67" s="866"/>
      <c r="AT67" s="185"/>
      <c r="AU67" s="185"/>
      <c r="AV67" s="185"/>
      <c r="AW67" s="185"/>
      <c r="AX67" s="185"/>
      <c r="AY67" s="185"/>
      <c r="AZ67" s="185"/>
      <c r="BA67" s="185"/>
      <c r="BB67" s="185"/>
      <c r="BC67" s="185"/>
      <c r="BD67" s="185"/>
      <c r="BE67" s="185"/>
      <c r="BF67" s="185"/>
      <c r="BG67" s="185"/>
      <c r="BH67" s="185"/>
      <c r="BI67" s="185"/>
      <c r="BJ67" s="185"/>
      <c r="BK67" s="185"/>
      <c r="BL67" s="186"/>
      <c r="BM67" s="186"/>
      <c r="BN67" s="186"/>
      <c r="BO67" s="186"/>
      <c r="BP67" s="186"/>
      <c r="BQ67" s="186"/>
      <c r="BR67" s="186"/>
      <c r="BS67" s="186"/>
      <c r="BT67" s="186"/>
      <c r="BU67" s="186"/>
      <c r="BV67" s="186"/>
      <c r="BW67" s="186"/>
      <c r="BX67" s="186"/>
      <c r="BY67" s="186"/>
      <c r="BZ67" s="186"/>
      <c r="CA67" s="186"/>
      <c r="CB67" s="186"/>
      <c r="CC67" s="186"/>
      <c r="CD67" s="186"/>
      <c r="CE67" s="186"/>
      <c r="CF67" s="186"/>
      <c r="CG67" s="186"/>
    </row>
    <row r="68" spans="1:85" ht="15.75">
      <c r="A68" s="185"/>
      <c r="B68" s="866"/>
      <c r="C68" s="866"/>
      <c r="D68" s="866"/>
      <c r="E68" s="866"/>
      <c r="F68" s="866"/>
      <c r="G68" s="866"/>
      <c r="H68" s="866"/>
      <c r="I68" s="866"/>
      <c r="J68" s="866"/>
      <c r="K68" s="185"/>
      <c r="L68" s="185"/>
      <c r="M68" s="185"/>
      <c r="N68" s="185"/>
      <c r="O68" s="866"/>
      <c r="P68" s="866"/>
      <c r="Q68" s="866"/>
      <c r="R68" s="866"/>
      <c r="S68" s="866"/>
      <c r="T68" s="866"/>
      <c r="U68" s="866"/>
      <c r="V68" s="866"/>
      <c r="W68" s="866"/>
      <c r="X68" s="866"/>
      <c r="Y68" s="866"/>
      <c r="Z68" s="866"/>
      <c r="AA68" s="866"/>
      <c r="AB68" s="866"/>
      <c r="AC68" s="866"/>
      <c r="AD68" s="866"/>
      <c r="AE68" s="866"/>
      <c r="AF68" s="866"/>
      <c r="AG68" s="866"/>
      <c r="AH68" s="185"/>
      <c r="AI68" s="185"/>
      <c r="AJ68" s="866"/>
      <c r="AK68" s="866"/>
      <c r="AL68" s="866"/>
      <c r="AM68" s="866"/>
      <c r="AN68" s="866"/>
      <c r="AO68" s="866"/>
      <c r="AP68" s="866"/>
      <c r="AQ68" s="866"/>
      <c r="AR68" s="866"/>
      <c r="AS68" s="866"/>
      <c r="AT68" s="185"/>
      <c r="AU68" s="185"/>
      <c r="AV68" s="185"/>
      <c r="AW68" s="185"/>
      <c r="AX68" s="185"/>
      <c r="AY68" s="185"/>
      <c r="AZ68" s="185"/>
      <c r="BA68" s="185"/>
      <c r="BB68" s="185"/>
      <c r="BC68" s="185"/>
      <c r="BD68" s="185"/>
      <c r="BE68" s="185"/>
      <c r="BF68" s="185"/>
      <c r="BG68" s="185"/>
      <c r="BH68" s="185"/>
      <c r="BI68" s="185"/>
      <c r="BJ68" s="185"/>
      <c r="BK68" s="185"/>
      <c r="BL68" s="186"/>
      <c r="BM68" s="186"/>
      <c r="BN68" s="186"/>
      <c r="BO68" s="186"/>
      <c r="BP68" s="186"/>
      <c r="BQ68" s="186"/>
      <c r="BR68" s="186"/>
      <c r="BS68" s="186"/>
      <c r="BT68" s="186"/>
      <c r="BU68" s="186"/>
      <c r="BV68" s="186"/>
      <c r="BW68" s="186"/>
      <c r="BX68" s="186"/>
      <c r="BY68" s="186"/>
      <c r="BZ68" s="186"/>
      <c r="CA68" s="186"/>
      <c r="CB68" s="186"/>
      <c r="CC68" s="186"/>
      <c r="CD68" s="186"/>
      <c r="CE68" s="186"/>
      <c r="CF68" s="186"/>
      <c r="CG68" s="186"/>
    </row>
    <row r="69" spans="1:85" ht="15.75">
      <c r="A69" s="185"/>
      <c r="B69" s="866"/>
      <c r="C69" s="866"/>
      <c r="D69" s="866"/>
      <c r="E69" s="866"/>
      <c r="F69" s="866"/>
      <c r="G69" s="866"/>
      <c r="H69" s="866"/>
      <c r="I69" s="866"/>
      <c r="J69" s="866"/>
      <c r="K69" s="185"/>
      <c r="L69" s="185"/>
      <c r="M69" s="185"/>
      <c r="N69" s="185"/>
      <c r="O69" s="866"/>
      <c r="P69" s="866"/>
      <c r="Q69" s="866"/>
      <c r="R69" s="866"/>
      <c r="S69" s="866"/>
      <c r="T69" s="866"/>
      <c r="U69" s="866"/>
      <c r="V69" s="866"/>
      <c r="W69" s="866"/>
      <c r="X69" s="866"/>
      <c r="Y69" s="866"/>
      <c r="Z69" s="866"/>
      <c r="AA69" s="866"/>
      <c r="AB69" s="866"/>
      <c r="AC69" s="866"/>
      <c r="AD69" s="866"/>
      <c r="AE69" s="866"/>
      <c r="AF69" s="866"/>
      <c r="AG69" s="866"/>
      <c r="AH69" s="185"/>
      <c r="AI69" s="185"/>
      <c r="AJ69" s="866"/>
      <c r="AK69" s="866"/>
      <c r="AL69" s="866"/>
      <c r="AM69" s="866"/>
      <c r="AN69" s="866"/>
      <c r="AO69" s="866"/>
      <c r="AP69" s="866"/>
      <c r="AQ69" s="866"/>
      <c r="AR69" s="866"/>
      <c r="AS69" s="866"/>
      <c r="AT69" s="185"/>
      <c r="AU69" s="185"/>
      <c r="AV69" s="185"/>
      <c r="AW69" s="185"/>
      <c r="AX69" s="185"/>
      <c r="AY69" s="185"/>
      <c r="AZ69" s="185"/>
      <c r="BA69" s="185"/>
      <c r="BB69" s="185"/>
      <c r="BC69" s="185"/>
      <c r="BD69" s="185"/>
      <c r="BE69" s="185"/>
      <c r="BF69" s="185"/>
      <c r="BG69" s="185"/>
      <c r="BH69" s="185"/>
      <c r="BI69" s="185"/>
      <c r="BJ69" s="185"/>
      <c r="BK69" s="185"/>
      <c r="BL69" s="186"/>
      <c r="BM69" s="186"/>
      <c r="BN69" s="186"/>
      <c r="BO69" s="186"/>
      <c r="BP69" s="186"/>
      <c r="BQ69" s="186"/>
      <c r="BR69" s="186"/>
      <c r="BS69" s="186"/>
      <c r="BT69" s="186"/>
      <c r="BU69" s="186"/>
      <c r="BV69" s="186"/>
      <c r="BW69" s="186"/>
      <c r="BX69" s="186"/>
      <c r="BY69" s="186"/>
      <c r="BZ69" s="186"/>
      <c r="CA69" s="186"/>
      <c r="CB69" s="186"/>
      <c r="CC69" s="186"/>
      <c r="CD69" s="186"/>
      <c r="CE69" s="186"/>
      <c r="CF69" s="186"/>
      <c r="CG69" s="186"/>
    </row>
    <row r="70" spans="1:85" ht="15.75">
      <c r="A70" s="185"/>
      <c r="B70" s="866"/>
      <c r="C70" s="866"/>
      <c r="D70" s="866"/>
      <c r="E70" s="866"/>
      <c r="F70" s="866"/>
      <c r="G70" s="866"/>
      <c r="H70" s="866"/>
      <c r="I70" s="866"/>
      <c r="J70" s="866"/>
      <c r="K70" s="185"/>
      <c r="L70" s="185"/>
      <c r="M70" s="185"/>
      <c r="N70" s="185"/>
      <c r="O70" s="866"/>
      <c r="P70" s="866"/>
      <c r="Q70" s="866"/>
      <c r="R70" s="866"/>
      <c r="S70" s="866"/>
      <c r="T70" s="866"/>
      <c r="U70" s="866"/>
      <c r="V70" s="866"/>
      <c r="W70" s="866"/>
      <c r="X70" s="866"/>
      <c r="Y70" s="866"/>
      <c r="Z70" s="866"/>
      <c r="AA70" s="866"/>
      <c r="AB70" s="866"/>
      <c r="AC70" s="866"/>
      <c r="AD70" s="866"/>
      <c r="AE70" s="866"/>
      <c r="AF70" s="866"/>
      <c r="AG70" s="866"/>
      <c r="AH70" s="185"/>
      <c r="AI70" s="185"/>
      <c r="AJ70" s="866"/>
      <c r="AK70" s="866"/>
      <c r="AL70" s="866"/>
      <c r="AM70" s="866"/>
      <c r="AN70" s="866"/>
      <c r="AO70" s="866"/>
      <c r="AP70" s="866"/>
      <c r="AQ70" s="866"/>
      <c r="AR70" s="866"/>
      <c r="AS70" s="866"/>
      <c r="AT70" s="185"/>
      <c r="AU70" s="185"/>
      <c r="AV70" s="185"/>
      <c r="AW70" s="185"/>
      <c r="AX70" s="185"/>
      <c r="AY70" s="185"/>
      <c r="AZ70" s="185"/>
      <c r="BA70" s="185"/>
      <c r="BB70" s="185"/>
      <c r="BC70" s="185"/>
      <c r="BD70" s="185"/>
      <c r="BE70" s="185"/>
      <c r="BF70" s="185"/>
      <c r="BG70" s="185"/>
      <c r="BH70" s="185"/>
      <c r="BI70" s="185"/>
      <c r="BJ70" s="185"/>
      <c r="BK70" s="185"/>
      <c r="BL70" s="186"/>
      <c r="BM70" s="186"/>
      <c r="BN70" s="186"/>
      <c r="BO70" s="186"/>
      <c r="BP70" s="186"/>
      <c r="BQ70" s="186"/>
      <c r="BR70" s="186"/>
      <c r="BS70" s="186"/>
      <c r="BT70" s="186"/>
      <c r="BU70" s="186"/>
      <c r="BV70" s="186"/>
      <c r="BW70" s="186"/>
      <c r="BX70" s="186"/>
      <c r="BY70" s="186"/>
      <c r="BZ70" s="186"/>
      <c r="CA70" s="186"/>
      <c r="CB70" s="186"/>
      <c r="CC70" s="186"/>
      <c r="CD70" s="186"/>
      <c r="CE70" s="186"/>
      <c r="CF70" s="186"/>
      <c r="CG70" s="186"/>
    </row>
    <row r="71" spans="1:85" ht="15.75">
      <c r="A71" s="185"/>
      <c r="B71" s="866"/>
      <c r="C71" s="866"/>
      <c r="D71" s="866"/>
      <c r="E71" s="866"/>
      <c r="F71" s="866"/>
      <c r="G71" s="866"/>
      <c r="H71" s="866"/>
      <c r="I71" s="866"/>
      <c r="J71" s="866"/>
      <c r="K71" s="185"/>
      <c r="L71" s="185"/>
      <c r="M71" s="185"/>
      <c r="N71" s="185"/>
      <c r="O71" s="866"/>
      <c r="P71" s="866"/>
      <c r="Q71" s="866"/>
      <c r="R71" s="866"/>
      <c r="S71" s="866"/>
      <c r="T71" s="866"/>
      <c r="U71" s="866"/>
      <c r="V71" s="866"/>
      <c r="W71" s="866"/>
      <c r="X71" s="866"/>
      <c r="Y71" s="866"/>
      <c r="Z71" s="866"/>
      <c r="AA71" s="866"/>
      <c r="AB71" s="866"/>
      <c r="AC71" s="866"/>
      <c r="AD71" s="866"/>
      <c r="AE71" s="866"/>
      <c r="AF71" s="866"/>
      <c r="AG71" s="866"/>
      <c r="AH71" s="185"/>
      <c r="AI71" s="185"/>
      <c r="AJ71" s="866"/>
      <c r="AK71" s="866"/>
      <c r="AL71" s="866"/>
      <c r="AM71" s="866"/>
      <c r="AN71" s="866"/>
      <c r="AO71" s="866"/>
      <c r="AP71" s="866"/>
      <c r="AQ71" s="866"/>
      <c r="AR71" s="866"/>
      <c r="AS71" s="866"/>
      <c r="AT71" s="185"/>
      <c r="AU71" s="185"/>
      <c r="AV71" s="185"/>
      <c r="AW71" s="185"/>
      <c r="AX71" s="185"/>
      <c r="AY71" s="185"/>
      <c r="AZ71" s="185"/>
      <c r="BA71" s="185"/>
      <c r="BB71" s="185"/>
      <c r="BC71" s="185"/>
      <c r="BD71" s="185"/>
      <c r="BE71" s="185"/>
      <c r="BF71" s="185"/>
      <c r="BG71" s="185"/>
      <c r="BH71" s="185"/>
      <c r="BI71" s="185"/>
      <c r="BJ71" s="185"/>
      <c r="BK71" s="185"/>
      <c r="BL71" s="186"/>
      <c r="BM71" s="186"/>
      <c r="BN71" s="186"/>
      <c r="BO71" s="186"/>
      <c r="BP71" s="186"/>
      <c r="BQ71" s="186"/>
      <c r="BR71" s="186"/>
      <c r="BS71" s="186"/>
      <c r="BT71" s="186"/>
      <c r="BU71" s="186"/>
      <c r="BV71" s="186"/>
      <c r="BW71" s="186"/>
      <c r="BX71" s="186"/>
      <c r="BY71" s="186"/>
      <c r="BZ71" s="186"/>
      <c r="CA71" s="186"/>
      <c r="CB71" s="186"/>
      <c r="CC71" s="186"/>
      <c r="CD71" s="186"/>
      <c r="CE71" s="186"/>
      <c r="CF71" s="186"/>
      <c r="CG71" s="186"/>
    </row>
    <row r="72" spans="1:85" ht="15.75">
      <c r="A72" s="185"/>
      <c r="B72" s="866"/>
      <c r="C72" s="866"/>
      <c r="D72" s="866"/>
      <c r="E72" s="866"/>
      <c r="F72" s="866"/>
      <c r="G72" s="866"/>
      <c r="H72" s="866"/>
      <c r="I72" s="866"/>
      <c r="J72" s="866"/>
      <c r="K72" s="185"/>
      <c r="L72" s="185"/>
      <c r="M72" s="185"/>
      <c r="N72" s="185"/>
      <c r="O72" s="866"/>
      <c r="P72" s="866"/>
      <c r="Q72" s="866"/>
      <c r="R72" s="866"/>
      <c r="S72" s="866"/>
      <c r="T72" s="866"/>
      <c r="U72" s="866"/>
      <c r="V72" s="866"/>
      <c r="W72" s="866"/>
      <c r="X72" s="866"/>
      <c r="Y72" s="866"/>
      <c r="Z72" s="866"/>
      <c r="AA72" s="866"/>
      <c r="AB72" s="866"/>
      <c r="AC72" s="866"/>
      <c r="AD72" s="866"/>
      <c r="AE72" s="866"/>
      <c r="AF72" s="866"/>
      <c r="AG72" s="866"/>
      <c r="AH72" s="185"/>
      <c r="AI72" s="185"/>
      <c r="AJ72" s="866"/>
      <c r="AK72" s="866"/>
      <c r="AL72" s="866"/>
      <c r="AM72" s="866"/>
      <c r="AN72" s="866"/>
      <c r="AO72" s="866"/>
      <c r="AP72" s="866"/>
      <c r="AQ72" s="866"/>
      <c r="AR72" s="866"/>
      <c r="AS72" s="866"/>
      <c r="AT72" s="185"/>
      <c r="AU72" s="185"/>
      <c r="AV72" s="185"/>
      <c r="AW72" s="185"/>
      <c r="AX72" s="185"/>
      <c r="AY72" s="185"/>
      <c r="AZ72" s="185"/>
      <c r="BA72" s="185"/>
      <c r="BB72" s="185"/>
      <c r="BC72" s="185"/>
      <c r="BD72" s="185"/>
      <c r="BE72" s="185"/>
      <c r="BF72" s="185"/>
      <c r="BG72" s="185"/>
      <c r="BH72" s="185"/>
      <c r="BI72" s="185"/>
      <c r="BJ72" s="185"/>
      <c r="BK72" s="185"/>
      <c r="BL72" s="186"/>
      <c r="BM72" s="186"/>
      <c r="BN72" s="186"/>
      <c r="BO72" s="186"/>
      <c r="BP72" s="186"/>
      <c r="BQ72" s="186"/>
      <c r="BR72" s="186"/>
      <c r="BS72" s="186"/>
      <c r="BT72" s="186"/>
      <c r="BU72" s="186"/>
      <c r="BV72" s="186"/>
      <c r="BW72" s="186"/>
      <c r="BX72" s="186"/>
      <c r="BY72" s="186"/>
      <c r="BZ72" s="186"/>
      <c r="CA72" s="186"/>
      <c r="CB72" s="186"/>
      <c r="CC72" s="186"/>
      <c r="CD72" s="186"/>
      <c r="CE72" s="186"/>
      <c r="CF72" s="186"/>
      <c r="CG72" s="186"/>
    </row>
    <row r="73" spans="1:85" ht="15.75">
      <c r="A73" s="185"/>
      <c r="B73" s="866"/>
      <c r="C73" s="866"/>
      <c r="D73" s="866"/>
      <c r="E73" s="866"/>
      <c r="F73" s="866"/>
      <c r="G73" s="866"/>
      <c r="H73" s="866"/>
      <c r="I73" s="866"/>
      <c r="J73" s="866"/>
      <c r="K73" s="185"/>
      <c r="L73" s="185"/>
      <c r="M73" s="185"/>
      <c r="N73" s="185"/>
      <c r="O73" s="866"/>
      <c r="P73" s="866"/>
      <c r="Q73" s="866"/>
      <c r="R73" s="866"/>
      <c r="S73" s="866"/>
      <c r="T73" s="866"/>
      <c r="U73" s="866"/>
      <c r="V73" s="866"/>
      <c r="W73" s="866"/>
      <c r="X73" s="866"/>
      <c r="Y73" s="866"/>
      <c r="Z73" s="866"/>
      <c r="AA73" s="866"/>
      <c r="AB73" s="866"/>
      <c r="AC73" s="866"/>
      <c r="AD73" s="866"/>
      <c r="AE73" s="866"/>
      <c r="AF73" s="866"/>
      <c r="AG73" s="866"/>
      <c r="AH73" s="185"/>
      <c r="AI73" s="185"/>
      <c r="AJ73" s="866"/>
      <c r="AK73" s="866"/>
      <c r="AL73" s="866"/>
      <c r="AM73" s="866"/>
      <c r="AN73" s="866"/>
      <c r="AO73" s="866"/>
      <c r="AP73" s="866"/>
      <c r="AQ73" s="866"/>
      <c r="AR73" s="866"/>
      <c r="AS73" s="866"/>
      <c r="AT73" s="185"/>
      <c r="AU73" s="185"/>
      <c r="AV73" s="185"/>
      <c r="AW73" s="185"/>
      <c r="AX73" s="185"/>
      <c r="AY73" s="185"/>
      <c r="AZ73" s="185"/>
      <c r="BA73" s="185"/>
      <c r="BB73" s="185"/>
      <c r="BC73" s="185"/>
      <c r="BD73" s="185"/>
      <c r="BE73" s="185"/>
      <c r="BF73" s="185"/>
      <c r="BG73" s="185"/>
      <c r="BH73" s="185"/>
      <c r="BI73" s="185"/>
      <c r="BJ73" s="185"/>
      <c r="BK73" s="185"/>
      <c r="BL73" s="186"/>
      <c r="BM73" s="186"/>
      <c r="BN73" s="186"/>
      <c r="BO73" s="186"/>
      <c r="BP73" s="186"/>
      <c r="BQ73" s="186"/>
      <c r="BR73" s="186"/>
      <c r="BS73" s="186"/>
      <c r="BT73" s="186"/>
      <c r="BU73" s="186"/>
      <c r="BV73" s="186"/>
      <c r="BW73" s="186"/>
      <c r="BX73" s="186"/>
      <c r="BY73" s="186"/>
      <c r="BZ73" s="186"/>
      <c r="CA73" s="186"/>
      <c r="CB73" s="186"/>
      <c r="CC73" s="186"/>
      <c r="CD73" s="186"/>
      <c r="CE73" s="186"/>
      <c r="CF73" s="186"/>
      <c r="CG73" s="186"/>
    </row>
    <row r="74" spans="1:85" ht="15.75">
      <c r="A74" s="185"/>
      <c r="B74" s="866"/>
      <c r="C74" s="866"/>
      <c r="D74" s="866"/>
      <c r="E74" s="866"/>
      <c r="F74" s="866"/>
      <c r="G74" s="866"/>
      <c r="H74" s="866"/>
      <c r="I74" s="866"/>
      <c r="J74" s="866"/>
      <c r="K74" s="185"/>
      <c r="L74" s="185"/>
      <c r="M74" s="185"/>
      <c r="N74" s="185"/>
      <c r="O74" s="866"/>
      <c r="P74" s="866"/>
      <c r="Q74" s="866"/>
      <c r="R74" s="866"/>
      <c r="S74" s="866"/>
      <c r="T74" s="866"/>
      <c r="U74" s="866"/>
      <c r="V74" s="866"/>
      <c r="W74" s="866"/>
      <c r="X74" s="866"/>
      <c r="Y74" s="866"/>
      <c r="Z74" s="866"/>
      <c r="AA74" s="866"/>
      <c r="AB74" s="866"/>
      <c r="AC74" s="866"/>
      <c r="AD74" s="866"/>
      <c r="AE74" s="866"/>
      <c r="AF74" s="866"/>
      <c r="AG74" s="866"/>
      <c r="AH74" s="185"/>
      <c r="AI74" s="185"/>
      <c r="AJ74" s="866"/>
      <c r="AK74" s="866"/>
      <c r="AL74" s="866"/>
      <c r="AM74" s="866"/>
      <c r="AN74" s="866"/>
      <c r="AO74" s="866"/>
      <c r="AP74" s="866"/>
      <c r="AQ74" s="866"/>
      <c r="AR74" s="866"/>
      <c r="AS74" s="866"/>
      <c r="AT74" s="185"/>
      <c r="AU74" s="185"/>
      <c r="AV74" s="185"/>
      <c r="AW74" s="185"/>
      <c r="AX74" s="185"/>
      <c r="AY74" s="185"/>
      <c r="AZ74" s="185"/>
      <c r="BA74" s="185"/>
      <c r="BB74" s="185"/>
      <c r="BC74" s="185"/>
      <c r="BD74" s="185"/>
      <c r="BE74" s="185"/>
      <c r="BF74" s="185"/>
      <c r="BG74" s="185"/>
      <c r="BH74" s="185"/>
      <c r="BI74" s="185"/>
      <c r="BJ74" s="185"/>
      <c r="BK74" s="185"/>
      <c r="BL74" s="186"/>
      <c r="BM74" s="186"/>
      <c r="BN74" s="186"/>
      <c r="BO74" s="186"/>
      <c r="BP74" s="186"/>
      <c r="BQ74" s="186"/>
      <c r="BR74" s="186"/>
      <c r="BS74" s="186"/>
      <c r="BT74" s="186"/>
      <c r="BU74" s="186"/>
      <c r="BV74" s="186"/>
      <c r="BW74" s="186"/>
      <c r="BX74" s="186"/>
      <c r="BY74" s="186"/>
      <c r="BZ74" s="186"/>
      <c r="CA74" s="186"/>
      <c r="CB74" s="186"/>
      <c r="CC74" s="186"/>
      <c r="CD74" s="186"/>
      <c r="CE74" s="186"/>
      <c r="CF74" s="186"/>
      <c r="CG74" s="186"/>
    </row>
    <row r="75" spans="1:85" ht="15.75">
      <c r="A75" s="185"/>
      <c r="B75" s="866"/>
      <c r="C75" s="866"/>
      <c r="D75" s="866"/>
      <c r="E75" s="866"/>
      <c r="F75" s="866"/>
      <c r="G75" s="866"/>
      <c r="H75" s="866"/>
      <c r="I75" s="866"/>
      <c r="J75" s="866"/>
      <c r="K75" s="185"/>
      <c r="L75" s="185"/>
      <c r="M75" s="185"/>
      <c r="N75" s="185"/>
      <c r="O75" s="866"/>
      <c r="P75" s="866"/>
      <c r="Q75" s="866"/>
      <c r="R75" s="866"/>
      <c r="S75" s="866"/>
      <c r="T75" s="866"/>
      <c r="U75" s="866"/>
      <c r="V75" s="866"/>
      <c r="W75" s="866"/>
      <c r="X75" s="866"/>
      <c r="Y75" s="866"/>
      <c r="Z75" s="866"/>
      <c r="AA75" s="866"/>
      <c r="AB75" s="866"/>
      <c r="AC75" s="866"/>
      <c r="AD75" s="866"/>
      <c r="AE75" s="866"/>
      <c r="AF75" s="866"/>
      <c r="AG75" s="866"/>
      <c r="AH75" s="185"/>
      <c r="AI75" s="185"/>
      <c r="AJ75" s="866"/>
      <c r="AK75" s="866"/>
      <c r="AL75" s="866"/>
      <c r="AM75" s="866"/>
      <c r="AN75" s="866"/>
      <c r="AO75" s="866"/>
      <c r="AP75" s="866"/>
      <c r="AQ75" s="866"/>
      <c r="AR75" s="866"/>
      <c r="AS75" s="866"/>
      <c r="AT75" s="185"/>
      <c r="AU75" s="185"/>
      <c r="AV75" s="185"/>
      <c r="AW75" s="185"/>
      <c r="AX75" s="185"/>
      <c r="AY75" s="185"/>
      <c r="AZ75" s="185"/>
      <c r="BA75" s="185"/>
      <c r="BB75" s="185"/>
      <c r="BC75" s="185"/>
      <c r="BD75" s="185"/>
      <c r="BE75" s="185"/>
      <c r="BF75" s="185"/>
      <c r="BG75" s="185"/>
      <c r="BH75" s="185"/>
      <c r="BI75" s="185"/>
      <c r="BJ75" s="185"/>
      <c r="BK75" s="185"/>
      <c r="BL75" s="186"/>
      <c r="BM75" s="186"/>
      <c r="BN75" s="186"/>
      <c r="BO75" s="186"/>
      <c r="BP75" s="186"/>
      <c r="BQ75" s="186"/>
      <c r="BR75" s="186"/>
      <c r="BS75" s="186"/>
      <c r="BT75" s="186"/>
      <c r="BU75" s="186"/>
      <c r="BV75" s="186"/>
      <c r="BW75" s="186"/>
      <c r="BX75" s="186"/>
      <c r="BY75" s="186"/>
      <c r="BZ75" s="186"/>
      <c r="CA75" s="186"/>
      <c r="CB75" s="186"/>
      <c r="CC75" s="186"/>
      <c r="CD75" s="186"/>
      <c r="CE75" s="186"/>
      <c r="CF75" s="186"/>
      <c r="CG75" s="186"/>
    </row>
    <row r="76" spans="1:85" ht="15.75">
      <c r="A76" s="185"/>
      <c r="B76" s="866"/>
      <c r="C76" s="866"/>
      <c r="D76" s="866"/>
      <c r="E76" s="866"/>
      <c r="F76" s="866"/>
      <c r="G76" s="866"/>
      <c r="H76" s="866"/>
      <c r="I76" s="866"/>
      <c r="J76" s="866"/>
      <c r="K76" s="185"/>
      <c r="L76" s="185"/>
      <c r="M76" s="185"/>
      <c r="N76" s="185"/>
      <c r="O76" s="866"/>
      <c r="P76" s="866"/>
      <c r="Q76" s="866"/>
      <c r="R76" s="866"/>
      <c r="S76" s="866"/>
      <c r="T76" s="866"/>
      <c r="U76" s="866"/>
      <c r="V76" s="866"/>
      <c r="W76" s="866"/>
      <c r="X76" s="866"/>
      <c r="Y76" s="866"/>
      <c r="Z76" s="866"/>
      <c r="AA76" s="866"/>
      <c r="AB76" s="866"/>
      <c r="AC76" s="866"/>
      <c r="AD76" s="866"/>
      <c r="AE76" s="866"/>
      <c r="AF76" s="866"/>
      <c r="AG76" s="866"/>
      <c r="AH76" s="185"/>
      <c r="AI76" s="185"/>
      <c r="AJ76" s="866"/>
      <c r="AK76" s="866"/>
      <c r="AL76" s="866"/>
      <c r="AM76" s="866"/>
      <c r="AN76" s="866"/>
      <c r="AO76" s="866"/>
      <c r="AP76" s="866"/>
      <c r="AQ76" s="866"/>
      <c r="AR76" s="866"/>
      <c r="AS76" s="866"/>
      <c r="AT76" s="185"/>
      <c r="AU76" s="185"/>
      <c r="AV76" s="185"/>
      <c r="AW76" s="185"/>
      <c r="AX76" s="185"/>
      <c r="AY76" s="185"/>
      <c r="AZ76" s="185"/>
      <c r="BA76" s="185"/>
      <c r="BB76" s="185"/>
      <c r="BC76" s="185"/>
      <c r="BD76" s="185"/>
      <c r="BE76" s="185"/>
      <c r="BF76" s="185"/>
      <c r="BG76" s="185"/>
      <c r="BH76" s="185"/>
      <c r="BI76" s="185"/>
      <c r="BJ76" s="185"/>
      <c r="BK76" s="185"/>
      <c r="BL76" s="186"/>
      <c r="BM76" s="186"/>
      <c r="BN76" s="186"/>
      <c r="BO76" s="186"/>
      <c r="BP76" s="186"/>
      <c r="BQ76" s="186"/>
      <c r="BR76" s="186"/>
      <c r="BS76" s="186"/>
      <c r="BT76" s="186"/>
      <c r="BU76" s="186"/>
      <c r="BV76" s="186"/>
      <c r="BW76" s="186"/>
      <c r="BX76" s="186"/>
      <c r="BY76" s="186"/>
      <c r="BZ76" s="186"/>
      <c r="CA76" s="186"/>
      <c r="CB76" s="186"/>
      <c r="CC76" s="186"/>
      <c r="CD76" s="186"/>
      <c r="CE76" s="186"/>
      <c r="CF76" s="186"/>
      <c r="CG76" s="186"/>
    </row>
    <row r="77" spans="1:85" ht="15.75">
      <c r="A77" s="185"/>
      <c r="B77" s="866"/>
      <c r="C77" s="866"/>
      <c r="D77" s="866"/>
      <c r="E77" s="866"/>
      <c r="F77" s="866"/>
      <c r="G77" s="866"/>
      <c r="H77" s="866"/>
      <c r="I77" s="866"/>
      <c r="J77" s="866"/>
      <c r="K77" s="185"/>
      <c r="L77" s="185"/>
      <c r="M77" s="185"/>
      <c r="N77" s="185"/>
      <c r="O77" s="866"/>
      <c r="P77" s="866"/>
      <c r="Q77" s="866"/>
      <c r="R77" s="866"/>
      <c r="S77" s="866"/>
      <c r="T77" s="866"/>
      <c r="U77" s="866"/>
      <c r="V77" s="866"/>
      <c r="W77" s="866"/>
      <c r="X77" s="866"/>
      <c r="Y77" s="866"/>
      <c r="Z77" s="866"/>
      <c r="AA77" s="866"/>
      <c r="AB77" s="866"/>
      <c r="AC77" s="866"/>
      <c r="AD77" s="866"/>
      <c r="AE77" s="866"/>
      <c r="AF77" s="866"/>
      <c r="AG77" s="866"/>
      <c r="AH77" s="185"/>
      <c r="AI77" s="185"/>
      <c r="AJ77" s="866"/>
      <c r="AK77" s="866"/>
      <c r="AL77" s="866"/>
      <c r="AM77" s="866"/>
      <c r="AN77" s="866"/>
      <c r="AO77" s="866"/>
      <c r="AP77" s="866"/>
      <c r="AQ77" s="866"/>
      <c r="AR77" s="866"/>
      <c r="AS77" s="866"/>
      <c r="AT77" s="185"/>
      <c r="AU77" s="185"/>
      <c r="AV77" s="185"/>
      <c r="AW77" s="185"/>
      <c r="AX77" s="185"/>
      <c r="AY77" s="185"/>
      <c r="AZ77" s="185"/>
      <c r="BA77" s="185"/>
      <c r="BB77" s="185"/>
      <c r="BC77" s="185"/>
      <c r="BD77" s="185"/>
      <c r="BE77" s="185"/>
      <c r="BF77" s="185"/>
      <c r="BG77" s="185"/>
      <c r="BH77" s="185"/>
      <c r="BI77" s="185"/>
      <c r="BJ77" s="185"/>
      <c r="BK77" s="185"/>
      <c r="BL77" s="186"/>
      <c r="BM77" s="186"/>
      <c r="BN77" s="186"/>
      <c r="BO77" s="186"/>
      <c r="BP77" s="186"/>
      <c r="BQ77" s="186"/>
      <c r="BR77" s="186"/>
      <c r="BS77" s="186"/>
      <c r="BT77" s="186"/>
      <c r="BU77" s="186"/>
      <c r="BV77" s="186"/>
      <c r="BW77" s="186"/>
      <c r="BX77" s="186"/>
      <c r="BY77" s="186"/>
      <c r="BZ77" s="186"/>
      <c r="CA77" s="186"/>
      <c r="CB77" s="186"/>
      <c r="CC77" s="186"/>
      <c r="CD77" s="186"/>
      <c r="CE77" s="186"/>
      <c r="CF77" s="186"/>
      <c r="CG77" s="186"/>
    </row>
    <row r="78" spans="1:85" ht="15.75">
      <c r="A78" s="185"/>
      <c r="B78" s="866"/>
      <c r="C78" s="866"/>
      <c r="D78" s="866"/>
      <c r="E78" s="866"/>
      <c r="F78" s="866"/>
      <c r="G78" s="866"/>
      <c r="H78" s="866"/>
      <c r="I78" s="866"/>
      <c r="J78" s="866"/>
      <c r="K78" s="185"/>
      <c r="L78" s="185"/>
      <c r="M78" s="185"/>
      <c r="N78" s="185"/>
      <c r="O78" s="866"/>
      <c r="P78" s="866"/>
      <c r="Q78" s="866"/>
      <c r="R78" s="866"/>
      <c r="S78" s="866"/>
      <c r="T78" s="866"/>
      <c r="U78" s="866"/>
      <c r="V78" s="866"/>
      <c r="W78" s="866"/>
      <c r="X78" s="866"/>
      <c r="Y78" s="866"/>
      <c r="Z78" s="866"/>
      <c r="AA78" s="866"/>
      <c r="AB78" s="866"/>
      <c r="AC78" s="866"/>
      <c r="AD78" s="866"/>
      <c r="AE78" s="866"/>
      <c r="AF78" s="866"/>
      <c r="AG78" s="866"/>
      <c r="AH78" s="185"/>
      <c r="AI78" s="185"/>
      <c r="AJ78" s="866"/>
      <c r="AK78" s="866"/>
      <c r="AL78" s="866"/>
      <c r="AM78" s="866"/>
      <c r="AN78" s="866"/>
      <c r="AO78" s="866"/>
      <c r="AP78" s="866"/>
      <c r="AQ78" s="866"/>
      <c r="AR78" s="866"/>
      <c r="AS78" s="866"/>
      <c r="AT78" s="185"/>
      <c r="AU78" s="185"/>
      <c r="AV78" s="185"/>
      <c r="AW78" s="185"/>
      <c r="AX78" s="185"/>
      <c r="AY78" s="185"/>
      <c r="AZ78" s="185"/>
      <c r="BA78" s="185"/>
      <c r="BB78" s="185"/>
      <c r="BC78" s="185"/>
      <c r="BD78" s="185"/>
      <c r="BE78" s="185"/>
      <c r="BF78" s="185"/>
      <c r="BG78" s="185"/>
      <c r="BH78" s="185"/>
      <c r="BI78" s="185"/>
      <c r="BJ78" s="185"/>
      <c r="BK78" s="185"/>
      <c r="BL78" s="186"/>
      <c r="BM78" s="186"/>
      <c r="BN78" s="186"/>
      <c r="BO78" s="186"/>
      <c r="BP78" s="186"/>
      <c r="BQ78" s="186"/>
      <c r="BR78" s="186"/>
      <c r="BS78" s="186"/>
      <c r="BT78" s="186"/>
      <c r="BU78" s="186"/>
      <c r="BV78" s="186"/>
      <c r="BW78" s="186"/>
      <c r="BX78" s="186"/>
      <c r="BY78" s="186"/>
      <c r="BZ78" s="186"/>
      <c r="CA78" s="186"/>
      <c r="CB78" s="186"/>
      <c r="CC78" s="186"/>
      <c r="CD78" s="186"/>
      <c r="CE78" s="186"/>
      <c r="CF78" s="186"/>
      <c r="CG78" s="186"/>
    </row>
    <row r="79" spans="1:85" ht="15.75">
      <c r="A79" s="185"/>
      <c r="B79" s="866"/>
      <c r="C79" s="866"/>
      <c r="D79" s="866"/>
      <c r="E79" s="866"/>
      <c r="F79" s="866"/>
      <c r="G79" s="866"/>
      <c r="H79" s="866"/>
      <c r="I79" s="866"/>
      <c r="J79" s="866"/>
      <c r="K79" s="185"/>
      <c r="L79" s="185"/>
      <c r="M79" s="185"/>
      <c r="N79" s="185"/>
      <c r="O79" s="866"/>
      <c r="P79" s="866"/>
      <c r="Q79" s="866"/>
      <c r="R79" s="866"/>
      <c r="S79" s="866"/>
      <c r="T79" s="866"/>
      <c r="U79" s="866"/>
      <c r="V79" s="866"/>
      <c r="W79" s="866"/>
      <c r="X79" s="866"/>
      <c r="Y79" s="866"/>
      <c r="Z79" s="866"/>
      <c r="AA79" s="866"/>
      <c r="AB79" s="866"/>
      <c r="AC79" s="866"/>
      <c r="AD79" s="866"/>
      <c r="AE79" s="866"/>
      <c r="AF79" s="866"/>
      <c r="AG79" s="866"/>
      <c r="AH79" s="185"/>
      <c r="AI79" s="185"/>
      <c r="AJ79" s="866"/>
      <c r="AK79" s="866"/>
      <c r="AL79" s="866"/>
      <c r="AM79" s="866"/>
      <c r="AN79" s="866"/>
      <c r="AO79" s="866"/>
      <c r="AP79" s="866"/>
      <c r="AQ79" s="866"/>
      <c r="AR79" s="866"/>
      <c r="AS79" s="866"/>
      <c r="AT79" s="185"/>
      <c r="AU79" s="185"/>
      <c r="AV79" s="185"/>
      <c r="AW79" s="185"/>
      <c r="AX79" s="185"/>
      <c r="AY79" s="185"/>
      <c r="AZ79" s="185"/>
      <c r="BA79" s="185"/>
      <c r="BB79" s="185"/>
      <c r="BC79" s="185"/>
      <c r="BD79" s="185"/>
      <c r="BE79" s="185"/>
      <c r="BF79" s="185"/>
      <c r="BG79" s="185"/>
      <c r="BH79" s="185"/>
      <c r="BI79" s="185"/>
      <c r="BJ79" s="185"/>
      <c r="BK79" s="185"/>
      <c r="BL79" s="186"/>
      <c r="BM79" s="186"/>
      <c r="BN79" s="186"/>
      <c r="BO79" s="186"/>
      <c r="BP79" s="186"/>
      <c r="BQ79" s="186"/>
      <c r="BR79" s="186"/>
      <c r="BS79" s="186"/>
      <c r="BT79" s="186"/>
      <c r="BU79" s="186"/>
      <c r="BV79" s="186"/>
      <c r="BW79" s="186"/>
      <c r="BX79" s="186"/>
      <c r="BY79" s="186"/>
      <c r="BZ79" s="186"/>
      <c r="CA79" s="186"/>
      <c r="CB79" s="186"/>
      <c r="CC79" s="186"/>
      <c r="CD79" s="186"/>
      <c r="CE79" s="186"/>
      <c r="CF79" s="186"/>
      <c r="CG79" s="186"/>
    </row>
    <row r="80" spans="1:85" ht="15.75">
      <c r="A80" s="185"/>
      <c r="B80" s="866"/>
      <c r="C80" s="866"/>
      <c r="D80" s="866"/>
      <c r="E80" s="866"/>
      <c r="F80" s="866"/>
      <c r="G80" s="866"/>
      <c r="H80" s="866"/>
      <c r="I80" s="866"/>
      <c r="J80" s="866"/>
      <c r="K80" s="185"/>
      <c r="L80" s="185"/>
      <c r="M80" s="185"/>
      <c r="N80" s="185"/>
      <c r="O80" s="866"/>
      <c r="P80" s="866"/>
      <c r="Q80" s="866"/>
      <c r="R80" s="866"/>
      <c r="S80" s="866"/>
      <c r="T80" s="866"/>
      <c r="U80" s="866"/>
      <c r="V80" s="866"/>
      <c r="W80" s="866"/>
      <c r="X80" s="866"/>
      <c r="Y80" s="866"/>
      <c r="Z80" s="866"/>
      <c r="AA80" s="866"/>
      <c r="AB80" s="866"/>
      <c r="AC80" s="866"/>
      <c r="AD80" s="866"/>
      <c r="AE80" s="866"/>
      <c r="AF80" s="866"/>
      <c r="AG80" s="866"/>
      <c r="AH80" s="185"/>
      <c r="AI80" s="185"/>
      <c r="AJ80" s="866"/>
      <c r="AK80" s="866"/>
      <c r="AL80" s="866"/>
      <c r="AM80" s="866"/>
      <c r="AN80" s="866"/>
      <c r="AO80" s="866"/>
      <c r="AP80" s="866"/>
      <c r="AQ80" s="866"/>
      <c r="AR80" s="866"/>
      <c r="AS80" s="866"/>
      <c r="AT80" s="185"/>
      <c r="AU80" s="185"/>
      <c r="AV80" s="185"/>
      <c r="AW80" s="185"/>
      <c r="AX80" s="185"/>
      <c r="AY80" s="185"/>
      <c r="AZ80" s="185"/>
      <c r="BA80" s="185"/>
      <c r="BB80" s="185"/>
      <c r="BC80" s="185"/>
      <c r="BD80" s="185"/>
      <c r="BE80" s="185"/>
      <c r="BF80" s="185"/>
      <c r="BG80" s="185"/>
      <c r="BH80" s="185"/>
      <c r="BI80" s="185"/>
      <c r="BJ80" s="185"/>
      <c r="BK80" s="185"/>
      <c r="BL80" s="186"/>
      <c r="BM80" s="186"/>
      <c r="BN80" s="186"/>
      <c r="BO80" s="186"/>
      <c r="BP80" s="186"/>
      <c r="BQ80" s="186"/>
      <c r="BR80" s="186"/>
      <c r="BS80" s="186"/>
      <c r="BT80" s="186"/>
      <c r="BU80" s="186"/>
      <c r="BV80" s="186"/>
      <c r="BW80" s="186"/>
      <c r="BX80" s="186"/>
      <c r="BY80" s="186"/>
      <c r="BZ80" s="186"/>
      <c r="CA80" s="186"/>
      <c r="CB80" s="186"/>
      <c r="CC80" s="186"/>
      <c r="CD80" s="186"/>
      <c r="CE80" s="186"/>
      <c r="CF80" s="186"/>
      <c r="CG80" s="186"/>
    </row>
    <row r="81" spans="1:85" ht="15.75">
      <c r="A81" s="185"/>
      <c r="B81" s="866"/>
      <c r="C81" s="866"/>
      <c r="D81" s="866"/>
      <c r="E81" s="866"/>
      <c r="F81" s="866"/>
      <c r="G81" s="866"/>
      <c r="H81" s="866"/>
      <c r="I81" s="866"/>
      <c r="J81" s="866"/>
      <c r="K81" s="185"/>
      <c r="L81" s="185"/>
      <c r="M81" s="185"/>
      <c r="N81" s="185"/>
      <c r="O81" s="866"/>
      <c r="P81" s="866"/>
      <c r="Q81" s="866"/>
      <c r="R81" s="866"/>
      <c r="S81" s="866"/>
      <c r="T81" s="866"/>
      <c r="U81" s="866"/>
      <c r="V81" s="866"/>
      <c r="W81" s="866"/>
      <c r="X81" s="866"/>
      <c r="Y81" s="866"/>
      <c r="Z81" s="866"/>
      <c r="AA81" s="866"/>
      <c r="AB81" s="866"/>
      <c r="AC81" s="866"/>
      <c r="AD81" s="866"/>
      <c r="AE81" s="866"/>
      <c r="AF81" s="866"/>
      <c r="AG81" s="866"/>
      <c r="AH81" s="185"/>
      <c r="AI81" s="185"/>
      <c r="AJ81" s="866"/>
      <c r="AK81" s="866"/>
      <c r="AL81" s="866"/>
      <c r="AM81" s="866"/>
      <c r="AN81" s="866"/>
      <c r="AO81" s="866"/>
      <c r="AP81" s="866"/>
      <c r="AQ81" s="866"/>
      <c r="AR81" s="866"/>
      <c r="AS81" s="866"/>
      <c r="AT81" s="185"/>
      <c r="AU81" s="185"/>
      <c r="AV81" s="185"/>
      <c r="AW81" s="185"/>
      <c r="AX81" s="185"/>
      <c r="AY81" s="185"/>
      <c r="AZ81" s="185"/>
      <c r="BA81" s="185"/>
      <c r="BB81" s="185"/>
      <c r="BC81" s="185"/>
      <c r="BD81" s="185"/>
      <c r="BE81" s="185"/>
      <c r="BF81" s="185"/>
      <c r="BG81" s="185"/>
      <c r="BH81" s="185"/>
      <c r="BI81" s="185"/>
      <c r="BJ81" s="185"/>
      <c r="BK81" s="185"/>
      <c r="BL81" s="186"/>
      <c r="BM81" s="186"/>
      <c r="BN81" s="186"/>
      <c r="BO81" s="186"/>
      <c r="BP81" s="186"/>
      <c r="BQ81" s="186"/>
      <c r="BR81" s="186"/>
      <c r="BS81" s="186"/>
      <c r="BT81" s="186"/>
      <c r="BU81" s="186"/>
      <c r="BV81" s="186"/>
      <c r="BW81" s="186"/>
      <c r="BX81" s="186"/>
      <c r="BY81" s="186"/>
      <c r="BZ81" s="186"/>
      <c r="CA81" s="186"/>
      <c r="CB81" s="186"/>
      <c r="CC81" s="186"/>
      <c r="CD81" s="186"/>
      <c r="CE81" s="186"/>
      <c r="CF81" s="186"/>
      <c r="CG81" s="186"/>
    </row>
    <row r="82" spans="1:85" ht="15.75">
      <c r="A82" s="185"/>
      <c r="B82" s="866"/>
      <c r="C82" s="866"/>
      <c r="D82" s="866"/>
      <c r="E82" s="866"/>
      <c r="F82" s="866"/>
      <c r="G82" s="866"/>
      <c r="H82" s="866"/>
      <c r="I82" s="866"/>
      <c r="J82" s="866"/>
      <c r="K82" s="185"/>
      <c r="L82" s="185"/>
      <c r="M82" s="185"/>
      <c r="N82" s="185"/>
      <c r="O82" s="866"/>
      <c r="P82" s="866"/>
      <c r="Q82" s="866"/>
      <c r="R82" s="866"/>
      <c r="S82" s="866"/>
      <c r="T82" s="866"/>
      <c r="U82" s="866"/>
      <c r="V82" s="866"/>
      <c r="W82" s="866"/>
      <c r="X82" s="866"/>
      <c r="Y82" s="866"/>
      <c r="Z82" s="866"/>
      <c r="AA82" s="866"/>
      <c r="AB82" s="866"/>
      <c r="AC82" s="866"/>
      <c r="AD82" s="866"/>
      <c r="AE82" s="866"/>
      <c r="AF82" s="866"/>
      <c r="AG82" s="866"/>
      <c r="AH82" s="185"/>
      <c r="AI82" s="185"/>
      <c r="AJ82" s="866"/>
      <c r="AK82" s="866"/>
      <c r="AL82" s="866"/>
      <c r="AM82" s="866"/>
      <c r="AN82" s="866"/>
      <c r="AO82" s="866"/>
      <c r="AP82" s="866"/>
      <c r="AQ82" s="866"/>
      <c r="AR82" s="866"/>
      <c r="AS82" s="866"/>
      <c r="AT82" s="185"/>
      <c r="AU82" s="185"/>
      <c r="AV82" s="185"/>
      <c r="AW82" s="185"/>
      <c r="AX82" s="185"/>
      <c r="AY82" s="185"/>
      <c r="AZ82" s="185"/>
      <c r="BA82" s="185"/>
      <c r="BB82" s="185"/>
      <c r="BC82" s="185"/>
      <c r="BD82" s="185"/>
      <c r="BE82" s="185"/>
      <c r="BF82" s="185"/>
      <c r="BG82" s="185"/>
      <c r="BH82" s="185"/>
      <c r="BI82" s="185"/>
      <c r="BJ82" s="185"/>
      <c r="BK82" s="185"/>
      <c r="BL82" s="186"/>
      <c r="BM82" s="186"/>
      <c r="BN82" s="186"/>
      <c r="BO82" s="186"/>
      <c r="BP82" s="186"/>
      <c r="BQ82" s="186"/>
      <c r="BR82" s="186"/>
      <c r="BS82" s="186"/>
      <c r="BT82" s="186"/>
      <c r="BU82" s="186"/>
      <c r="BV82" s="186"/>
      <c r="BW82" s="186"/>
      <c r="BX82" s="186"/>
      <c r="BY82" s="186"/>
      <c r="BZ82" s="186"/>
      <c r="CA82" s="186"/>
      <c r="CB82" s="186"/>
      <c r="CC82" s="186"/>
      <c r="CD82" s="186"/>
      <c r="CE82" s="186"/>
      <c r="CF82" s="186"/>
      <c r="CG82" s="186"/>
    </row>
    <row r="83" spans="1:85" ht="15.75">
      <c r="A83" s="185"/>
      <c r="B83" s="866"/>
      <c r="C83" s="866"/>
      <c r="D83" s="866"/>
      <c r="E83" s="866"/>
      <c r="F83" s="866"/>
      <c r="G83" s="866"/>
      <c r="H83" s="866"/>
      <c r="I83" s="866"/>
      <c r="J83" s="866"/>
      <c r="K83" s="185"/>
      <c r="L83" s="185"/>
      <c r="M83" s="185"/>
      <c r="N83" s="185"/>
      <c r="O83" s="866"/>
      <c r="P83" s="866"/>
      <c r="Q83" s="866"/>
      <c r="R83" s="866"/>
      <c r="S83" s="866"/>
      <c r="T83" s="866"/>
      <c r="U83" s="866"/>
      <c r="V83" s="866"/>
      <c r="W83" s="866"/>
      <c r="X83" s="866"/>
      <c r="Y83" s="866"/>
      <c r="Z83" s="866"/>
      <c r="AA83" s="866"/>
      <c r="AB83" s="866"/>
      <c r="AC83" s="866"/>
      <c r="AD83" s="866"/>
      <c r="AE83" s="866"/>
      <c r="AF83" s="866"/>
      <c r="AG83" s="866"/>
      <c r="AH83" s="185"/>
      <c r="AI83" s="185"/>
      <c r="AJ83" s="866"/>
      <c r="AK83" s="866"/>
      <c r="AL83" s="866"/>
      <c r="AM83" s="866"/>
      <c r="AN83" s="866"/>
      <c r="AO83" s="866"/>
      <c r="AP83" s="866"/>
      <c r="AQ83" s="866"/>
      <c r="AR83" s="866"/>
      <c r="AS83" s="866"/>
      <c r="AT83" s="185"/>
      <c r="AU83" s="185"/>
      <c r="AV83" s="185"/>
      <c r="AW83" s="185"/>
      <c r="AX83" s="185"/>
      <c r="AY83" s="185"/>
      <c r="AZ83" s="185"/>
      <c r="BA83" s="185"/>
      <c r="BB83" s="185"/>
      <c r="BC83" s="185"/>
      <c r="BD83" s="185"/>
      <c r="BE83" s="185"/>
      <c r="BF83" s="185"/>
      <c r="BG83" s="185"/>
      <c r="BH83" s="185"/>
      <c r="BI83" s="185"/>
      <c r="BJ83" s="185"/>
      <c r="BK83" s="185"/>
      <c r="BL83" s="186"/>
      <c r="BM83" s="186"/>
      <c r="BN83" s="186"/>
      <c r="BO83" s="186"/>
      <c r="BP83" s="186"/>
      <c r="BQ83" s="186"/>
      <c r="BR83" s="186"/>
      <c r="BS83" s="186"/>
      <c r="BT83" s="186"/>
      <c r="BU83" s="186"/>
      <c r="BV83" s="186"/>
      <c r="BW83" s="186"/>
      <c r="BX83" s="186"/>
      <c r="BY83" s="186"/>
      <c r="BZ83" s="186"/>
      <c r="CA83" s="186"/>
      <c r="CB83" s="186"/>
      <c r="CC83" s="186"/>
      <c r="CD83" s="186"/>
      <c r="CE83" s="186"/>
      <c r="CF83" s="186"/>
      <c r="CG83" s="186"/>
    </row>
    <row r="84" spans="1:85" ht="15.75">
      <c r="A84" s="185"/>
      <c r="B84" s="866"/>
      <c r="C84" s="866"/>
      <c r="D84" s="866"/>
      <c r="E84" s="866"/>
      <c r="F84" s="866"/>
      <c r="G84" s="866"/>
      <c r="H84" s="866"/>
      <c r="I84" s="866"/>
      <c r="J84" s="866"/>
      <c r="K84" s="185"/>
      <c r="L84" s="185"/>
      <c r="M84" s="185"/>
      <c r="N84" s="185"/>
      <c r="O84" s="866"/>
      <c r="P84" s="866"/>
      <c r="Q84" s="866"/>
      <c r="R84" s="866"/>
      <c r="S84" s="866"/>
      <c r="T84" s="866"/>
      <c r="U84" s="866"/>
      <c r="V84" s="866"/>
      <c r="W84" s="866"/>
      <c r="X84" s="866"/>
      <c r="Y84" s="866"/>
      <c r="Z84" s="866"/>
      <c r="AA84" s="866"/>
      <c r="AB84" s="866"/>
      <c r="AC84" s="866"/>
      <c r="AD84" s="866"/>
      <c r="AE84" s="866"/>
      <c r="AF84" s="866"/>
      <c r="AG84" s="866"/>
      <c r="AH84" s="185"/>
      <c r="AI84" s="185"/>
      <c r="AJ84" s="866"/>
      <c r="AK84" s="866"/>
      <c r="AL84" s="866"/>
      <c r="AM84" s="866"/>
      <c r="AN84" s="866"/>
      <c r="AO84" s="866"/>
      <c r="AP84" s="866"/>
      <c r="AQ84" s="866"/>
      <c r="AR84" s="866"/>
      <c r="AS84" s="866"/>
      <c r="AT84" s="185"/>
      <c r="AU84" s="185"/>
      <c r="AV84" s="185"/>
      <c r="AW84" s="185"/>
      <c r="AX84" s="185"/>
      <c r="AY84" s="185"/>
      <c r="AZ84" s="185"/>
      <c r="BA84" s="185"/>
      <c r="BB84" s="185"/>
      <c r="BC84" s="185"/>
      <c r="BD84" s="185"/>
      <c r="BE84" s="185"/>
      <c r="BF84" s="185"/>
      <c r="BG84" s="185"/>
      <c r="BH84" s="185"/>
      <c r="BI84" s="185"/>
      <c r="BJ84" s="185"/>
      <c r="BK84" s="185"/>
      <c r="BL84" s="186"/>
      <c r="BM84" s="186"/>
      <c r="BN84" s="186"/>
      <c r="BO84" s="186"/>
      <c r="BP84" s="186"/>
      <c r="BQ84" s="186"/>
      <c r="BR84" s="186"/>
      <c r="BS84" s="186"/>
      <c r="BT84" s="186"/>
      <c r="BU84" s="186"/>
      <c r="BV84" s="186"/>
      <c r="BW84" s="186"/>
      <c r="BX84" s="186"/>
      <c r="BY84" s="186"/>
      <c r="BZ84" s="186"/>
      <c r="CA84" s="186"/>
      <c r="CB84" s="186"/>
      <c r="CC84" s="186"/>
      <c r="CD84" s="186"/>
      <c r="CE84" s="186"/>
      <c r="CF84" s="186"/>
      <c r="CG84" s="186"/>
    </row>
    <row r="85" spans="1:85" ht="15.75">
      <c r="A85" s="185"/>
      <c r="B85" s="866"/>
      <c r="C85" s="866"/>
      <c r="D85" s="866"/>
      <c r="E85" s="866"/>
      <c r="F85" s="866"/>
      <c r="G85" s="866"/>
      <c r="H85" s="866"/>
      <c r="I85" s="866"/>
      <c r="J85" s="866"/>
      <c r="K85" s="185"/>
      <c r="L85" s="185"/>
      <c r="M85" s="185"/>
      <c r="N85" s="185"/>
      <c r="O85" s="866"/>
      <c r="P85" s="866"/>
      <c r="Q85" s="866"/>
      <c r="R85" s="866"/>
      <c r="S85" s="866"/>
      <c r="T85" s="866"/>
      <c r="U85" s="866"/>
      <c r="V85" s="866"/>
      <c r="W85" s="866"/>
      <c r="X85" s="866"/>
      <c r="Y85" s="866"/>
      <c r="Z85" s="866"/>
      <c r="AA85" s="866"/>
      <c r="AB85" s="866"/>
      <c r="AC85" s="866"/>
      <c r="AD85" s="866"/>
      <c r="AE85" s="866"/>
      <c r="AF85" s="866"/>
      <c r="AG85" s="866"/>
      <c r="AH85" s="185"/>
      <c r="AI85" s="185"/>
      <c r="AJ85" s="866"/>
      <c r="AK85" s="866"/>
      <c r="AL85" s="866"/>
      <c r="AM85" s="866"/>
      <c r="AN85" s="866"/>
      <c r="AO85" s="866"/>
      <c r="AP85" s="866"/>
      <c r="AQ85" s="866"/>
      <c r="AR85" s="866"/>
      <c r="AS85" s="866"/>
      <c r="AT85" s="185"/>
      <c r="AU85" s="185"/>
      <c r="AV85" s="185"/>
      <c r="AW85" s="185"/>
      <c r="AX85" s="185"/>
      <c r="AY85" s="185"/>
      <c r="AZ85" s="185"/>
      <c r="BA85" s="185"/>
      <c r="BB85" s="185"/>
      <c r="BC85" s="185"/>
      <c r="BD85" s="185"/>
      <c r="BE85" s="185"/>
      <c r="BF85" s="185"/>
      <c r="BG85" s="185"/>
      <c r="BH85" s="185"/>
      <c r="BI85" s="185"/>
      <c r="BJ85" s="185"/>
      <c r="BK85" s="185"/>
      <c r="BL85" s="186"/>
      <c r="BM85" s="186"/>
      <c r="BN85" s="186"/>
      <c r="BO85" s="186"/>
      <c r="BP85" s="186"/>
      <c r="BQ85" s="186"/>
      <c r="BR85" s="186"/>
      <c r="BS85" s="186"/>
      <c r="BT85" s="186"/>
      <c r="BU85" s="186"/>
      <c r="BV85" s="186"/>
      <c r="BW85" s="186"/>
      <c r="BX85" s="186"/>
      <c r="BY85" s="186"/>
      <c r="BZ85" s="186"/>
      <c r="CA85" s="186"/>
      <c r="CB85" s="186"/>
      <c r="CC85" s="186"/>
      <c r="CD85" s="186"/>
      <c r="CE85" s="186"/>
      <c r="CF85" s="186"/>
      <c r="CG85" s="186"/>
    </row>
    <row r="86" spans="1:85" ht="15.75">
      <c r="A86" s="185"/>
      <c r="B86" s="866"/>
      <c r="C86" s="866"/>
      <c r="D86" s="866"/>
      <c r="E86" s="866"/>
      <c r="F86" s="866"/>
      <c r="G86" s="866"/>
      <c r="H86" s="866"/>
      <c r="I86" s="866"/>
      <c r="J86" s="866"/>
      <c r="K86" s="185"/>
      <c r="L86" s="185"/>
      <c r="M86" s="185"/>
      <c r="N86" s="185"/>
      <c r="O86" s="866"/>
      <c r="P86" s="866"/>
      <c r="Q86" s="866"/>
      <c r="R86" s="866"/>
      <c r="S86" s="866"/>
      <c r="T86" s="866"/>
      <c r="U86" s="866"/>
      <c r="V86" s="866"/>
      <c r="W86" s="866"/>
      <c r="X86" s="866"/>
      <c r="Y86" s="866"/>
      <c r="Z86" s="866"/>
      <c r="AA86" s="866"/>
      <c r="AB86" s="866"/>
      <c r="AC86" s="866"/>
      <c r="AD86" s="866"/>
      <c r="AE86" s="866"/>
      <c r="AF86" s="866"/>
      <c r="AG86" s="866"/>
      <c r="AH86" s="185"/>
      <c r="AI86" s="185"/>
      <c r="AJ86" s="866"/>
      <c r="AK86" s="866"/>
      <c r="AL86" s="866"/>
      <c r="AM86" s="866"/>
      <c r="AN86" s="866"/>
      <c r="AO86" s="866"/>
      <c r="AP86" s="866"/>
      <c r="AQ86" s="866"/>
      <c r="AR86" s="866"/>
      <c r="AS86" s="866"/>
      <c r="AT86" s="185"/>
      <c r="AU86" s="185"/>
      <c r="AV86" s="185"/>
      <c r="AW86" s="185"/>
      <c r="AX86" s="185"/>
      <c r="AY86" s="185"/>
      <c r="AZ86" s="185"/>
      <c r="BA86" s="185"/>
      <c r="BB86" s="185"/>
      <c r="BC86" s="185"/>
      <c r="BD86" s="185"/>
      <c r="BE86" s="185"/>
      <c r="BF86" s="185"/>
      <c r="BG86" s="185"/>
      <c r="BH86" s="185"/>
      <c r="BI86" s="185"/>
      <c r="BJ86" s="185"/>
      <c r="BK86" s="185"/>
      <c r="BL86" s="186"/>
      <c r="BM86" s="186"/>
      <c r="BN86" s="186"/>
      <c r="BO86" s="186"/>
      <c r="BP86" s="186"/>
      <c r="BQ86" s="186"/>
      <c r="BR86" s="186"/>
      <c r="BS86" s="186"/>
      <c r="BT86" s="186"/>
      <c r="BU86" s="186"/>
      <c r="BV86" s="186"/>
      <c r="BW86" s="186"/>
      <c r="BX86" s="186"/>
      <c r="BY86" s="186"/>
      <c r="BZ86" s="186"/>
      <c r="CA86" s="186"/>
      <c r="CB86" s="186"/>
      <c r="CC86" s="186"/>
      <c r="CD86" s="186"/>
      <c r="CE86" s="186"/>
      <c r="CF86" s="186"/>
      <c r="CG86" s="186"/>
    </row>
    <row r="87" spans="1:85" ht="15.75">
      <c r="A87" s="185"/>
      <c r="B87" s="866"/>
      <c r="C87" s="866"/>
      <c r="D87" s="866"/>
      <c r="E87" s="866"/>
      <c r="F87" s="866"/>
      <c r="G87" s="866"/>
      <c r="H87" s="866"/>
      <c r="I87" s="866"/>
      <c r="J87" s="866"/>
      <c r="K87" s="185"/>
      <c r="L87" s="185"/>
      <c r="M87" s="185"/>
      <c r="N87" s="185"/>
      <c r="O87" s="866"/>
      <c r="P87" s="866"/>
      <c r="Q87" s="866"/>
      <c r="R87" s="866"/>
      <c r="S87" s="866"/>
      <c r="T87" s="866"/>
      <c r="U87" s="866"/>
      <c r="V87" s="866"/>
      <c r="W87" s="866"/>
      <c r="X87" s="866"/>
      <c r="Y87" s="866"/>
      <c r="Z87" s="866"/>
      <c r="AA87" s="866"/>
      <c r="AB87" s="866"/>
      <c r="AC87" s="866"/>
      <c r="AD87" s="866"/>
      <c r="AE87" s="866"/>
      <c r="AF87" s="866"/>
      <c r="AG87" s="866"/>
      <c r="AH87" s="185"/>
      <c r="AI87" s="185"/>
      <c r="AJ87" s="866"/>
      <c r="AK87" s="866"/>
      <c r="AL87" s="866"/>
      <c r="AM87" s="866"/>
      <c r="AN87" s="866"/>
      <c r="AO87" s="866"/>
      <c r="AP87" s="866"/>
      <c r="AQ87" s="866"/>
      <c r="AR87" s="866"/>
      <c r="AS87" s="866"/>
      <c r="AT87" s="185"/>
      <c r="AU87" s="185"/>
      <c r="AV87" s="185"/>
      <c r="AW87" s="185"/>
      <c r="AX87" s="185"/>
      <c r="AY87" s="185"/>
      <c r="AZ87" s="185"/>
      <c r="BA87" s="185"/>
      <c r="BB87" s="185"/>
      <c r="BC87" s="185"/>
      <c r="BD87" s="185"/>
      <c r="BE87" s="185"/>
      <c r="BF87" s="185"/>
      <c r="BG87" s="185"/>
      <c r="BH87" s="185"/>
      <c r="BI87" s="185"/>
      <c r="BJ87" s="185"/>
      <c r="BK87" s="185"/>
      <c r="BL87" s="186"/>
      <c r="BM87" s="186"/>
      <c r="BN87" s="186"/>
      <c r="BO87" s="186"/>
      <c r="BP87" s="186"/>
      <c r="BQ87" s="186"/>
      <c r="BR87" s="186"/>
      <c r="BS87" s="186"/>
      <c r="BT87" s="186"/>
      <c r="BU87" s="186"/>
      <c r="BV87" s="186"/>
      <c r="BW87" s="186"/>
      <c r="BX87" s="186"/>
      <c r="BY87" s="186"/>
      <c r="BZ87" s="186"/>
      <c r="CA87" s="186"/>
      <c r="CB87" s="186"/>
      <c r="CC87" s="186"/>
      <c r="CD87" s="186"/>
      <c r="CE87" s="186"/>
      <c r="CF87" s="186"/>
      <c r="CG87" s="186"/>
    </row>
    <row r="88" spans="1:85" ht="15.75">
      <c r="A88" s="185"/>
      <c r="B88" s="866"/>
      <c r="C88" s="866"/>
      <c r="D88" s="866"/>
      <c r="E88" s="866"/>
      <c r="F88" s="866"/>
      <c r="G88" s="866"/>
      <c r="H88" s="866"/>
      <c r="I88" s="866"/>
      <c r="J88" s="866"/>
      <c r="K88" s="185"/>
      <c r="L88" s="185"/>
      <c r="M88" s="185"/>
      <c r="N88" s="185"/>
      <c r="O88" s="866"/>
      <c r="P88" s="866"/>
      <c r="Q88" s="866"/>
      <c r="R88" s="866"/>
      <c r="S88" s="866"/>
      <c r="T88" s="866"/>
      <c r="U88" s="866"/>
      <c r="V88" s="866"/>
      <c r="W88" s="866"/>
      <c r="X88" s="866"/>
      <c r="Y88" s="866"/>
      <c r="Z88" s="866"/>
      <c r="AA88" s="866"/>
      <c r="AB88" s="866"/>
      <c r="AC88" s="866"/>
      <c r="AD88" s="866"/>
      <c r="AE88" s="866"/>
      <c r="AF88" s="866"/>
      <c r="AG88" s="866"/>
      <c r="AH88" s="185"/>
      <c r="AI88" s="185"/>
      <c r="AJ88" s="866"/>
      <c r="AK88" s="866"/>
      <c r="AL88" s="866"/>
      <c r="AM88" s="866"/>
      <c r="AN88" s="866"/>
      <c r="AO88" s="866"/>
      <c r="AP88" s="866"/>
      <c r="AQ88" s="866"/>
      <c r="AR88" s="866"/>
      <c r="AS88" s="866"/>
      <c r="AT88" s="185"/>
      <c r="AU88" s="185"/>
      <c r="AV88" s="185"/>
      <c r="AW88" s="185"/>
      <c r="AX88" s="185"/>
      <c r="AY88" s="185"/>
      <c r="AZ88" s="185"/>
      <c r="BA88" s="185"/>
      <c r="BB88" s="185"/>
      <c r="BC88" s="185"/>
      <c r="BD88" s="185"/>
      <c r="BE88" s="185"/>
      <c r="BF88" s="185"/>
      <c r="BG88" s="185"/>
      <c r="BH88" s="185"/>
      <c r="BI88" s="185"/>
      <c r="BJ88" s="185"/>
      <c r="BK88" s="185"/>
      <c r="BL88" s="186"/>
      <c r="BM88" s="186"/>
      <c r="BN88" s="186"/>
      <c r="BO88" s="186"/>
      <c r="BP88" s="186"/>
      <c r="BQ88" s="186"/>
      <c r="BR88" s="186"/>
      <c r="BS88" s="186"/>
      <c r="BT88" s="186"/>
      <c r="BU88" s="186"/>
      <c r="BV88" s="186"/>
      <c r="BW88" s="186"/>
      <c r="BX88" s="186"/>
      <c r="BY88" s="186"/>
      <c r="BZ88" s="186"/>
      <c r="CA88" s="186"/>
      <c r="CB88" s="186"/>
      <c r="CC88" s="186"/>
      <c r="CD88" s="186"/>
      <c r="CE88" s="186"/>
      <c r="CF88" s="186"/>
      <c r="CG88" s="186"/>
    </row>
    <row r="89" spans="1:85" ht="15.75">
      <c r="A89" s="185"/>
      <c r="B89" s="866"/>
      <c r="C89" s="866"/>
      <c r="D89" s="866"/>
      <c r="E89" s="866"/>
      <c r="F89" s="866"/>
      <c r="G89" s="866"/>
      <c r="H89" s="866"/>
      <c r="I89" s="866"/>
      <c r="J89" s="866"/>
      <c r="K89" s="185"/>
      <c r="L89" s="185"/>
      <c r="M89" s="185"/>
      <c r="N89" s="185"/>
      <c r="O89" s="866"/>
      <c r="P89" s="866"/>
      <c r="Q89" s="866"/>
      <c r="R89" s="866"/>
      <c r="S89" s="866"/>
      <c r="T89" s="866"/>
      <c r="U89" s="866"/>
      <c r="V89" s="866"/>
      <c r="W89" s="866"/>
      <c r="X89" s="866"/>
      <c r="Y89" s="866"/>
      <c r="Z89" s="866"/>
      <c r="AA89" s="866"/>
      <c r="AB89" s="866"/>
      <c r="AC89" s="866"/>
      <c r="AD89" s="866"/>
      <c r="AE89" s="866"/>
      <c r="AF89" s="866"/>
      <c r="AG89" s="866"/>
      <c r="AH89" s="185"/>
      <c r="AI89" s="185"/>
      <c r="AJ89" s="866"/>
      <c r="AK89" s="866"/>
      <c r="AL89" s="866"/>
      <c r="AM89" s="866"/>
      <c r="AN89" s="866"/>
      <c r="AO89" s="866"/>
      <c r="AP89" s="866"/>
      <c r="AQ89" s="866"/>
      <c r="AR89" s="866"/>
      <c r="AS89" s="866"/>
      <c r="AT89" s="185"/>
      <c r="AU89" s="185"/>
      <c r="AV89" s="185"/>
      <c r="AW89" s="185"/>
      <c r="AX89" s="185"/>
      <c r="AY89" s="185"/>
      <c r="AZ89" s="185"/>
      <c r="BA89" s="185"/>
      <c r="BB89" s="185"/>
      <c r="BC89" s="185"/>
      <c r="BD89" s="185"/>
      <c r="BE89" s="185"/>
      <c r="BF89" s="185"/>
      <c r="BG89" s="185"/>
      <c r="BH89" s="185"/>
      <c r="BI89" s="185"/>
      <c r="BJ89" s="185"/>
      <c r="BK89" s="185"/>
      <c r="BL89" s="186"/>
      <c r="BM89" s="186"/>
      <c r="BN89" s="186"/>
      <c r="BO89" s="186"/>
      <c r="BP89" s="186"/>
      <c r="BQ89" s="186"/>
      <c r="BR89" s="186"/>
      <c r="BS89" s="186"/>
      <c r="BT89" s="186"/>
      <c r="BU89" s="186"/>
      <c r="BV89" s="186"/>
      <c r="BW89" s="186"/>
      <c r="BX89" s="186"/>
      <c r="BY89" s="186"/>
      <c r="BZ89" s="186"/>
      <c r="CA89" s="186"/>
      <c r="CB89" s="186"/>
      <c r="CC89" s="186"/>
      <c r="CD89" s="186"/>
      <c r="CE89" s="186"/>
      <c r="CF89" s="186"/>
      <c r="CG89" s="186"/>
    </row>
    <row r="90" spans="1:85" ht="15.75">
      <c r="A90" s="185"/>
      <c r="B90" s="866"/>
      <c r="C90" s="866"/>
      <c r="D90" s="866"/>
      <c r="E90" s="866"/>
      <c r="F90" s="866"/>
      <c r="G90" s="866"/>
      <c r="H90" s="866"/>
      <c r="I90" s="866"/>
      <c r="J90" s="866"/>
      <c r="K90" s="185"/>
      <c r="L90" s="185"/>
      <c r="M90" s="185"/>
      <c r="N90" s="185"/>
      <c r="O90" s="866"/>
      <c r="P90" s="866"/>
      <c r="Q90" s="866"/>
      <c r="R90" s="866"/>
      <c r="S90" s="866"/>
      <c r="T90" s="866"/>
      <c r="U90" s="866"/>
      <c r="V90" s="866"/>
      <c r="W90" s="866"/>
      <c r="X90" s="866"/>
      <c r="Y90" s="866"/>
      <c r="Z90" s="866"/>
      <c r="AA90" s="866"/>
      <c r="AB90" s="866"/>
      <c r="AC90" s="866"/>
      <c r="AD90" s="866"/>
      <c r="AE90" s="866"/>
      <c r="AF90" s="866"/>
      <c r="AG90" s="866"/>
      <c r="AH90" s="185"/>
      <c r="AI90" s="185"/>
      <c r="AJ90" s="866"/>
      <c r="AK90" s="866"/>
      <c r="AL90" s="866"/>
      <c r="AM90" s="866"/>
      <c r="AN90" s="866"/>
      <c r="AO90" s="866"/>
      <c r="AP90" s="866"/>
      <c r="AQ90" s="866"/>
      <c r="AR90" s="866"/>
      <c r="AS90" s="866"/>
      <c r="AT90" s="185"/>
      <c r="AU90" s="185"/>
      <c r="AV90" s="185"/>
      <c r="AW90" s="185"/>
      <c r="AX90" s="185"/>
      <c r="AY90" s="185"/>
      <c r="AZ90" s="185"/>
      <c r="BA90" s="185"/>
      <c r="BB90" s="185"/>
      <c r="BC90" s="185"/>
      <c r="BD90" s="185"/>
      <c r="BE90" s="185"/>
      <c r="BF90" s="185"/>
      <c r="BG90" s="185"/>
      <c r="BH90" s="185"/>
      <c r="BI90" s="185"/>
      <c r="BJ90" s="185"/>
      <c r="BK90" s="185"/>
      <c r="BL90" s="186"/>
      <c r="BM90" s="186"/>
      <c r="BN90" s="186"/>
      <c r="BO90" s="186"/>
      <c r="BP90" s="186"/>
      <c r="BQ90" s="186"/>
      <c r="BR90" s="186"/>
      <c r="BS90" s="186"/>
      <c r="BT90" s="186"/>
      <c r="BU90" s="186"/>
      <c r="BV90" s="186"/>
      <c r="BW90" s="186"/>
      <c r="BX90" s="186"/>
      <c r="BY90" s="186"/>
      <c r="BZ90" s="186"/>
      <c r="CA90" s="186"/>
      <c r="CB90" s="186"/>
      <c r="CC90" s="186"/>
      <c r="CD90" s="186"/>
      <c r="CE90" s="186"/>
      <c r="CF90" s="186"/>
      <c r="CG90" s="186"/>
    </row>
    <row r="91" spans="1:85" ht="15.75">
      <c r="A91" s="185"/>
      <c r="B91" s="866"/>
      <c r="C91" s="866"/>
      <c r="D91" s="866"/>
      <c r="E91" s="866"/>
      <c r="F91" s="866"/>
      <c r="G91" s="866"/>
      <c r="H91" s="866"/>
      <c r="I91" s="866"/>
      <c r="J91" s="866"/>
      <c r="K91" s="185"/>
      <c r="L91" s="185"/>
      <c r="M91" s="185"/>
      <c r="N91" s="185"/>
      <c r="O91" s="866"/>
      <c r="P91" s="866"/>
      <c r="Q91" s="866"/>
      <c r="R91" s="866"/>
      <c r="S91" s="866"/>
      <c r="T91" s="866"/>
      <c r="U91" s="866"/>
      <c r="V91" s="866"/>
      <c r="W91" s="866"/>
      <c r="X91" s="866"/>
      <c r="Y91" s="866"/>
      <c r="Z91" s="866"/>
      <c r="AA91" s="866"/>
      <c r="AB91" s="866"/>
      <c r="AC91" s="866"/>
      <c r="AD91" s="866"/>
      <c r="AE91" s="866"/>
      <c r="AF91" s="866"/>
      <c r="AG91" s="866"/>
      <c r="AH91" s="185"/>
      <c r="AI91" s="185"/>
      <c r="AJ91" s="866"/>
      <c r="AK91" s="866"/>
      <c r="AL91" s="866"/>
      <c r="AM91" s="866"/>
      <c r="AN91" s="866"/>
      <c r="AO91" s="866"/>
      <c r="AP91" s="866"/>
      <c r="AQ91" s="866"/>
      <c r="AR91" s="866"/>
      <c r="AS91" s="866"/>
      <c r="AT91" s="185"/>
      <c r="AU91" s="185"/>
      <c r="AV91" s="185"/>
      <c r="AW91" s="185"/>
      <c r="AX91" s="185"/>
      <c r="AY91" s="185"/>
      <c r="AZ91" s="185"/>
      <c r="BA91" s="185"/>
      <c r="BB91" s="185"/>
      <c r="BC91" s="185"/>
      <c r="BD91" s="185"/>
      <c r="BE91" s="185"/>
      <c r="BF91" s="185"/>
      <c r="BG91" s="185"/>
      <c r="BH91" s="185"/>
      <c r="BI91" s="185"/>
      <c r="BJ91" s="185"/>
      <c r="BK91" s="185"/>
      <c r="BL91" s="186"/>
      <c r="BM91" s="186"/>
      <c r="BN91" s="186"/>
      <c r="BO91" s="186"/>
      <c r="BP91" s="186"/>
      <c r="BQ91" s="186"/>
      <c r="BR91" s="186"/>
      <c r="BS91" s="186"/>
      <c r="BT91" s="186"/>
      <c r="BU91" s="186"/>
      <c r="BV91" s="186"/>
      <c r="BW91" s="186"/>
      <c r="BX91" s="186"/>
      <c r="BY91" s="186"/>
      <c r="BZ91" s="186"/>
      <c r="CA91" s="186"/>
      <c r="CB91" s="186"/>
      <c r="CC91" s="186"/>
      <c r="CD91" s="186"/>
      <c r="CE91" s="186"/>
      <c r="CF91" s="186"/>
      <c r="CG91" s="186"/>
    </row>
    <row r="92" spans="1:85" ht="15.75">
      <c r="A92" s="185"/>
      <c r="B92" s="866"/>
      <c r="C92" s="866"/>
      <c r="D92" s="866"/>
      <c r="E92" s="866"/>
      <c r="F92" s="866"/>
      <c r="G92" s="866"/>
      <c r="H92" s="866"/>
      <c r="I92" s="866"/>
      <c r="J92" s="866"/>
      <c r="K92" s="185"/>
      <c r="L92" s="185"/>
      <c r="M92" s="185"/>
      <c r="N92" s="185"/>
      <c r="O92" s="866"/>
      <c r="P92" s="866"/>
      <c r="Q92" s="866"/>
      <c r="R92" s="866"/>
      <c r="S92" s="866"/>
      <c r="T92" s="866"/>
      <c r="U92" s="866"/>
      <c r="V92" s="866"/>
      <c r="W92" s="866"/>
      <c r="X92" s="866"/>
      <c r="Y92" s="866"/>
      <c r="Z92" s="866"/>
      <c r="AA92" s="866"/>
      <c r="AB92" s="866"/>
      <c r="AC92" s="866"/>
      <c r="AD92" s="866"/>
      <c r="AE92" s="866"/>
      <c r="AF92" s="866"/>
      <c r="AG92" s="866"/>
      <c r="AH92" s="185"/>
      <c r="AI92" s="185"/>
      <c r="AJ92" s="866"/>
      <c r="AK92" s="866"/>
      <c r="AL92" s="866"/>
      <c r="AM92" s="866"/>
      <c r="AN92" s="866"/>
      <c r="AO92" s="866"/>
      <c r="AP92" s="866"/>
      <c r="AQ92" s="866"/>
      <c r="AR92" s="866"/>
      <c r="AS92" s="866"/>
      <c r="AT92" s="185"/>
      <c r="AU92" s="185"/>
      <c r="AV92" s="185"/>
      <c r="AW92" s="185"/>
      <c r="AX92" s="185"/>
      <c r="AY92" s="185"/>
      <c r="AZ92" s="185"/>
      <c r="BA92" s="185"/>
      <c r="BB92" s="185"/>
      <c r="BC92" s="185"/>
      <c r="BD92" s="185"/>
      <c r="BE92" s="185"/>
      <c r="BF92" s="185"/>
      <c r="BG92" s="185"/>
      <c r="BH92" s="185"/>
      <c r="BI92" s="185"/>
      <c r="BJ92" s="185"/>
      <c r="BK92" s="185"/>
      <c r="BL92" s="186"/>
      <c r="BM92" s="186"/>
      <c r="BN92" s="186"/>
      <c r="BO92" s="186"/>
      <c r="BP92" s="186"/>
      <c r="BQ92" s="186"/>
      <c r="BR92" s="186"/>
      <c r="BS92" s="186"/>
      <c r="BT92" s="186"/>
      <c r="BU92" s="186"/>
      <c r="BV92" s="186"/>
      <c r="BW92" s="186"/>
      <c r="BX92" s="186"/>
      <c r="BY92" s="186"/>
      <c r="BZ92" s="186"/>
      <c r="CA92" s="186"/>
      <c r="CB92" s="186"/>
      <c r="CC92" s="186"/>
      <c r="CD92" s="186"/>
      <c r="CE92" s="186"/>
      <c r="CF92" s="186"/>
      <c r="CG92" s="186"/>
    </row>
    <row r="93" spans="1:85" ht="15.75">
      <c r="A93" s="185"/>
      <c r="B93" s="866"/>
      <c r="C93" s="866"/>
      <c r="D93" s="866"/>
      <c r="E93" s="866"/>
      <c r="F93" s="866"/>
      <c r="G93" s="866"/>
      <c r="H93" s="866"/>
      <c r="I93" s="866"/>
      <c r="J93" s="866"/>
      <c r="K93" s="185"/>
      <c r="L93" s="185"/>
      <c r="M93" s="185"/>
      <c r="N93" s="185"/>
      <c r="O93" s="866"/>
      <c r="P93" s="866"/>
      <c r="Q93" s="866"/>
      <c r="R93" s="866"/>
      <c r="S93" s="866"/>
      <c r="T93" s="866"/>
      <c r="U93" s="866"/>
      <c r="V93" s="866"/>
      <c r="W93" s="866"/>
      <c r="X93" s="866"/>
      <c r="Y93" s="866"/>
      <c r="Z93" s="866"/>
      <c r="AA93" s="866"/>
      <c r="AB93" s="866"/>
      <c r="AC93" s="866"/>
      <c r="AD93" s="866"/>
      <c r="AE93" s="866"/>
      <c r="AF93" s="866"/>
      <c r="AG93" s="866"/>
      <c r="AH93" s="185"/>
      <c r="AI93" s="185"/>
      <c r="AJ93" s="866"/>
      <c r="AK93" s="866"/>
      <c r="AL93" s="866"/>
      <c r="AM93" s="866"/>
      <c r="AN93" s="866"/>
      <c r="AO93" s="866"/>
      <c r="AP93" s="866"/>
      <c r="AQ93" s="866"/>
      <c r="AR93" s="866"/>
      <c r="AS93" s="866"/>
      <c r="AT93" s="185"/>
      <c r="AU93" s="185"/>
      <c r="AV93" s="185"/>
      <c r="AW93" s="185"/>
      <c r="AX93" s="185"/>
      <c r="AY93" s="185"/>
      <c r="AZ93" s="185"/>
      <c r="BA93" s="185"/>
      <c r="BB93" s="185"/>
      <c r="BC93" s="185"/>
      <c r="BD93" s="185"/>
      <c r="BE93" s="185"/>
      <c r="BF93" s="185"/>
      <c r="BG93" s="185"/>
      <c r="BH93" s="185"/>
      <c r="BI93" s="185"/>
      <c r="BJ93" s="185"/>
      <c r="BK93" s="185"/>
      <c r="BL93" s="186"/>
      <c r="BM93" s="186"/>
      <c r="BN93" s="186"/>
      <c r="BO93" s="186"/>
      <c r="BP93" s="186"/>
      <c r="BQ93" s="186"/>
      <c r="BR93" s="186"/>
      <c r="BS93" s="186"/>
      <c r="BT93" s="186"/>
      <c r="BU93" s="186"/>
      <c r="BV93" s="186"/>
      <c r="BW93" s="186"/>
      <c r="BX93" s="186"/>
      <c r="BY93" s="186"/>
      <c r="BZ93" s="186"/>
      <c r="CA93" s="186"/>
      <c r="CB93" s="186"/>
      <c r="CC93" s="186"/>
      <c r="CD93" s="186"/>
      <c r="CE93" s="186"/>
      <c r="CF93" s="186"/>
      <c r="CG93" s="186"/>
    </row>
    <row r="94" spans="1:85" ht="15.75">
      <c r="A94" s="185"/>
      <c r="B94" s="866"/>
      <c r="C94" s="866"/>
      <c r="D94" s="866"/>
      <c r="E94" s="866"/>
      <c r="F94" s="866"/>
      <c r="G94" s="866"/>
      <c r="H94" s="866"/>
      <c r="I94" s="866"/>
      <c r="J94" s="866"/>
      <c r="K94" s="185"/>
      <c r="L94" s="185"/>
      <c r="M94" s="185"/>
      <c r="N94" s="185"/>
      <c r="O94" s="866"/>
      <c r="P94" s="866"/>
      <c r="Q94" s="866"/>
      <c r="R94" s="866"/>
      <c r="S94" s="866"/>
      <c r="T94" s="866"/>
      <c r="U94" s="866"/>
      <c r="V94" s="866"/>
      <c r="W94" s="866"/>
      <c r="X94" s="866"/>
      <c r="Y94" s="866"/>
      <c r="Z94" s="866"/>
      <c r="AA94" s="866"/>
      <c r="AB94" s="866"/>
      <c r="AC94" s="866"/>
      <c r="AD94" s="866"/>
      <c r="AE94" s="866"/>
      <c r="AF94" s="866"/>
      <c r="AG94" s="866"/>
      <c r="AH94" s="185"/>
      <c r="AI94" s="185"/>
      <c r="AJ94" s="866"/>
      <c r="AK94" s="866"/>
      <c r="AL94" s="866"/>
      <c r="AM94" s="866"/>
      <c r="AN94" s="866"/>
      <c r="AO94" s="866"/>
      <c r="AP94" s="866"/>
      <c r="AQ94" s="866"/>
      <c r="AR94" s="866"/>
      <c r="AS94" s="866"/>
      <c r="AT94" s="185"/>
      <c r="AU94" s="185"/>
      <c r="AV94" s="185"/>
      <c r="AW94" s="185"/>
      <c r="AX94" s="185"/>
      <c r="AY94" s="185"/>
      <c r="AZ94" s="185"/>
      <c r="BA94" s="185"/>
      <c r="BB94" s="185"/>
      <c r="BC94" s="185"/>
      <c r="BD94" s="185"/>
      <c r="BE94" s="185"/>
      <c r="BF94" s="185"/>
      <c r="BG94" s="185"/>
      <c r="BH94" s="185"/>
      <c r="BI94" s="185"/>
      <c r="BJ94" s="185"/>
      <c r="BK94" s="185"/>
      <c r="BL94" s="186"/>
      <c r="BM94" s="186"/>
      <c r="BN94" s="186"/>
      <c r="BO94" s="186"/>
      <c r="BP94" s="186"/>
      <c r="BQ94" s="186"/>
      <c r="BR94" s="186"/>
      <c r="BS94" s="186"/>
      <c r="BT94" s="186"/>
      <c r="BU94" s="186"/>
      <c r="BV94" s="186"/>
      <c r="BW94" s="186"/>
      <c r="BX94" s="186"/>
      <c r="BY94" s="186"/>
      <c r="BZ94" s="186"/>
      <c r="CA94" s="186"/>
      <c r="CB94" s="186"/>
      <c r="CC94" s="186"/>
      <c r="CD94" s="186"/>
      <c r="CE94" s="186"/>
      <c r="CF94" s="186"/>
      <c r="CG94" s="186"/>
    </row>
    <row r="95" spans="1:85" ht="15.75">
      <c r="A95" s="185"/>
      <c r="B95" s="866"/>
      <c r="C95" s="866"/>
      <c r="D95" s="866"/>
      <c r="E95" s="866"/>
      <c r="F95" s="866"/>
      <c r="G95" s="866"/>
      <c r="H95" s="866"/>
      <c r="I95" s="866"/>
      <c r="J95" s="866"/>
      <c r="K95" s="185"/>
      <c r="L95" s="185"/>
      <c r="M95" s="185"/>
      <c r="N95" s="185"/>
      <c r="O95" s="866"/>
      <c r="P95" s="866"/>
      <c r="Q95" s="866"/>
      <c r="R95" s="866"/>
      <c r="S95" s="866"/>
      <c r="T95" s="866"/>
      <c r="U95" s="866"/>
      <c r="V95" s="866"/>
      <c r="W95" s="866"/>
      <c r="X95" s="866"/>
      <c r="Y95" s="866"/>
      <c r="Z95" s="866"/>
      <c r="AA95" s="866"/>
      <c r="AB95" s="866"/>
      <c r="AC95" s="866"/>
      <c r="AD95" s="866"/>
      <c r="AE95" s="866"/>
      <c r="AF95" s="866"/>
      <c r="AG95" s="866"/>
      <c r="AH95" s="185"/>
      <c r="AI95" s="185"/>
      <c r="AJ95" s="866"/>
      <c r="AK95" s="866"/>
      <c r="AL95" s="866"/>
      <c r="AM95" s="866"/>
      <c r="AN95" s="866"/>
      <c r="AO95" s="866"/>
      <c r="AP95" s="866"/>
      <c r="AQ95" s="866"/>
      <c r="AR95" s="866"/>
      <c r="AS95" s="866"/>
      <c r="AT95" s="185"/>
      <c r="AU95" s="185"/>
      <c r="AV95" s="185"/>
      <c r="AW95" s="185"/>
      <c r="AX95" s="185"/>
      <c r="AY95" s="185"/>
      <c r="AZ95" s="185"/>
      <c r="BA95" s="185"/>
      <c r="BB95" s="185"/>
      <c r="BC95" s="185"/>
      <c r="BD95" s="185"/>
      <c r="BE95" s="185"/>
      <c r="BF95" s="185"/>
      <c r="BG95" s="185"/>
      <c r="BH95" s="185"/>
      <c r="BI95" s="185"/>
      <c r="BJ95" s="185"/>
      <c r="BK95" s="185"/>
      <c r="BL95" s="186"/>
      <c r="BM95" s="186"/>
      <c r="BN95" s="186"/>
      <c r="BO95" s="186"/>
      <c r="BP95" s="186"/>
      <c r="BQ95" s="186"/>
      <c r="BR95" s="186"/>
      <c r="BS95" s="186"/>
      <c r="BT95" s="186"/>
      <c r="BU95" s="186"/>
      <c r="BV95" s="186"/>
      <c r="BW95" s="186"/>
      <c r="BX95" s="186"/>
      <c r="BY95" s="186"/>
      <c r="BZ95" s="186"/>
      <c r="CA95" s="186"/>
      <c r="CB95" s="186"/>
      <c r="CC95" s="186"/>
      <c r="CD95" s="186"/>
      <c r="CE95" s="186"/>
      <c r="CF95" s="186"/>
      <c r="CG95" s="186"/>
    </row>
    <row r="96" spans="1:85" ht="15.75">
      <c r="A96" s="185"/>
      <c r="B96" s="866"/>
      <c r="C96" s="866"/>
      <c r="D96" s="866"/>
      <c r="E96" s="866"/>
      <c r="F96" s="866"/>
      <c r="G96" s="866"/>
      <c r="H96" s="866"/>
      <c r="I96" s="866"/>
      <c r="J96" s="866"/>
      <c r="K96" s="185"/>
      <c r="L96" s="185"/>
      <c r="M96" s="185"/>
      <c r="N96" s="185"/>
      <c r="O96" s="866"/>
      <c r="P96" s="866"/>
      <c r="Q96" s="866"/>
      <c r="R96" s="866"/>
      <c r="S96" s="866"/>
      <c r="T96" s="866"/>
      <c r="U96" s="866"/>
      <c r="V96" s="866"/>
      <c r="W96" s="866"/>
      <c r="X96" s="866"/>
      <c r="Y96" s="866"/>
      <c r="Z96" s="866"/>
      <c r="AA96" s="866"/>
      <c r="AB96" s="866"/>
      <c r="AC96" s="866"/>
      <c r="AD96" s="866"/>
      <c r="AE96" s="866"/>
      <c r="AF96" s="866"/>
      <c r="AG96" s="866"/>
      <c r="AH96" s="185"/>
      <c r="AI96" s="185"/>
      <c r="AJ96" s="866"/>
      <c r="AK96" s="866"/>
      <c r="AL96" s="866"/>
      <c r="AM96" s="866"/>
      <c r="AN96" s="866"/>
      <c r="AO96" s="866"/>
      <c r="AP96" s="866"/>
      <c r="AQ96" s="866"/>
      <c r="AR96" s="866"/>
      <c r="AS96" s="866"/>
      <c r="AT96" s="185"/>
      <c r="AU96" s="185"/>
      <c r="AV96" s="185"/>
      <c r="AW96" s="185"/>
      <c r="AX96" s="185"/>
      <c r="AY96" s="185"/>
      <c r="AZ96" s="185"/>
      <c r="BA96" s="185"/>
      <c r="BB96" s="185"/>
      <c r="BC96" s="185"/>
      <c r="BD96" s="185"/>
      <c r="BE96" s="185"/>
      <c r="BF96" s="185"/>
      <c r="BG96" s="185"/>
      <c r="BH96" s="185"/>
      <c r="BI96" s="185"/>
      <c r="BJ96" s="185"/>
      <c r="BK96" s="185"/>
      <c r="BL96" s="186"/>
      <c r="BM96" s="186"/>
      <c r="BN96" s="186"/>
      <c r="BO96" s="186"/>
      <c r="BP96" s="186"/>
      <c r="BQ96" s="186"/>
      <c r="BR96" s="186"/>
      <c r="BS96" s="186"/>
      <c r="BT96" s="186"/>
      <c r="BU96" s="186"/>
      <c r="BV96" s="186"/>
      <c r="BW96" s="186"/>
      <c r="BX96" s="186"/>
      <c r="BY96" s="186"/>
      <c r="BZ96" s="186"/>
      <c r="CA96" s="186"/>
      <c r="CB96" s="186"/>
      <c r="CC96" s="186"/>
      <c r="CD96" s="186"/>
      <c r="CE96" s="186"/>
      <c r="CF96" s="186"/>
      <c r="CG96" s="186"/>
    </row>
    <row r="97" spans="1:85" ht="15.75">
      <c r="A97" s="185"/>
      <c r="B97" s="866"/>
      <c r="C97" s="866"/>
      <c r="D97" s="866"/>
      <c r="E97" s="866"/>
      <c r="F97" s="866"/>
      <c r="G97" s="866"/>
      <c r="H97" s="866"/>
      <c r="I97" s="866"/>
      <c r="J97" s="866"/>
      <c r="K97" s="185"/>
      <c r="L97" s="185"/>
      <c r="M97" s="185"/>
      <c r="N97" s="185"/>
      <c r="O97" s="866"/>
      <c r="P97" s="866"/>
      <c r="Q97" s="866"/>
      <c r="R97" s="866"/>
      <c r="S97" s="866"/>
      <c r="T97" s="866"/>
      <c r="U97" s="866"/>
      <c r="V97" s="866"/>
      <c r="W97" s="866"/>
      <c r="X97" s="866"/>
      <c r="Y97" s="866"/>
      <c r="Z97" s="866"/>
      <c r="AA97" s="866"/>
      <c r="AB97" s="866"/>
      <c r="AC97" s="866"/>
      <c r="AD97" s="866"/>
      <c r="AE97" s="866"/>
      <c r="AF97" s="866"/>
      <c r="AG97" s="866"/>
      <c r="AH97" s="185"/>
      <c r="AI97" s="185"/>
      <c r="AJ97" s="866"/>
      <c r="AK97" s="866"/>
      <c r="AL97" s="866"/>
      <c r="AM97" s="866"/>
      <c r="AN97" s="866"/>
      <c r="AO97" s="866"/>
      <c r="AP97" s="866"/>
      <c r="AQ97" s="866"/>
      <c r="AR97" s="866"/>
      <c r="AS97" s="866"/>
      <c r="AT97" s="185"/>
      <c r="AU97" s="185"/>
      <c r="AV97" s="185"/>
      <c r="AW97" s="185"/>
      <c r="AX97" s="185"/>
      <c r="AY97" s="185"/>
      <c r="AZ97" s="185"/>
      <c r="BA97" s="185"/>
      <c r="BB97" s="185"/>
      <c r="BC97" s="185"/>
      <c r="BD97" s="185"/>
      <c r="BE97" s="185"/>
      <c r="BF97" s="185"/>
      <c r="BG97" s="185"/>
      <c r="BH97" s="185"/>
      <c r="BI97" s="185"/>
      <c r="BJ97" s="185"/>
      <c r="BK97" s="185"/>
      <c r="BL97" s="186"/>
      <c r="BM97" s="186"/>
      <c r="BN97" s="186"/>
      <c r="BO97" s="186"/>
      <c r="BP97" s="186"/>
      <c r="BQ97" s="186"/>
      <c r="BR97" s="186"/>
      <c r="BS97" s="186"/>
      <c r="BT97" s="186"/>
      <c r="BU97" s="186"/>
      <c r="BV97" s="186"/>
      <c r="BW97" s="186"/>
      <c r="BX97" s="186"/>
      <c r="BY97" s="186"/>
      <c r="BZ97" s="186"/>
      <c r="CA97" s="186"/>
      <c r="CB97" s="186"/>
      <c r="CC97" s="186"/>
      <c r="CD97" s="186"/>
      <c r="CE97" s="186"/>
      <c r="CF97" s="186"/>
      <c r="CG97" s="186"/>
    </row>
    <row r="98" spans="1:85" ht="15.75">
      <c r="A98" s="185"/>
      <c r="B98" s="866"/>
      <c r="C98" s="866"/>
      <c r="D98" s="866"/>
      <c r="E98" s="866"/>
      <c r="F98" s="866"/>
      <c r="G98" s="866"/>
      <c r="H98" s="866"/>
      <c r="I98" s="866"/>
      <c r="J98" s="866"/>
      <c r="K98" s="185"/>
      <c r="L98" s="185"/>
      <c r="M98" s="185"/>
      <c r="N98" s="185"/>
      <c r="O98" s="866"/>
      <c r="P98" s="866"/>
      <c r="Q98" s="866"/>
      <c r="R98" s="866"/>
      <c r="S98" s="866"/>
      <c r="T98" s="866"/>
      <c r="U98" s="866"/>
      <c r="V98" s="866"/>
      <c r="W98" s="866"/>
      <c r="X98" s="866"/>
      <c r="Y98" s="866"/>
      <c r="Z98" s="866"/>
      <c r="AA98" s="866"/>
      <c r="AB98" s="866"/>
      <c r="AC98" s="866"/>
      <c r="AD98" s="866"/>
      <c r="AE98" s="866"/>
      <c r="AF98" s="866"/>
      <c r="AG98" s="866"/>
      <c r="AH98" s="185"/>
      <c r="AI98" s="185"/>
      <c r="AJ98" s="866"/>
      <c r="AK98" s="866"/>
      <c r="AL98" s="866"/>
      <c r="AM98" s="866"/>
      <c r="AN98" s="866"/>
      <c r="AO98" s="866"/>
      <c r="AP98" s="866"/>
      <c r="AQ98" s="866"/>
      <c r="AR98" s="866"/>
      <c r="AS98" s="866"/>
      <c r="AT98" s="185"/>
      <c r="AU98" s="185"/>
      <c r="AV98" s="185"/>
      <c r="AW98" s="185"/>
      <c r="AX98" s="185"/>
      <c r="AY98" s="185"/>
      <c r="AZ98" s="185"/>
      <c r="BA98" s="185"/>
      <c r="BB98" s="185"/>
      <c r="BC98" s="185"/>
      <c r="BD98" s="185"/>
      <c r="BE98" s="185"/>
      <c r="BF98" s="185"/>
      <c r="BG98" s="185"/>
      <c r="BH98" s="185"/>
      <c r="BI98" s="185"/>
      <c r="BJ98" s="185"/>
      <c r="BK98" s="185"/>
      <c r="BL98" s="186"/>
      <c r="BM98" s="186"/>
      <c r="BN98" s="186"/>
      <c r="BO98" s="186"/>
      <c r="BP98" s="186"/>
      <c r="BQ98" s="186"/>
      <c r="BR98" s="186"/>
      <c r="BS98" s="186"/>
      <c r="BT98" s="186"/>
      <c r="BU98" s="186"/>
      <c r="BV98" s="186"/>
      <c r="BW98" s="186"/>
      <c r="BX98" s="186"/>
      <c r="BY98" s="186"/>
      <c r="BZ98" s="186"/>
      <c r="CA98" s="186"/>
      <c r="CB98" s="186"/>
      <c r="CC98" s="186"/>
      <c r="CD98" s="186"/>
      <c r="CE98" s="186"/>
      <c r="CF98" s="186"/>
      <c r="CG98" s="186"/>
    </row>
    <row r="99" spans="1:85" ht="15.75">
      <c r="A99" s="185"/>
      <c r="B99" s="866"/>
      <c r="C99" s="866"/>
      <c r="D99" s="866"/>
      <c r="E99" s="866"/>
      <c r="F99" s="866"/>
      <c r="G99" s="866"/>
      <c r="H99" s="866"/>
      <c r="I99" s="866"/>
      <c r="J99" s="866"/>
      <c r="K99" s="185"/>
      <c r="L99" s="185"/>
      <c r="M99" s="185"/>
      <c r="N99" s="185"/>
      <c r="O99" s="866"/>
      <c r="P99" s="866"/>
      <c r="Q99" s="866"/>
      <c r="R99" s="866"/>
      <c r="S99" s="866"/>
      <c r="T99" s="866"/>
      <c r="U99" s="866"/>
      <c r="V99" s="866"/>
      <c r="W99" s="866"/>
      <c r="X99" s="866"/>
      <c r="Y99" s="866"/>
      <c r="Z99" s="866"/>
      <c r="AA99" s="866"/>
      <c r="AB99" s="866"/>
      <c r="AC99" s="866"/>
      <c r="AD99" s="866"/>
      <c r="AE99" s="866"/>
      <c r="AF99" s="866"/>
      <c r="AG99" s="866"/>
      <c r="AH99" s="185"/>
      <c r="AI99" s="185"/>
      <c r="AJ99" s="866"/>
      <c r="AK99" s="866"/>
      <c r="AL99" s="866"/>
      <c r="AM99" s="866"/>
      <c r="AN99" s="866"/>
      <c r="AO99" s="866"/>
      <c r="AP99" s="866"/>
      <c r="AQ99" s="866"/>
      <c r="AR99" s="866"/>
      <c r="AS99" s="866"/>
      <c r="AT99" s="185"/>
      <c r="AU99" s="185"/>
      <c r="AV99" s="185"/>
      <c r="AW99" s="185"/>
      <c r="AX99" s="185"/>
      <c r="AY99" s="185"/>
      <c r="AZ99" s="185"/>
      <c r="BA99" s="185"/>
      <c r="BB99" s="185"/>
      <c r="BC99" s="185"/>
      <c r="BD99" s="185"/>
      <c r="BE99" s="185"/>
      <c r="BF99" s="185"/>
      <c r="BG99" s="185"/>
      <c r="BH99" s="185"/>
      <c r="BI99" s="185"/>
      <c r="BJ99" s="185"/>
      <c r="BK99" s="185"/>
      <c r="BL99" s="186"/>
      <c r="BM99" s="186"/>
      <c r="BN99" s="186"/>
      <c r="BO99" s="186"/>
      <c r="BP99" s="186"/>
      <c r="BQ99" s="186"/>
      <c r="BR99" s="186"/>
      <c r="BS99" s="186"/>
      <c r="BT99" s="186"/>
      <c r="BU99" s="186"/>
      <c r="BV99" s="186"/>
      <c r="BW99" s="186"/>
      <c r="BX99" s="186"/>
      <c r="BY99" s="186"/>
      <c r="BZ99" s="186"/>
      <c r="CA99" s="186"/>
      <c r="CB99" s="186"/>
      <c r="CC99" s="186"/>
      <c r="CD99" s="186"/>
      <c r="CE99" s="186"/>
      <c r="CF99" s="186"/>
      <c r="CG99" s="186"/>
    </row>
    <row r="100" spans="1:85" ht="15.75">
      <c r="A100" s="185"/>
      <c r="B100" s="866"/>
      <c r="C100" s="866"/>
      <c r="D100" s="866"/>
      <c r="E100" s="866"/>
      <c r="F100" s="866"/>
      <c r="G100" s="866"/>
      <c r="H100" s="866"/>
      <c r="I100" s="866"/>
      <c r="J100" s="866"/>
      <c r="K100" s="185"/>
      <c r="L100" s="185"/>
      <c r="M100" s="185"/>
      <c r="N100" s="185"/>
      <c r="O100" s="866"/>
      <c r="P100" s="866"/>
      <c r="Q100" s="866"/>
      <c r="R100" s="866"/>
      <c r="S100" s="866"/>
      <c r="T100" s="866"/>
      <c r="U100" s="866"/>
      <c r="V100" s="866"/>
      <c r="W100" s="866"/>
      <c r="X100" s="866"/>
      <c r="Y100" s="866"/>
      <c r="Z100" s="866"/>
      <c r="AA100" s="866"/>
      <c r="AB100" s="866"/>
      <c r="AC100" s="866"/>
      <c r="AD100" s="866"/>
      <c r="AE100" s="866"/>
      <c r="AF100" s="866"/>
      <c r="AG100" s="866"/>
      <c r="AH100" s="185"/>
      <c r="AI100" s="185"/>
      <c r="AJ100" s="866"/>
      <c r="AK100" s="866"/>
      <c r="AL100" s="866"/>
      <c r="AM100" s="866"/>
      <c r="AN100" s="866"/>
      <c r="AO100" s="866"/>
      <c r="AP100" s="866"/>
      <c r="AQ100" s="866"/>
      <c r="AR100" s="866"/>
      <c r="AS100" s="866"/>
      <c r="AT100" s="185"/>
      <c r="AU100" s="185"/>
      <c r="AV100" s="185"/>
      <c r="AW100" s="185"/>
      <c r="AX100" s="185"/>
      <c r="AY100" s="185"/>
      <c r="AZ100" s="185"/>
      <c r="BA100" s="185"/>
      <c r="BB100" s="185"/>
      <c r="BC100" s="185"/>
      <c r="BD100" s="185"/>
      <c r="BE100" s="185"/>
      <c r="BF100" s="185"/>
      <c r="BG100" s="185"/>
      <c r="BH100" s="185"/>
      <c r="BI100" s="185"/>
      <c r="BJ100" s="185"/>
      <c r="BK100" s="185"/>
      <c r="BL100" s="186"/>
      <c r="BM100" s="186"/>
      <c r="BN100" s="186"/>
      <c r="BO100" s="186"/>
      <c r="BP100" s="186"/>
      <c r="BQ100" s="186"/>
      <c r="BR100" s="186"/>
      <c r="BS100" s="186"/>
      <c r="BT100" s="186"/>
      <c r="BU100" s="186"/>
      <c r="BV100" s="186"/>
      <c r="BW100" s="186"/>
      <c r="BX100" s="186"/>
      <c r="BY100" s="186"/>
      <c r="BZ100" s="186"/>
      <c r="CA100" s="186"/>
      <c r="CB100" s="186"/>
      <c r="CC100" s="186"/>
      <c r="CD100" s="186"/>
      <c r="CE100" s="186"/>
      <c r="CF100" s="186"/>
      <c r="CG100" s="186"/>
    </row>
    <row r="101" spans="1:85" ht="15.75">
      <c r="A101" s="185"/>
      <c r="B101" s="866"/>
      <c r="C101" s="866"/>
      <c r="D101" s="866"/>
      <c r="E101" s="866"/>
      <c r="F101" s="866"/>
      <c r="G101" s="866"/>
      <c r="H101" s="866"/>
      <c r="I101" s="866"/>
      <c r="J101" s="866"/>
      <c r="K101" s="185"/>
      <c r="L101" s="185"/>
      <c r="M101" s="185"/>
      <c r="N101" s="185"/>
      <c r="O101" s="866"/>
      <c r="P101" s="866"/>
      <c r="Q101" s="866"/>
      <c r="R101" s="866"/>
      <c r="S101" s="866"/>
      <c r="T101" s="866"/>
      <c r="U101" s="866"/>
      <c r="V101" s="866"/>
      <c r="W101" s="866"/>
      <c r="X101" s="866"/>
      <c r="Y101" s="866"/>
      <c r="Z101" s="866"/>
      <c r="AA101" s="866"/>
      <c r="AB101" s="866"/>
      <c r="AC101" s="866"/>
      <c r="AD101" s="866"/>
      <c r="AE101" s="866"/>
      <c r="AF101" s="866"/>
      <c r="AG101" s="866"/>
      <c r="AH101" s="185"/>
      <c r="AI101" s="185"/>
      <c r="AJ101" s="866"/>
      <c r="AK101" s="866"/>
      <c r="AL101" s="866"/>
      <c r="AM101" s="866"/>
      <c r="AN101" s="866"/>
      <c r="AO101" s="866"/>
      <c r="AP101" s="866"/>
      <c r="AQ101" s="866"/>
      <c r="AR101" s="866"/>
      <c r="AS101" s="866"/>
      <c r="AT101" s="185"/>
      <c r="AU101" s="185"/>
      <c r="AV101" s="185"/>
      <c r="AW101" s="185"/>
      <c r="AX101" s="185"/>
      <c r="AY101" s="185"/>
      <c r="AZ101" s="185"/>
      <c r="BA101" s="185"/>
      <c r="BB101" s="185"/>
      <c r="BC101" s="185"/>
      <c r="BD101" s="185"/>
      <c r="BE101" s="185"/>
      <c r="BF101" s="185"/>
      <c r="BG101" s="185"/>
      <c r="BH101" s="185"/>
      <c r="BI101" s="185"/>
      <c r="BJ101" s="185"/>
      <c r="BK101" s="185"/>
      <c r="BL101" s="186"/>
      <c r="BM101" s="186"/>
      <c r="BN101" s="186"/>
      <c r="BO101" s="186"/>
      <c r="BP101" s="186"/>
      <c r="BQ101" s="186"/>
      <c r="BR101" s="186"/>
      <c r="BS101" s="186"/>
      <c r="BT101" s="186"/>
      <c r="BU101" s="186"/>
      <c r="BV101" s="186"/>
      <c r="BW101" s="186"/>
      <c r="BX101" s="186"/>
      <c r="BY101" s="186"/>
      <c r="BZ101" s="186"/>
      <c r="CA101" s="186"/>
      <c r="CB101" s="186"/>
      <c r="CC101" s="186"/>
      <c r="CD101" s="186"/>
      <c r="CE101" s="186"/>
      <c r="CF101" s="186"/>
      <c r="CG101" s="186"/>
    </row>
    <row r="102" spans="1:85" ht="15.75">
      <c r="A102" s="185"/>
      <c r="B102" s="866"/>
      <c r="C102" s="866"/>
      <c r="D102" s="866"/>
      <c r="E102" s="866"/>
      <c r="F102" s="866"/>
      <c r="G102" s="866"/>
      <c r="H102" s="866"/>
      <c r="I102" s="866"/>
      <c r="J102" s="866"/>
      <c r="K102" s="185"/>
      <c r="L102" s="185"/>
      <c r="M102" s="185"/>
      <c r="N102" s="185"/>
      <c r="O102" s="866"/>
      <c r="P102" s="866"/>
      <c r="Q102" s="866"/>
      <c r="R102" s="866"/>
      <c r="S102" s="866"/>
      <c r="T102" s="866"/>
      <c r="U102" s="866"/>
      <c r="V102" s="866"/>
      <c r="W102" s="866"/>
      <c r="X102" s="866"/>
      <c r="Y102" s="866"/>
      <c r="Z102" s="866"/>
      <c r="AA102" s="866"/>
      <c r="AB102" s="866"/>
      <c r="AC102" s="866"/>
      <c r="AD102" s="866"/>
      <c r="AE102" s="866"/>
      <c r="AF102" s="866"/>
      <c r="AG102" s="866"/>
      <c r="AH102" s="185"/>
      <c r="AI102" s="185"/>
      <c r="AJ102" s="866"/>
      <c r="AK102" s="866"/>
      <c r="AL102" s="866"/>
      <c r="AM102" s="866"/>
      <c r="AN102" s="866"/>
      <c r="AO102" s="866"/>
      <c r="AP102" s="866"/>
      <c r="AQ102" s="866"/>
      <c r="AR102" s="866"/>
      <c r="AS102" s="866"/>
      <c r="AT102" s="185"/>
      <c r="AU102" s="185"/>
      <c r="AV102" s="185"/>
      <c r="AW102" s="185"/>
      <c r="AX102" s="185"/>
      <c r="AY102" s="185"/>
      <c r="AZ102" s="185"/>
      <c r="BA102" s="185"/>
      <c r="BB102" s="185"/>
      <c r="BC102" s="185"/>
      <c r="BD102" s="185"/>
      <c r="BE102" s="185"/>
      <c r="BF102" s="185"/>
      <c r="BG102" s="185"/>
      <c r="BH102" s="185"/>
      <c r="BI102" s="185"/>
      <c r="BJ102" s="185"/>
      <c r="BK102" s="185"/>
      <c r="BL102" s="186"/>
      <c r="BM102" s="186"/>
      <c r="BN102" s="186"/>
      <c r="BO102" s="186"/>
      <c r="BP102" s="186"/>
      <c r="BQ102" s="186"/>
      <c r="BR102" s="186"/>
      <c r="BS102" s="186"/>
      <c r="BT102" s="186"/>
      <c r="BU102" s="186"/>
      <c r="BV102" s="186"/>
      <c r="BW102" s="186"/>
      <c r="BX102" s="186"/>
      <c r="BY102" s="186"/>
      <c r="BZ102" s="186"/>
      <c r="CA102" s="186"/>
      <c r="CB102" s="186"/>
      <c r="CC102" s="186"/>
      <c r="CD102" s="186"/>
      <c r="CE102" s="186"/>
      <c r="CF102" s="186"/>
      <c r="CG102" s="186"/>
    </row>
    <row r="103" spans="1:85" ht="15.75">
      <c r="A103" s="185"/>
      <c r="B103" s="866"/>
      <c r="C103" s="866"/>
      <c r="D103" s="866"/>
      <c r="E103" s="866"/>
      <c r="F103" s="866"/>
      <c r="G103" s="866"/>
      <c r="H103" s="866"/>
      <c r="I103" s="866"/>
      <c r="J103" s="866"/>
      <c r="K103" s="185"/>
      <c r="L103" s="185"/>
      <c r="M103" s="185"/>
      <c r="N103" s="185"/>
      <c r="O103" s="866"/>
      <c r="P103" s="866"/>
      <c r="Q103" s="866"/>
      <c r="R103" s="866"/>
      <c r="S103" s="866"/>
      <c r="T103" s="866"/>
      <c r="U103" s="866"/>
      <c r="V103" s="866"/>
      <c r="W103" s="866"/>
      <c r="X103" s="866"/>
      <c r="Y103" s="866"/>
      <c r="Z103" s="866"/>
      <c r="AA103" s="866"/>
      <c r="AB103" s="866"/>
      <c r="AC103" s="866"/>
      <c r="AD103" s="866"/>
      <c r="AE103" s="866"/>
      <c r="AF103" s="866"/>
      <c r="AG103" s="866"/>
      <c r="AH103" s="185"/>
      <c r="AI103" s="185"/>
      <c r="AJ103" s="866"/>
      <c r="AK103" s="866"/>
      <c r="AL103" s="866"/>
      <c r="AM103" s="866"/>
      <c r="AN103" s="866"/>
      <c r="AO103" s="866"/>
      <c r="AP103" s="866"/>
      <c r="AQ103" s="866"/>
      <c r="AR103" s="866"/>
      <c r="AS103" s="866"/>
      <c r="AT103" s="185"/>
      <c r="AU103" s="185"/>
      <c r="AV103" s="185"/>
      <c r="AW103" s="185"/>
      <c r="AX103" s="185"/>
      <c r="AY103" s="185"/>
      <c r="AZ103" s="185"/>
      <c r="BA103" s="185"/>
      <c r="BB103" s="185"/>
      <c r="BC103" s="185"/>
      <c r="BD103" s="185"/>
      <c r="BE103" s="185"/>
      <c r="BF103" s="185"/>
      <c r="BG103" s="185"/>
      <c r="BH103" s="185"/>
      <c r="BI103" s="185"/>
      <c r="BJ103" s="185"/>
      <c r="BK103" s="185"/>
      <c r="BL103" s="186"/>
      <c r="BM103" s="186"/>
      <c r="BN103" s="186"/>
      <c r="BO103" s="186"/>
      <c r="BP103" s="186"/>
      <c r="BQ103" s="186"/>
      <c r="BR103" s="186"/>
      <c r="BS103" s="186"/>
      <c r="BT103" s="186"/>
      <c r="BU103" s="186"/>
      <c r="BV103" s="186"/>
      <c r="BW103" s="186"/>
      <c r="BX103" s="186"/>
      <c r="BY103" s="186"/>
      <c r="BZ103" s="186"/>
      <c r="CA103" s="186"/>
      <c r="CB103" s="186"/>
      <c r="CC103" s="186"/>
      <c r="CD103" s="186"/>
      <c r="CE103" s="186"/>
      <c r="CF103" s="186"/>
      <c r="CG103" s="186"/>
    </row>
    <row r="104" spans="1:85" ht="15.75">
      <c r="A104" s="185"/>
      <c r="B104" s="866"/>
      <c r="C104" s="866"/>
      <c r="D104" s="866"/>
      <c r="E104" s="866"/>
      <c r="F104" s="866"/>
      <c r="G104" s="866"/>
      <c r="H104" s="866"/>
      <c r="I104" s="866"/>
      <c r="J104" s="866"/>
      <c r="K104" s="185"/>
      <c r="L104" s="185"/>
      <c r="M104" s="185"/>
      <c r="N104" s="185"/>
      <c r="O104" s="866"/>
      <c r="P104" s="866"/>
      <c r="Q104" s="866"/>
      <c r="R104" s="866"/>
      <c r="S104" s="866"/>
      <c r="T104" s="866"/>
      <c r="U104" s="866"/>
      <c r="V104" s="866"/>
      <c r="W104" s="866"/>
      <c r="X104" s="866"/>
      <c r="Y104" s="866"/>
      <c r="Z104" s="866"/>
      <c r="AA104" s="866"/>
      <c r="AB104" s="866"/>
      <c r="AC104" s="866"/>
      <c r="AD104" s="866"/>
      <c r="AE104" s="866"/>
      <c r="AF104" s="866"/>
      <c r="AG104" s="866"/>
      <c r="AH104" s="185"/>
      <c r="AI104" s="185"/>
      <c r="AJ104" s="866"/>
      <c r="AK104" s="866"/>
      <c r="AL104" s="866"/>
      <c r="AM104" s="866"/>
      <c r="AN104" s="866"/>
      <c r="AO104" s="866"/>
      <c r="AP104" s="866"/>
      <c r="AQ104" s="866"/>
      <c r="AR104" s="866"/>
      <c r="AS104" s="866"/>
      <c r="AT104" s="185"/>
      <c r="AU104" s="185"/>
      <c r="AV104" s="185"/>
      <c r="AW104" s="185"/>
      <c r="AX104" s="185"/>
      <c r="AY104" s="185"/>
      <c r="AZ104" s="185"/>
      <c r="BA104" s="185"/>
      <c r="BB104" s="185"/>
      <c r="BC104" s="185"/>
      <c r="BD104" s="185"/>
      <c r="BE104" s="185"/>
      <c r="BF104" s="185"/>
      <c r="BG104" s="185"/>
      <c r="BH104" s="185"/>
      <c r="BI104" s="185"/>
      <c r="BJ104" s="185"/>
      <c r="BK104" s="185"/>
      <c r="BL104" s="186"/>
      <c r="BM104" s="186"/>
      <c r="BN104" s="186"/>
      <c r="BO104" s="186"/>
      <c r="BP104" s="186"/>
      <c r="BQ104" s="186"/>
      <c r="BR104" s="186"/>
      <c r="BS104" s="186"/>
      <c r="BT104" s="186"/>
      <c r="BU104" s="186"/>
      <c r="BV104" s="186"/>
      <c r="BW104" s="186"/>
      <c r="BX104" s="186"/>
      <c r="BY104" s="186"/>
      <c r="BZ104" s="186"/>
      <c r="CA104" s="186"/>
      <c r="CB104" s="186"/>
      <c r="CC104" s="186"/>
      <c r="CD104" s="186"/>
      <c r="CE104" s="186"/>
      <c r="CF104" s="186"/>
      <c r="CG104" s="186"/>
    </row>
    <row r="105" spans="1:85" ht="15.75">
      <c r="A105" s="185"/>
      <c r="B105" s="866"/>
      <c r="C105" s="866"/>
      <c r="D105" s="866"/>
      <c r="E105" s="866"/>
      <c r="F105" s="866"/>
      <c r="G105" s="866"/>
      <c r="H105" s="866"/>
      <c r="I105" s="866"/>
      <c r="J105" s="866"/>
      <c r="K105" s="185"/>
      <c r="L105" s="185"/>
      <c r="M105" s="185"/>
      <c r="N105" s="185"/>
      <c r="O105" s="866"/>
      <c r="P105" s="866"/>
      <c r="Q105" s="866"/>
      <c r="R105" s="866"/>
      <c r="S105" s="866"/>
      <c r="T105" s="866"/>
      <c r="U105" s="866"/>
      <c r="V105" s="866"/>
      <c r="W105" s="866"/>
      <c r="X105" s="866"/>
      <c r="Y105" s="866"/>
      <c r="Z105" s="866"/>
      <c r="AA105" s="866"/>
      <c r="AB105" s="866"/>
      <c r="AC105" s="866"/>
      <c r="AD105" s="866"/>
      <c r="AE105" s="866"/>
      <c r="AF105" s="866"/>
      <c r="AG105" s="866"/>
      <c r="AH105" s="185"/>
      <c r="AI105" s="185"/>
      <c r="AJ105" s="866"/>
      <c r="AK105" s="866"/>
      <c r="AL105" s="866"/>
      <c r="AM105" s="866"/>
      <c r="AN105" s="866"/>
      <c r="AO105" s="866"/>
      <c r="AP105" s="866"/>
      <c r="AQ105" s="866"/>
      <c r="AR105" s="866"/>
      <c r="AS105" s="866"/>
      <c r="AT105" s="185"/>
      <c r="AU105" s="185"/>
      <c r="AV105" s="185"/>
      <c r="AW105" s="185"/>
      <c r="AX105" s="185"/>
      <c r="AY105" s="185"/>
      <c r="AZ105" s="185"/>
      <c r="BA105" s="185"/>
      <c r="BB105" s="185"/>
      <c r="BC105" s="185"/>
      <c r="BD105" s="185"/>
      <c r="BE105" s="185"/>
      <c r="BF105" s="185"/>
      <c r="BG105" s="185"/>
      <c r="BH105" s="185"/>
      <c r="BI105" s="185"/>
      <c r="BJ105" s="185"/>
      <c r="BK105" s="185"/>
      <c r="BL105" s="186"/>
      <c r="BM105" s="186"/>
      <c r="BN105" s="186"/>
      <c r="BO105" s="186"/>
      <c r="BP105" s="186"/>
      <c r="BQ105" s="186"/>
      <c r="BR105" s="186"/>
      <c r="BS105" s="186"/>
      <c r="BT105" s="186"/>
      <c r="BU105" s="186"/>
      <c r="BV105" s="186"/>
      <c r="BW105" s="186"/>
      <c r="BX105" s="186"/>
      <c r="BY105" s="186"/>
      <c r="BZ105" s="186"/>
      <c r="CA105" s="186"/>
      <c r="CB105" s="186"/>
      <c r="CC105" s="186"/>
      <c r="CD105" s="186"/>
      <c r="CE105" s="186"/>
      <c r="CF105" s="186"/>
      <c r="CG105" s="186"/>
    </row>
    <row r="106" spans="1:85" ht="15.75">
      <c r="A106" s="185"/>
      <c r="B106" s="866"/>
      <c r="C106" s="866"/>
      <c r="D106" s="866"/>
      <c r="E106" s="866"/>
      <c r="F106" s="866"/>
      <c r="G106" s="866"/>
      <c r="H106" s="866"/>
      <c r="I106" s="866"/>
      <c r="J106" s="866"/>
      <c r="K106" s="185"/>
      <c r="L106" s="185"/>
      <c r="M106" s="185"/>
      <c r="N106" s="185"/>
      <c r="O106" s="866"/>
      <c r="P106" s="866"/>
      <c r="Q106" s="866"/>
      <c r="R106" s="866"/>
      <c r="S106" s="866"/>
      <c r="T106" s="866"/>
      <c r="U106" s="866"/>
      <c r="V106" s="866"/>
      <c r="W106" s="866"/>
      <c r="X106" s="866"/>
      <c r="Y106" s="866"/>
      <c r="Z106" s="866"/>
      <c r="AA106" s="866"/>
      <c r="AB106" s="866"/>
      <c r="AC106" s="866"/>
      <c r="AD106" s="866"/>
      <c r="AE106" s="866"/>
      <c r="AF106" s="866"/>
      <c r="AG106" s="866"/>
      <c r="AH106" s="185"/>
      <c r="AI106" s="185"/>
      <c r="AJ106" s="866"/>
      <c r="AK106" s="866"/>
      <c r="AL106" s="866"/>
      <c r="AM106" s="866"/>
      <c r="AN106" s="866"/>
      <c r="AO106" s="866"/>
      <c r="AP106" s="866"/>
      <c r="AQ106" s="866"/>
      <c r="AR106" s="866"/>
      <c r="AS106" s="866"/>
      <c r="AT106" s="185"/>
      <c r="AU106" s="185"/>
      <c r="AV106" s="185"/>
      <c r="AW106" s="185"/>
      <c r="AX106" s="185"/>
      <c r="AY106" s="185"/>
      <c r="AZ106" s="185"/>
      <c r="BA106" s="185"/>
      <c r="BB106" s="185"/>
      <c r="BC106" s="185"/>
      <c r="BD106" s="185"/>
      <c r="BE106" s="185"/>
      <c r="BF106" s="185"/>
      <c r="BG106" s="185"/>
      <c r="BH106" s="185"/>
      <c r="BI106" s="185"/>
      <c r="BJ106" s="185"/>
      <c r="BK106" s="185"/>
      <c r="BL106" s="186"/>
      <c r="BM106" s="186"/>
      <c r="BN106" s="186"/>
      <c r="BO106" s="186"/>
      <c r="BP106" s="186"/>
      <c r="BQ106" s="186"/>
      <c r="BR106" s="186"/>
      <c r="BS106" s="186"/>
      <c r="BT106" s="186"/>
      <c r="BU106" s="186"/>
      <c r="BV106" s="186"/>
      <c r="BW106" s="186"/>
      <c r="BX106" s="186"/>
      <c r="BY106" s="186"/>
      <c r="BZ106" s="186"/>
      <c r="CA106" s="186"/>
      <c r="CB106" s="186"/>
      <c r="CC106" s="186"/>
      <c r="CD106" s="186"/>
      <c r="CE106" s="186"/>
      <c r="CF106" s="186"/>
      <c r="CG106" s="186"/>
    </row>
    <row r="107" spans="1:85" ht="15.75">
      <c r="A107" s="185"/>
      <c r="B107" s="866"/>
      <c r="C107" s="866"/>
      <c r="D107" s="866"/>
      <c r="E107" s="866"/>
      <c r="F107" s="866"/>
      <c r="G107" s="866"/>
      <c r="H107" s="866"/>
      <c r="I107" s="866"/>
      <c r="J107" s="866"/>
      <c r="K107" s="185"/>
      <c r="L107" s="185"/>
      <c r="M107" s="185"/>
      <c r="N107" s="185"/>
      <c r="O107" s="866"/>
      <c r="P107" s="866"/>
      <c r="Q107" s="866"/>
      <c r="R107" s="866"/>
      <c r="S107" s="866"/>
      <c r="T107" s="866"/>
      <c r="U107" s="866"/>
      <c r="V107" s="866"/>
      <c r="W107" s="866"/>
      <c r="X107" s="866"/>
      <c r="Y107" s="866"/>
      <c r="Z107" s="866"/>
      <c r="AA107" s="866"/>
      <c r="AB107" s="866"/>
      <c r="AC107" s="866"/>
      <c r="AD107" s="866"/>
      <c r="AE107" s="866"/>
      <c r="AF107" s="866"/>
      <c r="AG107" s="866"/>
      <c r="AH107" s="185"/>
      <c r="AI107" s="185"/>
      <c r="AJ107" s="866"/>
      <c r="AK107" s="866"/>
      <c r="AL107" s="866"/>
      <c r="AM107" s="866"/>
      <c r="AN107" s="866"/>
      <c r="AO107" s="866"/>
      <c r="AP107" s="866"/>
      <c r="AQ107" s="866"/>
      <c r="AR107" s="866"/>
      <c r="AS107" s="866"/>
      <c r="AT107" s="185"/>
      <c r="AU107" s="185"/>
      <c r="AV107" s="185"/>
      <c r="AW107" s="185"/>
      <c r="AX107" s="185"/>
      <c r="AY107" s="185"/>
      <c r="AZ107" s="185"/>
      <c r="BA107" s="185"/>
      <c r="BB107" s="185"/>
      <c r="BC107" s="185"/>
      <c r="BD107" s="185"/>
      <c r="BE107" s="185"/>
      <c r="BF107" s="185"/>
      <c r="BG107" s="185"/>
      <c r="BH107" s="185"/>
      <c r="BI107" s="185"/>
      <c r="BJ107" s="185"/>
      <c r="BK107" s="185"/>
      <c r="BL107" s="186"/>
      <c r="BM107" s="186"/>
      <c r="BN107" s="186"/>
      <c r="BO107" s="186"/>
      <c r="BP107" s="186"/>
      <c r="BQ107" s="186"/>
      <c r="BR107" s="186"/>
      <c r="BS107" s="186"/>
      <c r="BT107" s="186"/>
      <c r="BU107" s="186"/>
      <c r="BV107" s="186"/>
      <c r="BW107" s="186"/>
      <c r="BX107" s="186"/>
      <c r="BY107" s="186"/>
      <c r="BZ107" s="186"/>
      <c r="CA107" s="186"/>
      <c r="CB107" s="186"/>
      <c r="CC107" s="186"/>
      <c r="CD107" s="186"/>
      <c r="CE107" s="186"/>
      <c r="CF107" s="186"/>
      <c r="CG107" s="186"/>
    </row>
    <row r="108" spans="1:85" ht="15.75">
      <c r="A108" s="185"/>
      <c r="B108" s="866"/>
      <c r="C108" s="866"/>
      <c r="D108" s="866"/>
      <c r="E108" s="866"/>
      <c r="F108" s="866"/>
      <c r="G108" s="866"/>
      <c r="H108" s="866"/>
      <c r="I108" s="866"/>
      <c r="J108" s="866"/>
      <c r="K108" s="185"/>
      <c r="L108" s="185"/>
      <c r="M108" s="185"/>
      <c r="N108" s="185"/>
      <c r="O108" s="866"/>
      <c r="P108" s="866"/>
      <c r="Q108" s="866"/>
      <c r="R108" s="866"/>
      <c r="S108" s="866"/>
      <c r="T108" s="866"/>
      <c r="U108" s="866"/>
      <c r="V108" s="866"/>
      <c r="W108" s="866"/>
      <c r="X108" s="866"/>
      <c r="Y108" s="866"/>
      <c r="Z108" s="866"/>
      <c r="AA108" s="866"/>
      <c r="AB108" s="866"/>
      <c r="AC108" s="866"/>
      <c r="AD108" s="866"/>
      <c r="AE108" s="866"/>
      <c r="AF108" s="866"/>
      <c r="AG108" s="866"/>
      <c r="AH108" s="185"/>
      <c r="AI108" s="185"/>
      <c r="AJ108" s="866"/>
      <c r="AK108" s="866"/>
      <c r="AL108" s="866"/>
      <c r="AM108" s="866"/>
      <c r="AN108" s="866"/>
      <c r="AO108" s="866"/>
      <c r="AP108" s="866"/>
      <c r="AQ108" s="866"/>
      <c r="AR108" s="866"/>
      <c r="AS108" s="866"/>
      <c r="AT108" s="185"/>
      <c r="AU108" s="185"/>
      <c r="AV108" s="185"/>
      <c r="AW108" s="185"/>
      <c r="AX108" s="185"/>
      <c r="AY108" s="185"/>
      <c r="AZ108" s="185"/>
      <c r="BA108" s="185"/>
      <c r="BB108" s="185"/>
      <c r="BC108" s="185"/>
      <c r="BD108" s="185"/>
      <c r="BE108" s="185"/>
      <c r="BF108" s="185"/>
      <c r="BG108" s="185"/>
      <c r="BH108" s="185"/>
      <c r="BI108" s="185"/>
      <c r="BJ108" s="185"/>
      <c r="BK108" s="185"/>
      <c r="BL108" s="186"/>
      <c r="BM108" s="186"/>
      <c r="BN108" s="186"/>
      <c r="BO108" s="186"/>
      <c r="BP108" s="186"/>
      <c r="BQ108" s="186"/>
      <c r="BR108" s="186"/>
      <c r="BS108" s="186"/>
      <c r="BT108" s="186"/>
      <c r="BU108" s="186"/>
      <c r="BV108" s="186"/>
      <c r="BW108" s="186"/>
      <c r="BX108" s="186"/>
      <c r="BY108" s="186"/>
      <c r="BZ108" s="186"/>
      <c r="CA108" s="186"/>
      <c r="CB108" s="186"/>
      <c r="CC108" s="186"/>
      <c r="CD108" s="186"/>
      <c r="CE108" s="186"/>
      <c r="CF108" s="186"/>
      <c r="CG108" s="186"/>
    </row>
    <row r="109" spans="1:85" ht="15.75">
      <c r="A109" s="185"/>
      <c r="B109" s="866"/>
      <c r="C109" s="866"/>
      <c r="D109" s="866"/>
      <c r="E109" s="866"/>
      <c r="F109" s="866"/>
      <c r="G109" s="866"/>
      <c r="H109" s="866"/>
      <c r="I109" s="866"/>
      <c r="J109" s="866"/>
      <c r="K109" s="185"/>
      <c r="L109" s="185"/>
      <c r="M109" s="185"/>
      <c r="N109" s="185"/>
      <c r="O109" s="866"/>
      <c r="P109" s="866"/>
      <c r="Q109" s="866"/>
      <c r="R109" s="866"/>
      <c r="S109" s="866"/>
      <c r="T109" s="866"/>
      <c r="U109" s="866"/>
      <c r="V109" s="866"/>
      <c r="W109" s="866"/>
      <c r="X109" s="866"/>
      <c r="Y109" s="866"/>
      <c r="Z109" s="866"/>
      <c r="AA109" s="866"/>
      <c r="AB109" s="866"/>
      <c r="AC109" s="866"/>
      <c r="AD109" s="866"/>
      <c r="AE109" s="866"/>
      <c r="AF109" s="866"/>
      <c r="AG109" s="866"/>
      <c r="AH109" s="185"/>
      <c r="AI109" s="185"/>
      <c r="AJ109" s="866"/>
      <c r="AK109" s="866"/>
      <c r="AL109" s="866"/>
      <c r="AM109" s="866"/>
      <c r="AN109" s="866"/>
      <c r="AO109" s="866"/>
      <c r="AP109" s="866"/>
      <c r="AQ109" s="866"/>
      <c r="AR109" s="866"/>
      <c r="AS109" s="866"/>
      <c r="AT109" s="185"/>
      <c r="AU109" s="185"/>
      <c r="AV109" s="185"/>
      <c r="AW109" s="185"/>
      <c r="AX109" s="185"/>
      <c r="AY109" s="185"/>
      <c r="AZ109" s="185"/>
      <c r="BA109" s="185"/>
      <c r="BB109" s="185"/>
      <c r="BC109" s="185"/>
      <c r="BD109" s="185"/>
      <c r="BE109" s="185"/>
      <c r="BF109" s="185"/>
      <c r="BG109" s="185"/>
      <c r="BH109" s="185"/>
      <c r="BI109" s="185"/>
      <c r="BJ109" s="185"/>
      <c r="BK109" s="185"/>
      <c r="BL109" s="186"/>
      <c r="BM109" s="186"/>
      <c r="BN109" s="186"/>
      <c r="BO109" s="186"/>
      <c r="BP109" s="186"/>
      <c r="BQ109" s="186"/>
      <c r="BR109" s="186"/>
      <c r="BS109" s="186"/>
      <c r="BT109" s="186"/>
      <c r="BU109" s="186"/>
      <c r="BV109" s="186"/>
      <c r="BW109" s="186"/>
      <c r="BX109" s="186"/>
      <c r="BY109" s="186"/>
      <c r="BZ109" s="186"/>
      <c r="CA109" s="186"/>
      <c r="CB109" s="186"/>
      <c r="CC109" s="186"/>
      <c r="CD109" s="186"/>
      <c r="CE109" s="186"/>
      <c r="CF109" s="186"/>
      <c r="CG109" s="186"/>
    </row>
    <row r="110" spans="1:85" ht="15.75">
      <c r="A110" s="185"/>
      <c r="B110" s="866"/>
      <c r="C110" s="866"/>
      <c r="D110" s="866"/>
      <c r="E110" s="866"/>
      <c r="F110" s="866"/>
      <c r="G110" s="866"/>
      <c r="H110" s="866"/>
      <c r="I110" s="866"/>
      <c r="J110" s="866"/>
      <c r="K110" s="185"/>
      <c r="L110" s="185"/>
      <c r="M110" s="185"/>
      <c r="N110" s="185"/>
      <c r="O110" s="866"/>
      <c r="P110" s="866"/>
      <c r="Q110" s="866"/>
      <c r="R110" s="866"/>
      <c r="S110" s="866"/>
      <c r="T110" s="866"/>
      <c r="U110" s="866"/>
      <c r="V110" s="866"/>
      <c r="W110" s="866"/>
      <c r="X110" s="866"/>
      <c r="Y110" s="866"/>
      <c r="Z110" s="866"/>
      <c r="AA110" s="866"/>
      <c r="AB110" s="866"/>
      <c r="AC110" s="866"/>
      <c r="AD110" s="866"/>
      <c r="AE110" s="866"/>
      <c r="AF110" s="866"/>
      <c r="AG110" s="866"/>
      <c r="AH110" s="185"/>
      <c r="AI110" s="185"/>
      <c r="AJ110" s="866"/>
      <c r="AK110" s="866"/>
      <c r="AL110" s="866"/>
      <c r="AM110" s="866"/>
      <c r="AN110" s="866"/>
      <c r="AO110" s="866"/>
      <c r="AP110" s="866"/>
      <c r="AQ110" s="866"/>
      <c r="AR110" s="866"/>
      <c r="AS110" s="866"/>
      <c r="AT110" s="185"/>
      <c r="AU110" s="185"/>
      <c r="AV110" s="185"/>
      <c r="AW110" s="185"/>
      <c r="AX110" s="185"/>
      <c r="AY110" s="185"/>
      <c r="AZ110" s="185"/>
      <c r="BA110" s="185"/>
      <c r="BB110" s="185"/>
      <c r="BC110" s="185"/>
      <c r="BD110" s="185"/>
      <c r="BE110" s="185"/>
      <c r="BF110" s="185"/>
      <c r="BG110" s="185"/>
      <c r="BH110" s="185"/>
      <c r="BI110" s="185"/>
      <c r="BJ110" s="185"/>
      <c r="BK110" s="185"/>
      <c r="BL110" s="186"/>
      <c r="BM110" s="186"/>
      <c r="BN110" s="186"/>
      <c r="BO110" s="186"/>
      <c r="BP110" s="186"/>
      <c r="BQ110" s="186"/>
      <c r="BR110" s="186"/>
      <c r="BS110" s="186"/>
      <c r="BT110" s="186"/>
      <c r="BU110" s="186"/>
      <c r="BV110" s="186"/>
      <c r="BW110" s="186"/>
      <c r="BX110" s="186"/>
      <c r="BY110" s="186"/>
      <c r="BZ110" s="186"/>
      <c r="CA110" s="186"/>
      <c r="CB110" s="186"/>
      <c r="CC110" s="186"/>
      <c r="CD110" s="186"/>
      <c r="CE110" s="186"/>
      <c r="CF110" s="186"/>
      <c r="CG110" s="186"/>
    </row>
    <row r="111" spans="1:85" ht="15.75">
      <c r="A111" s="185"/>
      <c r="B111" s="866"/>
      <c r="C111" s="866"/>
      <c r="D111" s="866"/>
      <c r="E111" s="866"/>
      <c r="F111" s="866"/>
      <c r="G111" s="866"/>
      <c r="H111" s="866"/>
      <c r="I111" s="866"/>
      <c r="J111" s="866"/>
      <c r="K111" s="185"/>
      <c r="L111" s="185"/>
      <c r="M111" s="185"/>
      <c r="N111" s="185"/>
      <c r="O111" s="866"/>
      <c r="P111" s="866"/>
      <c r="Q111" s="866"/>
      <c r="R111" s="866"/>
      <c r="S111" s="866"/>
      <c r="T111" s="866"/>
      <c r="U111" s="866"/>
      <c r="V111" s="866"/>
      <c r="W111" s="866"/>
      <c r="X111" s="866"/>
      <c r="Y111" s="866"/>
      <c r="Z111" s="866"/>
      <c r="AA111" s="866"/>
      <c r="AB111" s="866"/>
      <c r="AC111" s="866"/>
      <c r="AD111" s="866"/>
      <c r="AE111" s="866"/>
      <c r="AF111" s="866"/>
      <c r="AG111" s="866"/>
      <c r="AH111" s="185"/>
      <c r="AI111" s="185"/>
      <c r="AJ111" s="866"/>
      <c r="AK111" s="866"/>
      <c r="AL111" s="866"/>
      <c r="AM111" s="866"/>
      <c r="AN111" s="866"/>
      <c r="AO111" s="866"/>
      <c r="AP111" s="866"/>
      <c r="AQ111" s="866"/>
      <c r="AR111" s="866"/>
      <c r="AS111" s="866"/>
      <c r="AT111" s="185"/>
      <c r="AU111" s="185"/>
      <c r="AV111" s="185"/>
      <c r="AW111" s="185"/>
      <c r="AX111" s="185"/>
      <c r="AY111" s="185"/>
      <c r="AZ111" s="185"/>
      <c r="BA111" s="185"/>
      <c r="BB111" s="185"/>
      <c r="BC111" s="185"/>
      <c r="BD111" s="185"/>
      <c r="BE111" s="185"/>
      <c r="BF111" s="185"/>
      <c r="BG111" s="185"/>
      <c r="BH111" s="185"/>
      <c r="BI111" s="185"/>
      <c r="BJ111" s="185"/>
      <c r="BK111" s="185"/>
      <c r="BL111" s="186"/>
      <c r="BM111" s="186"/>
      <c r="BN111" s="186"/>
      <c r="BO111" s="186"/>
      <c r="BP111" s="186"/>
      <c r="BQ111" s="186"/>
      <c r="BR111" s="186"/>
      <c r="BS111" s="186"/>
      <c r="BT111" s="186"/>
      <c r="BU111" s="186"/>
      <c r="BV111" s="186"/>
      <c r="BW111" s="186"/>
      <c r="BX111" s="186"/>
      <c r="BY111" s="186"/>
      <c r="BZ111" s="186"/>
      <c r="CA111" s="186"/>
      <c r="CB111" s="186"/>
      <c r="CC111" s="186"/>
      <c r="CD111" s="186"/>
      <c r="CE111" s="186"/>
      <c r="CF111" s="186"/>
      <c r="CG111" s="186"/>
    </row>
    <row r="112" spans="1:85" ht="15.75">
      <c r="A112" s="185"/>
      <c r="B112" s="866"/>
      <c r="C112" s="866"/>
      <c r="D112" s="866"/>
      <c r="E112" s="866"/>
      <c r="F112" s="866"/>
      <c r="G112" s="866"/>
      <c r="H112" s="866"/>
      <c r="I112" s="866"/>
      <c r="J112" s="866"/>
      <c r="K112" s="185"/>
      <c r="L112" s="185"/>
      <c r="M112" s="185"/>
      <c r="N112" s="185"/>
      <c r="O112" s="866"/>
      <c r="P112" s="866"/>
      <c r="Q112" s="866"/>
      <c r="R112" s="866"/>
      <c r="S112" s="866"/>
      <c r="T112" s="866"/>
      <c r="U112" s="866"/>
      <c r="V112" s="866"/>
      <c r="W112" s="866"/>
      <c r="X112" s="866"/>
      <c r="Y112" s="866"/>
      <c r="Z112" s="866"/>
      <c r="AA112" s="866"/>
      <c r="AB112" s="866"/>
      <c r="AC112" s="866"/>
      <c r="AD112" s="866"/>
      <c r="AE112" s="866"/>
      <c r="AF112" s="866"/>
      <c r="AG112" s="866"/>
      <c r="AH112" s="185"/>
      <c r="AI112" s="185"/>
      <c r="AJ112" s="866"/>
      <c r="AK112" s="866"/>
      <c r="AL112" s="866"/>
      <c r="AM112" s="866"/>
      <c r="AN112" s="866"/>
      <c r="AO112" s="866"/>
      <c r="AP112" s="866"/>
      <c r="AQ112" s="866"/>
      <c r="AR112" s="866"/>
      <c r="AS112" s="866"/>
      <c r="AT112" s="185"/>
      <c r="AU112" s="185"/>
      <c r="AV112" s="185"/>
      <c r="AW112" s="185"/>
      <c r="AX112" s="185"/>
      <c r="AY112" s="185"/>
      <c r="AZ112" s="185"/>
      <c r="BA112" s="185"/>
      <c r="BB112" s="185"/>
      <c r="BC112" s="185"/>
      <c r="BD112" s="185"/>
      <c r="BE112" s="185"/>
      <c r="BF112" s="185"/>
      <c r="BG112" s="185"/>
      <c r="BH112" s="185"/>
      <c r="BI112" s="185"/>
      <c r="BJ112" s="185"/>
      <c r="BK112" s="185"/>
      <c r="BL112" s="186"/>
      <c r="BM112" s="186"/>
      <c r="BN112" s="186"/>
      <c r="BO112" s="186"/>
      <c r="BP112" s="186"/>
      <c r="BQ112" s="186"/>
      <c r="BR112" s="186"/>
      <c r="BS112" s="186"/>
      <c r="BT112" s="186"/>
      <c r="BU112" s="186"/>
      <c r="BV112" s="186"/>
      <c r="BW112" s="186"/>
      <c r="BX112" s="186"/>
      <c r="BY112" s="186"/>
      <c r="BZ112" s="186"/>
      <c r="CA112" s="186"/>
      <c r="CB112" s="186"/>
      <c r="CC112" s="186"/>
      <c r="CD112" s="186"/>
      <c r="CE112" s="186"/>
      <c r="CF112" s="186"/>
      <c r="CG112" s="186"/>
    </row>
    <row r="113" spans="1:85" ht="15.75">
      <c r="A113" s="185"/>
      <c r="B113" s="866"/>
      <c r="C113" s="866"/>
      <c r="D113" s="866"/>
      <c r="E113" s="866"/>
      <c r="F113" s="866"/>
      <c r="G113" s="866"/>
      <c r="H113" s="866"/>
      <c r="I113" s="866"/>
      <c r="J113" s="866"/>
      <c r="K113" s="185"/>
      <c r="L113" s="185"/>
      <c r="M113" s="185"/>
      <c r="N113" s="185"/>
      <c r="O113" s="866"/>
      <c r="P113" s="866"/>
      <c r="Q113" s="866"/>
      <c r="R113" s="866"/>
      <c r="S113" s="866"/>
      <c r="T113" s="866"/>
      <c r="U113" s="866"/>
      <c r="V113" s="866"/>
      <c r="W113" s="866"/>
      <c r="X113" s="866"/>
      <c r="Y113" s="866"/>
      <c r="Z113" s="866"/>
      <c r="AA113" s="866"/>
      <c r="AB113" s="866"/>
      <c r="AC113" s="866"/>
      <c r="AD113" s="866"/>
      <c r="AE113" s="866"/>
      <c r="AF113" s="866"/>
      <c r="AG113" s="866"/>
      <c r="AH113" s="185"/>
      <c r="AI113" s="185"/>
      <c r="AJ113" s="866"/>
      <c r="AK113" s="866"/>
      <c r="AL113" s="866"/>
      <c r="AM113" s="866"/>
      <c r="AN113" s="866"/>
      <c r="AO113" s="866"/>
      <c r="AP113" s="866"/>
      <c r="AQ113" s="866"/>
      <c r="AR113" s="866"/>
      <c r="AS113" s="866"/>
      <c r="AT113" s="185"/>
      <c r="AU113" s="185"/>
      <c r="AV113" s="185"/>
      <c r="AW113" s="185"/>
      <c r="AX113" s="185"/>
      <c r="AY113" s="185"/>
      <c r="AZ113" s="185"/>
      <c r="BA113" s="185"/>
      <c r="BB113" s="185"/>
      <c r="BC113" s="185"/>
      <c r="BD113" s="185"/>
      <c r="BE113" s="185"/>
      <c r="BF113" s="185"/>
      <c r="BG113" s="185"/>
      <c r="BH113" s="185"/>
      <c r="BI113" s="185"/>
      <c r="BJ113" s="185"/>
      <c r="BK113" s="185"/>
      <c r="BL113" s="186"/>
      <c r="BM113" s="186"/>
      <c r="BN113" s="186"/>
      <c r="BO113" s="186"/>
      <c r="BP113" s="186"/>
      <c r="BQ113" s="186"/>
      <c r="BR113" s="186"/>
      <c r="BS113" s="186"/>
      <c r="BT113" s="186"/>
      <c r="BU113" s="186"/>
      <c r="BV113" s="186"/>
      <c r="BW113" s="186"/>
      <c r="BX113" s="186"/>
      <c r="BY113" s="186"/>
      <c r="BZ113" s="186"/>
      <c r="CA113" s="186"/>
      <c r="CB113" s="186"/>
      <c r="CC113" s="186"/>
      <c r="CD113" s="186"/>
      <c r="CE113" s="186"/>
      <c r="CF113" s="186"/>
      <c r="CG113" s="186"/>
    </row>
    <row r="114" spans="1:85" ht="15.75">
      <c r="A114" s="185"/>
      <c r="B114" s="866"/>
      <c r="C114" s="866"/>
      <c r="D114" s="866"/>
      <c r="E114" s="866"/>
      <c r="F114" s="866"/>
      <c r="G114" s="866"/>
      <c r="H114" s="866"/>
      <c r="I114" s="866"/>
      <c r="J114" s="866"/>
      <c r="K114" s="185"/>
      <c r="L114" s="185"/>
      <c r="M114" s="185"/>
      <c r="N114" s="185"/>
      <c r="O114" s="866"/>
      <c r="P114" s="866"/>
      <c r="Q114" s="866"/>
      <c r="R114" s="866"/>
      <c r="S114" s="866"/>
      <c r="T114" s="866"/>
      <c r="U114" s="866"/>
      <c r="V114" s="866"/>
      <c r="W114" s="866"/>
      <c r="X114" s="866"/>
      <c r="Y114" s="866"/>
      <c r="Z114" s="866"/>
      <c r="AA114" s="866"/>
      <c r="AB114" s="866"/>
      <c r="AC114" s="866"/>
      <c r="AD114" s="866"/>
      <c r="AE114" s="866"/>
      <c r="AF114" s="866"/>
      <c r="AG114" s="866"/>
      <c r="AH114" s="185"/>
      <c r="AI114" s="185"/>
      <c r="AJ114" s="866"/>
      <c r="AK114" s="866"/>
      <c r="AL114" s="866"/>
      <c r="AM114" s="866"/>
      <c r="AN114" s="866"/>
      <c r="AO114" s="866"/>
      <c r="AP114" s="866"/>
      <c r="AQ114" s="866"/>
      <c r="AR114" s="866"/>
      <c r="AS114" s="866"/>
      <c r="AT114" s="185"/>
      <c r="AU114" s="185"/>
      <c r="AV114" s="185"/>
      <c r="AW114" s="185"/>
      <c r="AX114" s="185"/>
      <c r="AY114" s="185"/>
      <c r="AZ114" s="185"/>
      <c r="BA114" s="185"/>
      <c r="BB114" s="185"/>
      <c r="BC114" s="185"/>
      <c r="BD114" s="185"/>
      <c r="BE114" s="185"/>
      <c r="BF114" s="185"/>
      <c r="BG114" s="185"/>
      <c r="BH114" s="185"/>
      <c r="BI114" s="185"/>
      <c r="BJ114" s="185"/>
      <c r="BK114" s="185"/>
      <c r="BL114" s="186"/>
      <c r="BM114" s="186"/>
      <c r="BN114" s="186"/>
      <c r="BO114" s="186"/>
      <c r="BP114" s="186"/>
      <c r="BQ114" s="186"/>
      <c r="BR114" s="186"/>
      <c r="BS114" s="186"/>
      <c r="BT114" s="186"/>
      <c r="BU114" s="186"/>
      <c r="BV114" s="186"/>
      <c r="BW114" s="186"/>
      <c r="BX114" s="186"/>
      <c r="BY114" s="186"/>
      <c r="BZ114" s="186"/>
      <c r="CA114" s="186"/>
      <c r="CB114" s="186"/>
      <c r="CC114" s="186"/>
      <c r="CD114" s="186"/>
      <c r="CE114" s="186"/>
      <c r="CF114" s="186"/>
      <c r="CG114" s="186"/>
    </row>
    <row r="115" spans="1:85" ht="15.75">
      <c r="A115" s="185"/>
      <c r="B115" s="866"/>
      <c r="C115" s="866"/>
      <c r="D115" s="866"/>
      <c r="E115" s="866"/>
      <c r="F115" s="866"/>
      <c r="G115" s="866"/>
      <c r="H115" s="866"/>
      <c r="I115" s="866"/>
      <c r="J115" s="866"/>
      <c r="K115" s="185"/>
      <c r="L115" s="185"/>
      <c r="M115" s="185"/>
      <c r="N115" s="185"/>
      <c r="O115" s="866"/>
      <c r="P115" s="866"/>
      <c r="Q115" s="866"/>
      <c r="R115" s="866"/>
      <c r="S115" s="866"/>
      <c r="T115" s="866"/>
      <c r="U115" s="866"/>
      <c r="V115" s="866"/>
      <c r="W115" s="866"/>
      <c r="X115" s="866"/>
      <c r="Y115" s="866"/>
      <c r="Z115" s="866"/>
      <c r="AA115" s="866"/>
      <c r="AB115" s="866"/>
      <c r="AC115" s="866"/>
      <c r="AD115" s="866"/>
      <c r="AE115" s="866"/>
      <c r="AF115" s="866"/>
      <c r="AG115" s="866"/>
      <c r="AH115" s="185"/>
      <c r="AI115" s="185"/>
      <c r="AJ115" s="866"/>
      <c r="AK115" s="866"/>
      <c r="AL115" s="866"/>
      <c r="AM115" s="866"/>
      <c r="AN115" s="866"/>
      <c r="AO115" s="866"/>
      <c r="AP115" s="866"/>
      <c r="AQ115" s="866"/>
      <c r="AR115" s="866"/>
      <c r="AS115" s="866"/>
      <c r="AT115" s="185"/>
      <c r="AU115" s="185"/>
      <c r="AV115" s="185"/>
      <c r="AW115" s="185"/>
      <c r="AX115" s="185"/>
      <c r="AY115" s="185"/>
      <c r="AZ115" s="185"/>
      <c r="BA115" s="185"/>
      <c r="BB115" s="185"/>
      <c r="BC115" s="185"/>
      <c r="BD115" s="185"/>
      <c r="BE115" s="185"/>
      <c r="BF115" s="185"/>
      <c r="BG115" s="185"/>
      <c r="BH115" s="185"/>
      <c r="BI115" s="185"/>
      <c r="BJ115" s="185"/>
      <c r="BK115" s="185"/>
      <c r="BL115" s="186"/>
      <c r="BM115" s="186"/>
      <c r="BN115" s="186"/>
      <c r="BO115" s="186"/>
      <c r="BP115" s="186"/>
      <c r="BQ115" s="186"/>
      <c r="BR115" s="186"/>
      <c r="BS115" s="186"/>
      <c r="BT115" s="186"/>
      <c r="BU115" s="186"/>
      <c r="BV115" s="186"/>
      <c r="BW115" s="186"/>
      <c r="BX115" s="186"/>
      <c r="BY115" s="186"/>
      <c r="BZ115" s="186"/>
      <c r="CA115" s="186"/>
      <c r="CB115" s="186"/>
      <c r="CC115" s="186"/>
      <c r="CD115" s="186"/>
      <c r="CE115" s="186"/>
      <c r="CF115" s="186"/>
      <c r="CG115" s="186"/>
    </row>
    <row r="116" spans="1:85" ht="15.75">
      <c r="A116" s="185"/>
      <c r="B116" s="866"/>
      <c r="C116" s="866"/>
      <c r="D116" s="866"/>
      <c r="E116" s="866"/>
      <c r="F116" s="866"/>
      <c r="G116" s="866"/>
      <c r="H116" s="866"/>
      <c r="I116" s="866"/>
      <c r="J116" s="866"/>
      <c r="K116" s="185"/>
      <c r="L116" s="185"/>
      <c r="M116" s="185"/>
      <c r="N116" s="185"/>
      <c r="O116" s="866"/>
      <c r="P116" s="866"/>
      <c r="Q116" s="866"/>
      <c r="R116" s="866"/>
      <c r="S116" s="866"/>
      <c r="T116" s="866"/>
      <c r="U116" s="866"/>
      <c r="V116" s="866"/>
      <c r="W116" s="866"/>
      <c r="X116" s="866"/>
      <c r="Y116" s="866"/>
      <c r="Z116" s="866"/>
      <c r="AA116" s="866"/>
      <c r="AB116" s="866"/>
      <c r="AC116" s="866"/>
      <c r="AD116" s="866"/>
      <c r="AE116" s="866"/>
      <c r="AF116" s="866"/>
      <c r="AG116" s="866"/>
      <c r="AH116" s="185"/>
      <c r="AI116" s="185"/>
      <c r="AJ116" s="866"/>
      <c r="AK116" s="866"/>
      <c r="AL116" s="866"/>
      <c r="AM116" s="866"/>
      <c r="AN116" s="866"/>
      <c r="AO116" s="866"/>
      <c r="AP116" s="866"/>
      <c r="AQ116" s="866"/>
      <c r="AR116" s="866"/>
      <c r="AS116" s="866"/>
      <c r="AT116" s="185"/>
      <c r="AU116" s="185"/>
      <c r="AV116" s="185"/>
      <c r="AW116" s="185"/>
      <c r="AX116" s="185"/>
      <c r="AY116" s="185"/>
      <c r="AZ116" s="185"/>
      <c r="BA116" s="185"/>
      <c r="BB116" s="185"/>
      <c r="BC116" s="185"/>
      <c r="BD116" s="185"/>
      <c r="BE116" s="185"/>
      <c r="BF116" s="185"/>
      <c r="BG116" s="185"/>
      <c r="BH116" s="185"/>
      <c r="BI116" s="185"/>
      <c r="BJ116" s="185"/>
      <c r="BK116" s="185"/>
      <c r="BL116" s="186"/>
      <c r="BM116" s="186"/>
      <c r="BN116" s="186"/>
      <c r="BO116" s="186"/>
      <c r="BP116" s="186"/>
      <c r="BQ116" s="186"/>
      <c r="BR116" s="186"/>
      <c r="BS116" s="186"/>
      <c r="BT116" s="186"/>
      <c r="BU116" s="186"/>
      <c r="BV116" s="186"/>
      <c r="BW116" s="186"/>
      <c r="BX116" s="186"/>
      <c r="BY116" s="186"/>
      <c r="BZ116" s="186"/>
      <c r="CA116" s="186"/>
      <c r="CB116" s="186"/>
      <c r="CC116" s="186"/>
      <c r="CD116" s="186"/>
      <c r="CE116" s="186"/>
      <c r="CF116" s="186"/>
      <c r="CG116" s="186"/>
    </row>
    <row r="117" spans="1:85" ht="15.75">
      <c r="A117" s="185"/>
      <c r="B117" s="866"/>
      <c r="C117" s="866"/>
      <c r="D117" s="866"/>
      <c r="E117" s="866"/>
      <c r="F117" s="866"/>
      <c r="G117" s="866"/>
      <c r="H117" s="866"/>
      <c r="I117" s="866"/>
      <c r="J117" s="866"/>
      <c r="K117" s="185"/>
      <c r="L117" s="185"/>
      <c r="M117" s="185"/>
      <c r="N117" s="185"/>
      <c r="O117" s="866"/>
      <c r="P117" s="866"/>
      <c r="Q117" s="866"/>
      <c r="R117" s="866"/>
      <c r="S117" s="866"/>
      <c r="T117" s="866"/>
      <c r="U117" s="866"/>
      <c r="V117" s="866"/>
      <c r="W117" s="866"/>
      <c r="X117" s="866"/>
      <c r="Y117" s="866"/>
      <c r="Z117" s="866"/>
      <c r="AA117" s="866"/>
      <c r="AB117" s="866"/>
      <c r="AC117" s="866"/>
      <c r="AD117" s="866"/>
      <c r="AE117" s="866"/>
      <c r="AF117" s="866"/>
      <c r="AG117" s="866"/>
      <c r="AH117" s="185"/>
      <c r="AI117" s="185"/>
      <c r="AJ117" s="866"/>
      <c r="AK117" s="866"/>
      <c r="AL117" s="866"/>
      <c r="AM117" s="866"/>
      <c r="AN117" s="866"/>
      <c r="AO117" s="866"/>
      <c r="AP117" s="866"/>
      <c r="AQ117" s="866"/>
      <c r="AR117" s="866"/>
      <c r="AS117" s="866"/>
      <c r="AT117" s="185"/>
      <c r="AU117" s="185"/>
      <c r="AV117" s="185"/>
      <c r="AW117" s="185"/>
      <c r="AX117" s="185"/>
      <c r="AY117" s="185"/>
      <c r="AZ117" s="185"/>
      <c r="BA117" s="185"/>
      <c r="BB117" s="185"/>
      <c r="BC117" s="185"/>
      <c r="BD117" s="185"/>
      <c r="BE117" s="185"/>
      <c r="BF117" s="185"/>
      <c r="BG117" s="185"/>
      <c r="BH117" s="185"/>
      <c r="BI117" s="185"/>
      <c r="BJ117" s="185"/>
      <c r="BK117" s="185"/>
      <c r="BL117" s="186"/>
      <c r="BM117" s="186"/>
      <c r="BN117" s="186"/>
      <c r="BO117" s="186"/>
      <c r="BP117" s="186"/>
      <c r="BQ117" s="186"/>
      <c r="BR117" s="186"/>
      <c r="BS117" s="186"/>
      <c r="BT117" s="186"/>
      <c r="BU117" s="186"/>
      <c r="BV117" s="186"/>
      <c r="BW117" s="186"/>
      <c r="BX117" s="186"/>
      <c r="BY117" s="186"/>
      <c r="BZ117" s="186"/>
      <c r="CA117" s="186"/>
      <c r="CB117" s="186"/>
      <c r="CC117" s="186"/>
      <c r="CD117" s="186"/>
      <c r="CE117" s="186"/>
      <c r="CF117" s="186"/>
      <c r="CG117" s="186"/>
    </row>
    <row r="118" spans="1:85" ht="15.75">
      <c r="A118" s="185"/>
      <c r="B118" s="866"/>
      <c r="C118" s="866"/>
      <c r="D118" s="866"/>
      <c r="E118" s="866"/>
      <c r="F118" s="866"/>
      <c r="G118" s="866"/>
      <c r="H118" s="866"/>
      <c r="I118" s="866"/>
      <c r="J118" s="866"/>
      <c r="K118" s="185"/>
      <c r="L118" s="185"/>
      <c r="M118" s="185"/>
      <c r="N118" s="185"/>
      <c r="O118" s="866"/>
      <c r="P118" s="866"/>
      <c r="Q118" s="866"/>
      <c r="R118" s="866"/>
      <c r="S118" s="866"/>
      <c r="T118" s="866"/>
      <c r="U118" s="866"/>
      <c r="V118" s="866"/>
      <c r="W118" s="866"/>
      <c r="X118" s="866"/>
      <c r="Y118" s="866"/>
      <c r="Z118" s="866"/>
      <c r="AA118" s="866"/>
      <c r="AB118" s="866"/>
      <c r="AC118" s="866"/>
      <c r="AD118" s="866"/>
      <c r="AE118" s="866"/>
      <c r="AF118" s="866"/>
      <c r="AG118" s="866"/>
      <c r="AH118" s="185"/>
      <c r="AI118" s="185"/>
      <c r="AJ118" s="866"/>
      <c r="AK118" s="866"/>
      <c r="AL118" s="866"/>
      <c r="AM118" s="866"/>
      <c r="AN118" s="866"/>
      <c r="AO118" s="866"/>
      <c r="AP118" s="866"/>
      <c r="AQ118" s="866"/>
      <c r="AR118" s="866"/>
      <c r="AS118" s="866"/>
      <c r="AT118" s="185"/>
      <c r="AU118" s="185"/>
      <c r="AV118" s="185"/>
      <c r="AW118" s="185"/>
      <c r="AX118" s="185"/>
      <c r="AY118" s="185"/>
      <c r="AZ118" s="185"/>
      <c r="BA118" s="185"/>
      <c r="BB118" s="185"/>
      <c r="BC118" s="185"/>
      <c r="BD118" s="185"/>
      <c r="BE118" s="185"/>
      <c r="BF118" s="185"/>
      <c r="BG118" s="185"/>
      <c r="BH118" s="185"/>
      <c r="BI118" s="185"/>
      <c r="BJ118" s="185"/>
      <c r="BK118" s="185"/>
      <c r="BL118" s="186"/>
      <c r="BM118" s="186"/>
      <c r="BN118" s="186"/>
      <c r="BO118" s="186"/>
      <c r="BP118" s="186"/>
      <c r="BQ118" s="186"/>
      <c r="BR118" s="186"/>
      <c r="BS118" s="186"/>
      <c r="BT118" s="186"/>
      <c r="BU118" s="186"/>
      <c r="BV118" s="186"/>
      <c r="BW118" s="186"/>
      <c r="BX118" s="186"/>
      <c r="BY118" s="186"/>
      <c r="BZ118" s="186"/>
      <c r="CA118" s="186"/>
      <c r="CB118" s="186"/>
      <c r="CC118" s="186"/>
      <c r="CD118" s="186"/>
      <c r="CE118" s="186"/>
      <c r="CF118" s="186"/>
      <c r="CG118" s="186"/>
    </row>
    <row r="119" spans="1:85" ht="15.75">
      <c r="A119" s="185"/>
      <c r="B119" s="866"/>
      <c r="C119" s="866"/>
      <c r="D119" s="866"/>
      <c r="E119" s="866"/>
      <c r="F119" s="866"/>
      <c r="G119" s="866"/>
      <c r="H119" s="866"/>
      <c r="I119" s="866"/>
      <c r="J119" s="866"/>
      <c r="K119" s="185"/>
      <c r="L119" s="185"/>
      <c r="M119" s="185"/>
      <c r="N119" s="185"/>
      <c r="O119" s="866"/>
      <c r="P119" s="866"/>
      <c r="Q119" s="866"/>
      <c r="R119" s="866"/>
      <c r="S119" s="866"/>
      <c r="T119" s="866"/>
      <c r="U119" s="866"/>
      <c r="V119" s="866"/>
      <c r="W119" s="866"/>
      <c r="X119" s="866"/>
      <c r="Y119" s="866"/>
      <c r="Z119" s="866"/>
      <c r="AA119" s="866"/>
      <c r="AB119" s="866"/>
      <c r="AC119" s="866"/>
      <c r="AD119" s="866"/>
      <c r="AE119" s="866"/>
      <c r="AF119" s="866"/>
      <c r="AG119" s="866"/>
      <c r="AH119" s="185"/>
      <c r="AI119" s="185"/>
      <c r="AJ119" s="866"/>
      <c r="AK119" s="866"/>
      <c r="AL119" s="866"/>
      <c r="AM119" s="866"/>
      <c r="AN119" s="866"/>
      <c r="AO119" s="866"/>
      <c r="AP119" s="866"/>
      <c r="AQ119" s="866"/>
      <c r="AR119" s="866"/>
      <c r="AS119" s="866"/>
      <c r="AT119" s="185"/>
      <c r="AU119" s="185"/>
      <c r="AV119" s="185"/>
      <c r="AW119" s="185"/>
      <c r="AX119" s="185"/>
      <c r="AY119" s="185"/>
      <c r="AZ119" s="185"/>
      <c r="BA119" s="185"/>
      <c r="BB119" s="185"/>
      <c r="BC119" s="185"/>
      <c r="BD119" s="185"/>
      <c r="BE119" s="185"/>
      <c r="BF119" s="185"/>
      <c r="BG119" s="185"/>
      <c r="BH119" s="185"/>
      <c r="BI119" s="185"/>
      <c r="BJ119" s="185"/>
      <c r="BK119" s="185"/>
      <c r="BL119" s="186"/>
      <c r="BM119" s="186"/>
      <c r="BN119" s="186"/>
      <c r="BO119" s="186"/>
      <c r="BP119" s="186"/>
      <c r="BQ119" s="186"/>
      <c r="BR119" s="186"/>
      <c r="BS119" s="186"/>
      <c r="BT119" s="186"/>
      <c r="BU119" s="186"/>
      <c r="BV119" s="186"/>
      <c r="BW119" s="186"/>
      <c r="BX119" s="186"/>
      <c r="BY119" s="186"/>
      <c r="BZ119" s="186"/>
      <c r="CA119" s="186"/>
      <c r="CB119" s="186"/>
      <c r="CC119" s="186"/>
      <c r="CD119" s="186"/>
      <c r="CE119" s="186"/>
      <c r="CF119" s="186"/>
      <c r="CG119" s="186"/>
    </row>
    <row r="120" spans="1:85" ht="15.75">
      <c r="A120" s="185"/>
      <c r="B120" s="866"/>
      <c r="C120" s="866"/>
      <c r="D120" s="866"/>
      <c r="E120" s="866"/>
      <c r="F120" s="866"/>
      <c r="G120" s="866"/>
      <c r="H120" s="866"/>
      <c r="I120" s="866"/>
      <c r="J120" s="866"/>
      <c r="K120" s="185"/>
      <c r="L120" s="185"/>
      <c r="M120" s="185"/>
      <c r="N120" s="185"/>
      <c r="O120" s="866"/>
      <c r="P120" s="866"/>
      <c r="Q120" s="866"/>
      <c r="R120" s="866"/>
      <c r="S120" s="866"/>
      <c r="T120" s="866"/>
      <c r="U120" s="866"/>
      <c r="V120" s="866"/>
      <c r="W120" s="866"/>
      <c r="X120" s="866"/>
      <c r="Y120" s="866"/>
      <c r="Z120" s="866"/>
      <c r="AA120" s="866"/>
      <c r="AB120" s="866"/>
      <c r="AC120" s="866"/>
      <c r="AD120" s="866"/>
      <c r="AE120" s="866"/>
      <c r="AF120" s="866"/>
      <c r="AG120" s="866"/>
      <c r="AH120" s="185"/>
      <c r="AI120" s="185"/>
      <c r="AJ120" s="866"/>
      <c r="AK120" s="866"/>
      <c r="AL120" s="866"/>
      <c r="AM120" s="866"/>
      <c r="AN120" s="866"/>
      <c r="AO120" s="866"/>
      <c r="AP120" s="866"/>
      <c r="AQ120" s="866"/>
      <c r="AR120" s="866"/>
      <c r="AS120" s="866"/>
      <c r="AT120" s="185"/>
      <c r="AU120" s="185"/>
      <c r="AV120" s="185"/>
      <c r="AW120" s="185"/>
      <c r="AX120" s="185"/>
      <c r="AY120" s="185"/>
      <c r="AZ120" s="185"/>
      <c r="BA120" s="185"/>
      <c r="BB120" s="185"/>
      <c r="BC120" s="185"/>
      <c r="BD120" s="185"/>
      <c r="BE120" s="185"/>
      <c r="BF120" s="185"/>
      <c r="BG120" s="185"/>
      <c r="BH120" s="185"/>
      <c r="BI120" s="185"/>
      <c r="BJ120" s="185"/>
      <c r="BK120" s="185"/>
      <c r="BL120" s="186"/>
      <c r="BM120" s="186"/>
      <c r="BN120" s="186"/>
      <c r="BO120" s="186"/>
      <c r="BP120" s="186"/>
      <c r="BQ120" s="186"/>
      <c r="BR120" s="186"/>
      <c r="BS120" s="186"/>
      <c r="BT120" s="186"/>
      <c r="BU120" s="186"/>
      <c r="BV120" s="186"/>
      <c r="BW120" s="186"/>
      <c r="BX120" s="186"/>
      <c r="BY120" s="186"/>
      <c r="BZ120" s="186"/>
      <c r="CA120" s="186"/>
      <c r="CB120" s="186"/>
      <c r="CC120" s="186"/>
      <c r="CD120" s="186"/>
      <c r="CE120" s="186"/>
      <c r="CF120" s="186"/>
      <c r="CG120" s="186"/>
    </row>
    <row r="121" spans="1:85" ht="15.75">
      <c r="A121" s="185"/>
      <c r="B121" s="866"/>
      <c r="C121" s="866"/>
      <c r="D121" s="866"/>
      <c r="E121" s="866"/>
      <c r="F121" s="866"/>
      <c r="G121" s="866"/>
      <c r="H121" s="866"/>
      <c r="I121" s="866"/>
      <c r="J121" s="866"/>
      <c r="K121" s="185"/>
      <c r="L121" s="185"/>
      <c r="M121" s="185"/>
      <c r="N121" s="185"/>
      <c r="O121" s="866"/>
      <c r="P121" s="866"/>
      <c r="Q121" s="866"/>
      <c r="R121" s="866"/>
      <c r="S121" s="866"/>
      <c r="T121" s="866"/>
      <c r="U121" s="866"/>
      <c r="V121" s="866"/>
      <c r="W121" s="866"/>
      <c r="X121" s="866"/>
      <c r="Y121" s="866"/>
      <c r="Z121" s="866"/>
      <c r="AA121" s="866"/>
      <c r="AB121" s="866"/>
      <c r="AC121" s="866"/>
      <c r="AD121" s="866"/>
      <c r="AE121" s="866"/>
      <c r="AF121" s="866"/>
      <c r="AG121" s="866"/>
      <c r="AH121" s="185"/>
      <c r="AI121" s="185"/>
      <c r="AJ121" s="866"/>
      <c r="AK121" s="866"/>
      <c r="AL121" s="866"/>
      <c r="AM121" s="866"/>
      <c r="AN121" s="866"/>
      <c r="AO121" s="866"/>
      <c r="AP121" s="866"/>
      <c r="AQ121" s="866"/>
      <c r="AR121" s="866"/>
      <c r="AS121" s="866"/>
      <c r="AT121" s="185"/>
      <c r="AU121" s="185"/>
      <c r="AV121" s="185"/>
      <c r="AW121" s="185"/>
      <c r="AX121" s="185"/>
      <c r="AY121" s="185"/>
      <c r="AZ121" s="185"/>
      <c r="BA121" s="185"/>
      <c r="BB121" s="185"/>
      <c r="BC121" s="185"/>
      <c r="BD121" s="185"/>
      <c r="BE121" s="185"/>
      <c r="BF121" s="185"/>
      <c r="BG121" s="185"/>
      <c r="BH121" s="185"/>
      <c r="BI121" s="185"/>
      <c r="BJ121" s="185"/>
      <c r="BK121" s="185"/>
      <c r="BL121" s="186"/>
      <c r="BM121" s="186"/>
      <c r="BN121" s="186"/>
      <c r="BO121" s="186"/>
      <c r="BP121" s="186"/>
      <c r="BQ121" s="186"/>
      <c r="BR121" s="186"/>
      <c r="BS121" s="186"/>
      <c r="BT121" s="186"/>
      <c r="BU121" s="186"/>
      <c r="BV121" s="186"/>
      <c r="BW121" s="186"/>
      <c r="BX121" s="186"/>
      <c r="BY121" s="186"/>
      <c r="BZ121" s="186"/>
      <c r="CA121" s="186"/>
      <c r="CB121" s="186"/>
      <c r="CC121" s="186"/>
      <c r="CD121" s="186"/>
      <c r="CE121" s="186"/>
      <c r="CF121" s="186"/>
      <c r="CG121" s="186"/>
    </row>
    <row r="122" spans="1:85" ht="15.75">
      <c r="A122" s="185"/>
      <c r="B122" s="866"/>
      <c r="C122" s="866"/>
      <c r="D122" s="866"/>
      <c r="E122" s="866"/>
      <c r="F122" s="866"/>
      <c r="G122" s="866"/>
      <c r="H122" s="866"/>
      <c r="I122" s="866"/>
      <c r="J122" s="866"/>
      <c r="K122" s="185"/>
      <c r="L122" s="185"/>
      <c r="M122" s="185"/>
      <c r="N122" s="185"/>
      <c r="O122" s="866"/>
      <c r="P122" s="866"/>
      <c r="Q122" s="866"/>
      <c r="R122" s="866"/>
      <c r="S122" s="866"/>
      <c r="T122" s="866"/>
      <c r="U122" s="866"/>
      <c r="V122" s="866"/>
      <c r="W122" s="866"/>
      <c r="X122" s="866"/>
      <c r="Y122" s="866"/>
      <c r="Z122" s="866"/>
      <c r="AA122" s="866"/>
      <c r="AB122" s="866"/>
      <c r="AC122" s="866"/>
      <c r="AD122" s="866"/>
      <c r="AE122" s="866"/>
      <c r="AF122" s="866"/>
      <c r="AG122" s="866"/>
      <c r="AH122" s="185"/>
      <c r="AI122" s="185"/>
      <c r="AJ122" s="866"/>
      <c r="AK122" s="866"/>
      <c r="AL122" s="866"/>
      <c r="AM122" s="866"/>
      <c r="AN122" s="866"/>
      <c r="AO122" s="866"/>
      <c r="AP122" s="866"/>
      <c r="AQ122" s="866"/>
      <c r="AR122" s="866"/>
      <c r="AS122" s="866"/>
      <c r="AT122" s="185"/>
      <c r="AU122" s="185"/>
      <c r="AV122" s="185"/>
      <c r="AW122" s="185"/>
      <c r="AX122" s="185"/>
      <c r="AY122" s="185"/>
      <c r="AZ122" s="185"/>
      <c r="BA122" s="185"/>
      <c r="BB122" s="185"/>
      <c r="BC122" s="185"/>
      <c r="BD122" s="185"/>
      <c r="BE122" s="185"/>
      <c r="BF122" s="185"/>
      <c r="BG122" s="185"/>
      <c r="BH122" s="185"/>
      <c r="BI122" s="185"/>
      <c r="BJ122" s="185"/>
      <c r="BK122" s="185"/>
      <c r="BL122" s="186"/>
      <c r="BM122" s="186"/>
      <c r="BN122" s="186"/>
      <c r="BO122" s="186"/>
      <c r="BP122" s="186"/>
      <c r="BQ122" s="186"/>
      <c r="BR122" s="186"/>
      <c r="BS122" s="186"/>
      <c r="BT122" s="186"/>
      <c r="BU122" s="186"/>
      <c r="BV122" s="186"/>
      <c r="BW122" s="186"/>
      <c r="BX122" s="186"/>
      <c r="BY122" s="186"/>
      <c r="BZ122" s="186"/>
      <c r="CA122" s="186"/>
      <c r="CB122" s="186"/>
      <c r="CC122" s="186"/>
      <c r="CD122" s="186"/>
      <c r="CE122" s="186"/>
      <c r="CF122" s="186"/>
      <c r="CG122" s="186"/>
    </row>
    <row r="123" spans="1:85" ht="15.75">
      <c r="A123" s="185"/>
      <c r="B123" s="866"/>
      <c r="C123" s="866"/>
      <c r="D123" s="866"/>
      <c r="E123" s="866"/>
      <c r="F123" s="866"/>
      <c r="G123" s="866"/>
      <c r="H123" s="866"/>
      <c r="I123" s="866"/>
      <c r="J123" s="866"/>
      <c r="K123" s="185"/>
      <c r="L123" s="185"/>
      <c r="M123" s="185"/>
      <c r="N123" s="185"/>
      <c r="O123" s="866"/>
      <c r="P123" s="866"/>
      <c r="Q123" s="866"/>
      <c r="R123" s="866"/>
      <c r="S123" s="866"/>
      <c r="T123" s="866"/>
      <c r="U123" s="866"/>
      <c r="V123" s="866"/>
      <c r="W123" s="866"/>
      <c r="X123" s="866"/>
      <c r="Y123" s="866"/>
      <c r="Z123" s="866"/>
      <c r="AA123" s="866"/>
      <c r="AB123" s="866"/>
      <c r="AC123" s="866"/>
      <c r="AD123" s="866"/>
      <c r="AE123" s="866"/>
      <c r="AF123" s="866"/>
      <c r="AG123" s="866"/>
      <c r="AH123" s="185"/>
      <c r="AI123" s="185"/>
      <c r="AJ123" s="866"/>
      <c r="AK123" s="866"/>
      <c r="AL123" s="866"/>
      <c r="AM123" s="866"/>
      <c r="AN123" s="866"/>
      <c r="AO123" s="866"/>
      <c r="AP123" s="866"/>
      <c r="AQ123" s="866"/>
      <c r="AR123" s="866"/>
      <c r="AS123" s="866"/>
      <c r="AT123" s="185"/>
      <c r="AU123" s="185"/>
      <c r="AV123" s="185"/>
      <c r="AW123" s="185"/>
      <c r="AX123" s="185"/>
      <c r="AY123" s="185"/>
      <c r="AZ123" s="185"/>
      <c r="BA123" s="185"/>
      <c r="BB123" s="185"/>
      <c r="BC123" s="185"/>
      <c r="BD123" s="185"/>
      <c r="BE123" s="185"/>
      <c r="BF123" s="185"/>
      <c r="BG123" s="185"/>
      <c r="BH123" s="185"/>
      <c r="BI123" s="185"/>
      <c r="BJ123" s="185"/>
      <c r="BK123" s="185"/>
      <c r="BL123" s="186"/>
      <c r="BM123" s="186"/>
      <c r="BN123" s="186"/>
      <c r="BO123" s="186"/>
      <c r="BP123" s="186"/>
      <c r="BQ123" s="186"/>
      <c r="BR123" s="186"/>
      <c r="BS123" s="186"/>
      <c r="BT123" s="186"/>
      <c r="BU123" s="186"/>
      <c r="BV123" s="186"/>
      <c r="BW123" s="186"/>
      <c r="BX123" s="186"/>
      <c r="BY123" s="186"/>
      <c r="BZ123" s="186"/>
      <c r="CA123" s="186"/>
      <c r="CB123" s="186"/>
      <c r="CC123" s="186"/>
      <c r="CD123" s="186"/>
      <c r="CE123" s="186"/>
      <c r="CF123" s="186"/>
      <c r="CG123" s="186"/>
    </row>
    <row r="124" spans="1:85" ht="15.75">
      <c r="A124" s="185"/>
      <c r="B124" s="866"/>
      <c r="C124" s="866"/>
      <c r="D124" s="866"/>
      <c r="E124" s="866"/>
      <c r="F124" s="866"/>
      <c r="G124" s="866"/>
      <c r="H124" s="866"/>
      <c r="I124" s="866"/>
      <c r="J124" s="866"/>
      <c r="K124" s="185"/>
      <c r="L124" s="185"/>
      <c r="M124" s="185"/>
      <c r="N124" s="185"/>
      <c r="O124" s="866"/>
      <c r="P124" s="866"/>
      <c r="Q124" s="866"/>
      <c r="R124" s="866"/>
      <c r="S124" s="866"/>
      <c r="T124" s="866"/>
      <c r="U124" s="866"/>
      <c r="V124" s="866"/>
      <c r="W124" s="866"/>
      <c r="X124" s="866"/>
      <c r="Y124" s="866"/>
      <c r="Z124" s="866"/>
      <c r="AA124" s="866"/>
      <c r="AB124" s="866"/>
      <c r="AC124" s="866"/>
      <c r="AD124" s="866"/>
      <c r="AE124" s="866"/>
      <c r="AF124" s="866"/>
      <c r="AG124" s="866"/>
      <c r="AH124" s="185"/>
      <c r="AI124" s="185"/>
      <c r="AJ124" s="866"/>
      <c r="AK124" s="866"/>
      <c r="AL124" s="866"/>
      <c r="AM124" s="866"/>
      <c r="AN124" s="866"/>
      <c r="AO124" s="866"/>
      <c r="AP124" s="866"/>
      <c r="AQ124" s="866"/>
      <c r="AR124" s="866"/>
      <c r="AS124" s="866"/>
      <c r="AT124" s="185"/>
      <c r="AU124" s="185"/>
      <c r="AV124" s="185"/>
      <c r="AW124" s="185"/>
      <c r="AX124" s="185"/>
      <c r="AY124" s="185"/>
      <c r="AZ124" s="185"/>
      <c r="BA124" s="185"/>
      <c r="BB124" s="185"/>
      <c r="BC124" s="185"/>
      <c r="BD124" s="185"/>
      <c r="BE124" s="185"/>
      <c r="BF124" s="185"/>
      <c r="BG124" s="185"/>
      <c r="BH124" s="185"/>
      <c r="BI124" s="185"/>
      <c r="BJ124" s="185"/>
      <c r="BK124" s="185"/>
      <c r="BL124" s="186"/>
      <c r="BM124" s="186"/>
      <c r="BN124" s="186"/>
      <c r="BO124" s="186"/>
      <c r="BP124" s="186"/>
      <c r="BQ124" s="186"/>
      <c r="BR124" s="186"/>
      <c r="BS124" s="186"/>
      <c r="BT124" s="186"/>
      <c r="BU124" s="186"/>
      <c r="BV124" s="186"/>
      <c r="BW124" s="186"/>
      <c r="BX124" s="186"/>
      <c r="BY124" s="186"/>
      <c r="BZ124" s="186"/>
      <c r="CA124" s="186"/>
      <c r="CB124" s="186"/>
      <c r="CC124" s="186"/>
      <c r="CD124" s="186"/>
      <c r="CE124" s="186"/>
      <c r="CF124" s="186"/>
      <c r="CG124" s="186"/>
    </row>
    <row r="125" spans="1:85" ht="15.75">
      <c r="A125" s="185"/>
      <c r="B125" s="866"/>
      <c r="C125" s="866"/>
      <c r="D125" s="866"/>
      <c r="E125" s="866"/>
      <c r="F125" s="866"/>
      <c r="G125" s="866"/>
      <c r="H125" s="866"/>
      <c r="I125" s="866"/>
      <c r="J125" s="866"/>
      <c r="K125" s="185"/>
      <c r="L125" s="185"/>
      <c r="M125" s="185"/>
      <c r="N125" s="185"/>
      <c r="O125" s="866"/>
      <c r="P125" s="866"/>
      <c r="Q125" s="866"/>
      <c r="R125" s="866"/>
      <c r="S125" s="866"/>
      <c r="T125" s="866"/>
      <c r="U125" s="866"/>
      <c r="V125" s="866"/>
      <c r="W125" s="866"/>
      <c r="X125" s="866"/>
      <c r="Y125" s="866"/>
      <c r="Z125" s="866"/>
      <c r="AA125" s="866"/>
      <c r="AB125" s="866"/>
      <c r="AC125" s="866"/>
      <c r="AD125" s="866"/>
      <c r="AE125" s="866"/>
      <c r="AF125" s="866"/>
      <c r="AG125" s="866"/>
      <c r="AH125" s="185"/>
      <c r="AI125" s="185"/>
      <c r="AJ125" s="866"/>
      <c r="AK125" s="866"/>
      <c r="AL125" s="866"/>
      <c r="AM125" s="866"/>
      <c r="AN125" s="866"/>
      <c r="AO125" s="866"/>
      <c r="AP125" s="866"/>
      <c r="AQ125" s="866"/>
      <c r="AR125" s="866"/>
      <c r="AS125" s="866"/>
      <c r="AT125" s="185"/>
      <c r="AU125" s="185"/>
      <c r="AV125" s="185"/>
      <c r="AW125" s="185"/>
      <c r="AX125" s="185"/>
      <c r="AY125" s="185"/>
      <c r="AZ125" s="185"/>
      <c r="BA125" s="185"/>
      <c r="BB125" s="185"/>
      <c r="BC125" s="185"/>
      <c r="BD125" s="185"/>
      <c r="BE125" s="185"/>
      <c r="BF125" s="185"/>
      <c r="BG125" s="185"/>
      <c r="BH125" s="185"/>
      <c r="BI125" s="185"/>
      <c r="BJ125" s="185"/>
      <c r="BK125" s="185"/>
      <c r="BL125" s="186"/>
      <c r="BM125" s="186"/>
      <c r="BN125" s="186"/>
      <c r="BO125" s="186"/>
      <c r="BP125" s="186"/>
      <c r="BQ125" s="186"/>
      <c r="BR125" s="186"/>
      <c r="BS125" s="186"/>
      <c r="BT125" s="186"/>
      <c r="BU125" s="186"/>
      <c r="BV125" s="186"/>
      <c r="BW125" s="186"/>
      <c r="BX125" s="186"/>
      <c r="BY125" s="186"/>
      <c r="BZ125" s="186"/>
      <c r="CA125" s="186"/>
      <c r="CB125" s="186"/>
      <c r="CC125" s="186"/>
      <c r="CD125" s="186"/>
      <c r="CE125" s="186"/>
      <c r="CF125" s="186"/>
      <c r="CG125" s="186"/>
    </row>
    <row r="126" spans="1:85" ht="15.75">
      <c r="A126" s="185"/>
      <c r="B126" s="866"/>
      <c r="C126" s="866"/>
      <c r="D126" s="866"/>
      <c r="E126" s="866"/>
      <c r="F126" s="866"/>
      <c r="G126" s="866"/>
      <c r="H126" s="866"/>
      <c r="I126" s="866"/>
      <c r="J126" s="866"/>
      <c r="K126" s="185"/>
      <c r="L126" s="185"/>
      <c r="M126" s="185"/>
      <c r="N126" s="185"/>
      <c r="O126" s="866"/>
      <c r="P126" s="866"/>
      <c r="Q126" s="866"/>
      <c r="R126" s="866"/>
      <c r="S126" s="866"/>
      <c r="T126" s="866"/>
      <c r="U126" s="866"/>
      <c r="V126" s="866"/>
      <c r="W126" s="866"/>
      <c r="X126" s="866"/>
      <c r="Y126" s="866"/>
      <c r="Z126" s="866"/>
      <c r="AA126" s="866"/>
      <c r="AB126" s="866"/>
      <c r="AC126" s="866"/>
      <c r="AD126" s="866"/>
      <c r="AE126" s="866"/>
      <c r="AF126" s="866"/>
      <c r="AG126" s="866"/>
      <c r="AH126" s="185"/>
      <c r="AI126" s="185"/>
      <c r="AJ126" s="866"/>
      <c r="AK126" s="866"/>
      <c r="AL126" s="866"/>
      <c r="AM126" s="866"/>
      <c r="AN126" s="866"/>
      <c r="AO126" s="866"/>
      <c r="AP126" s="866"/>
      <c r="AQ126" s="866"/>
      <c r="AR126" s="866"/>
      <c r="AS126" s="866"/>
      <c r="AT126" s="185"/>
      <c r="AU126" s="185"/>
      <c r="AV126" s="185"/>
      <c r="AW126" s="185"/>
      <c r="AX126" s="185"/>
      <c r="AY126" s="185"/>
      <c r="AZ126" s="185"/>
      <c r="BA126" s="185"/>
      <c r="BB126" s="185"/>
      <c r="BC126" s="185"/>
      <c r="BD126" s="185"/>
      <c r="BE126" s="185"/>
      <c r="BF126" s="185"/>
      <c r="BG126" s="185"/>
      <c r="BH126" s="185"/>
      <c r="BI126" s="185"/>
      <c r="BJ126" s="185"/>
      <c r="BK126" s="185"/>
      <c r="BL126" s="186"/>
      <c r="BM126" s="186"/>
      <c r="BN126" s="186"/>
      <c r="BO126" s="186"/>
      <c r="BP126" s="186"/>
      <c r="BQ126" s="186"/>
      <c r="BR126" s="186"/>
      <c r="BS126" s="186"/>
      <c r="BT126" s="186"/>
      <c r="BU126" s="186"/>
      <c r="BV126" s="186"/>
      <c r="BW126" s="186"/>
      <c r="BX126" s="186"/>
      <c r="BY126" s="186"/>
      <c r="BZ126" s="186"/>
      <c r="CA126" s="186"/>
      <c r="CB126" s="186"/>
      <c r="CC126" s="186"/>
      <c r="CD126" s="186"/>
      <c r="CE126" s="186"/>
      <c r="CF126" s="186"/>
      <c r="CG126" s="186"/>
    </row>
    <row r="127" spans="1:85" ht="15.75">
      <c r="A127" s="185"/>
      <c r="B127" s="866"/>
      <c r="C127" s="866"/>
      <c r="D127" s="866"/>
      <c r="E127" s="866"/>
      <c r="F127" s="866"/>
      <c r="G127" s="866"/>
      <c r="H127" s="866"/>
      <c r="I127" s="866"/>
      <c r="J127" s="866"/>
      <c r="K127" s="185"/>
      <c r="L127" s="185"/>
      <c r="M127" s="185"/>
      <c r="N127" s="185"/>
      <c r="O127" s="866"/>
      <c r="P127" s="866"/>
      <c r="Q127" s="866"/>
      <c r="R127" s="866"/>
      <c r="S127" s="866"/>
      <c r="T127" s="866"/>
      <c r="U127" s="866"/>
      <c r="V127" s="866"/>
      <c r="W127" s="866"/>
      <c r="X127" s="866"/>
      <c r="Y127" s="866"/>
      <c r="Z127" s="866"/>
      <c r="AA127" s="866"/>
      <c r="AB127" s="866"/>
      <c r="AC127" s="866"/>
      <c r="AD127" s="866"/>
      <c r="AE127" s="866"/>
      <c r="AF127" s="866"/>
      <c r="AG127" s="866"/>
      <c r="AH127" s="185"/>
      <c r="AI127" s="185"/>
      <c r="AJ127" s="866"/>
      <c r="AK127" s="866"/>
      <c r="AL127" s="866"/>
      <c r="AM127" s="866"/>
      <c r="AN127" s="866"/>
      <c r="AO127" s="866"/>
      <c r="AP127" s="866"/>
      <c r="AQ127" s="866"/>
      <c r="AR127" s="866"/>
      <c r="AS127" s="866"/>
      <c r="AT127" s="185"/>
      <c r="AU127" s="185"/>
      <c r="AV127" s="185"/>
      <c r="AW127" s="185"/>
      <c r="AX127" s="185"/>
      <c r="AY127" s="185"/>
      <c r="AZ127" s="185"/>
      <c r="BA127" s="185"/>
      <c r="BB127" s="185"/>
      <c r="BC127" s="185"/>
      <c r="BD127" s="185"/>
      <c r="BE127" s="185"/>
      <c r="BF127" s="185"/>
      <c r="BG127" s="185"/>
      <c r="BH127" s="185"/>
      <c r="BI127" s="185"/>
      <c r="BJ127" s="185"/>
      <c r="BK127" s="185"/>
      <c r="BL127" s="186"/>
      <c r="BM127" s="186"/>
      <c r="BN127" s="186"/>
      <c r="BO127" s="186"/>
      <c r="BP127" s="186"/>
      <c r="BQ127" s="186"/>
      <c r="BR127" s="186"/>
      <c r="BS127" s="186"/>
      <c r="BT127" s="186"/>
      <c r="BU127" s="186"/>
      <c r="BV127" s="186"/>
      <c r="BW127" s="186"/>
      <c r="BX127" s="186"/>
      <c r="BY127" s="186"/>
      <c r="BZ127" s="186"/>
      <c r="CA127" s="186"/>
      <c r="CB127" s="186"/>
      <c r="CC127" s="186"/>
      <c r="CD127" s="186"/>
      <c r="CE127" s="186"/>
      <c r="CF127" s="186"/>
      <c r="CG127" s="186"/>
    </row>
    <row r="128" spans="1:85" ht="15.75">
      <c r="A128" s="185"/>
      <c r="B128" s="866"/>
      <c r="C128" s="866"/>
      <c r="D128" s="866"/>
      <c r="E128" s="866"/>
      <c r="F128" s="866"/>
      <c r="G128" s="866"/>
      <c r="H128" s="866"/>
      <c r="I128" s="866"/>
      <c r="J128" s="866"/>
      <c r="K128" s="185"/>
      <c r="L128" s="185"/>
      <c r="M128" s="185"/>
      <c r="N128" s="185"/>
      <c r="O128" s="866"/>
      <c r="P128" s="866"/>
      <c r="Q128" s="866"/>
      <c r="R128" s="866"/>
      <c r="S128" s="866"/>
      <c r="T128" s="866"/>
      <c r="U128" s="866"/>
      <c r="V128" s="866"/>
      <c r="W128" s="866"/>
      <c r="X128" s="866"/>
      <c r="Y128" s="866"/>
      <c r="Z128" s="866"/>
      <c r="AA128" s="866"/>
      <c r="AB128" s="866"/>
      <c r="AC128" s="866"/>
      <c r="AD128" s="866"/>
      <c r="AE128" s="866"/>
      <c r="AF128" s="866"/>
      <c r="AG128" s="866"/>
      <c r="AH128" s="185"/>
      <c r="AI128" s="185"/>
      <c r="AJ128" s="866"/>
      <c r="AK128" s="866"/>
      <c r="AL128" s="866"/>
      <c r="AM128" s="866"/>
      <c r="AN128" s="866"/>
      <c r="AO128" s="866"/>
      <c r="AP128" s="866"/>
      <c r="AQ128" s="866"/>
      <c r="AR128" s="866"/>
      <c r="AS128" s="866"/>
      <c r="AT128" s="185"/>
      <c r="AU128" s="185"/>
      <c r="AV128" s="185"/>
      <c r="AW128" s="185"/>
      <c r="AX128" s="185"/>
      <c r="AY128" s="185"/>
      <c r="AZ128" s="185"/>
      <c r="BA128" s="185"/>
      <c r="BB128" s="185"/>
      <c r="BC128" s="185"/>
      <c r="BD128" s="185"/>
      <c r="BE128" s="185"/>
      <c r="BF128" s="185"/>
      <c r="BG128" s="185"/>
      <c r="BH128" s="185"/>
      <c r="BI128" s="185"/>
      <c r="BJ128" s="185"/>
      <c r="BK128" s="185"/>
      <c r="BL128" s="186"/>
      <c r="BM128" s="186"/>
      <c r="BN128" s="186"/>
      <c r="BO128" s="186"/>
      <c r="BP128" s="186"/>
      <c r="BQ128" s="186"/>
      <c r="BR128" s="186"/>
      <c r="BS128" s="186"/>
      <c r="BT128" s="186"/>
      <c r="BU128" s="186"/>
      <c r="BV128" s="186"/>
      <c r="BW128" s="186"/>
      <c r="BX128" s="186"/>
      <c r="BY128" s="186"/>
      <c r="BZ128" s="186"/>
      <c r="CA128" s="186"/>
      <c r="CB128" s="186"/>
      <c r="CC128" s="186"/>
      <c r="CD128" s="186"/>
      <c r="CE128" s="186"/>
      <c r="CF128" s="186"/>
      <c r="CG128" s="186"/>
    </row>
    <row r="129" spans="1:85" ht="15.75">
      <c r="A129" s="185"/>
      <c r="B129" s="866"/>
      <c r="C129" s="866"/>
      <c r="D129" s="866"/>
      <c r="E129" s="866"/>
      <c r="F129" s="866"/>
      <c r="G129" s="866"/>
      <c r="H129" s="866"/>
      <c r="I129" s="866"/>
      <c r="J129" s="866"/>
      <c r="K129" s="185"/>
      <c r="L129" s="185"/>
      <c r="M129" s="185"/>
      <c r="N129" s="185"/>
      <c r="O129" s="866"/>
      <c r="P129" s="866"/>
      <c r="Q129" s="866"/>
      <c r="R129" s="866"/>
      <c r="S129" s="866"/>
      <c r="T129" s="866"/>
      <c r="U129" s="866"/>
      <c r="V129" s="866"/>
      <c r="W129" s="866"/>
      <c r="X129" s="866"/>
      <c r="Y129" s="866"/>
      <c r="Z129" s="866"/>
      <c r="AA129" s="866"/>
      <c r="AB129" s="866"/>
      <c r="AC129" s="866"/>
      <c r="AD129" s="866"/>
      <c r="AE129" s="866"/>
      <c r="AF129" s="866"/>
      <c r="AG129" s="866"/>
      <c r="AH129" s="185"/>
      <c r="AI129" s="185"/>
      <c r="AJ129" s="866"/>
      <c r="AK129" s="866"/>
      <c r="AL129" s="866"/>
      <c r="AM129" s="866"/>
      <c r="AN129" s="866"/>
      <c r="AO129" s="866"/>
      <c r="AP129" s="866"/>
      <c r="AQ129" s="866"/>
      <c r="AR129" s="866"/>
      <c r="AS129" s="866"/>
      <c r="AT129" s="185"/>
      <c r="AU129" s="185"/>
      <c r="AV129" s="185"/>
      <c r="AW129" s="185"/>
      <c r="AX129" s="185"/>
      <c r="AY129" s="185"/>
      <c r="AZ129" s="185"/>
      <c r="BA129" s="185"/>
      <c r="BB129" s="185"/>
      <c r="BC129" s="185"/>
      <c r="BD129" s="185"/>
      <c r="BE129" s="185"/>
      <c r="BF129" s="185"/>
      <c r="BG129" s="185"/>
      <c r="BH129" s="185"/>
      <c r="BI129" s="185"/>
      <c r="BJ129" s="185"/>
      <c r="BK129" s="185"/>
      <c r="BL129" s="186"/>
      <c r="BM129" s="186"/>
      <c r="BN129" s="186"/>
      <c r="BO129" s="186"/>
      <c r="BP129" s="186"/>
      <c r="BQ129" s="186"/>
      <c r="BR129" s="186"/>
      <c r="BS129" s="186"/>
      <c r="BT129" s="186"/>
      <c r="BU129" s="186"/>
      <c r="BV129" s="186"/>
      <c r="BW129" s="186"/>
      <c r="BX129" s="186"/>
      <c r="BY129" s="186"/>
      <c r="BZ129" s="186"/>
      <c r="CA129" s="186"/>
      <c r="CB129" s="186"/>
      <c r="CC129" s="186"/>
      <c r="CD129" s="186"/>
      <c r="CE129" s="186"/>
      <c r="CF129" s="186"/>
      <c r="CG129" s="186"/>
    </row>
    <row r="130" spans="1:85" ht="15.75">
      <c r="A130" s="185"/>
      <c r="B130" s="866"/>
      <c r="C130" s="866"/>
      <c r="D130" s="866"/>
      <c r="E130" s="866"/>
      <c r="F130" s="866"/>
      <c r="G130" s="866"/>
      <c r="H130" s="866"/>
      <c r="I130" s="866"/>
      <c r="J130" s="866"/>
      <c r="K130" s="185"/>
      <c r="L130" s="185"/>
      <c r="M130" s="185"/>
      <c r="N130" s="185"/>
      <c r="O130" s="866"/>
      <c r="P130" s="866"/>
      <c r="Q130" s="866"/>
      <c r="R130" s="866"/>
      <c r="S130" s="866"/>
      <c r="T130" s="866"/>
      <c r="U130" s="866"/>
      <c r="V130" s="866"/>
      <c r="W130" s="866"/>
      <c r="X130" s="866"/>
      <c r="Y130" s="866"/>
      <c r="Z130" s="866"/>
      <c r="AA130" s="866"/>
      <c r="AB130" s="866"/>
      <c r="AC130" s="866"/>
      <c r="AD130" s="866"/>
      <c r="AE130" s="866"/>
      <c r="AF130" s="866"/>
      <c r="AG130" s="866"/>
      <c r="AH130" s="185"/>
      <c r="AI130" s="185"/>
      <c r="AJ130" s="866"/>
      <c r="AK130" s="866"/>
      <c r="AL130" s="866"/>
      <c r="AM130" s="866"/>
      <c r="AN130" s="866"/>
      <c r="AO130" s="866"/>
      <c r="AP130" s="866"/>
      <c r="AQ130" s="866"/>
      <c r="AR130" s="866"/>
      <c r="AS130" s="866"/>
      <c r="AT130" s="185"/>
      <c r="AU130" s="185"/>
      <c r="AV130" s="185"/>
      <c r="AW130" s="185"/>
      <c r="AX130" s="185"/>
      <c r="AY130" s="185"/>
      <c r="AZ130" s="185"/>
      <c r="BA130" s="185"/>
      <c r="BB130" s="185"/>
      <c r="BC130" s="185"/>
      <c r="BD130" s="185"/>
      <c r="BE130" s="185"/>
      <c r="BF130" s="185"/>
      <c r="BG130" s="185"/>
      <c r="BH130" s="185"/>
      <c r="BI130" s="185"/>
      <c r="BJ130" s="185"/>
      <c r="BK130" s="185"/>
      <c r="BL130" s="186"/>
      <c r="BM130" s="186"/>
      <c r="BN130" s="186"/>
      <c r="BO130" s="186"/>
      <c r="BP130" s="186"/>
      <c r="BQ130" s="186"/>
      <c r="BR130" s="186"/>
      <c r="BS130" s="186"/>
      <c r="BT130" s="186"/>
      <c r="BU130" s="186"/>
      <c r="BV130" s="186"/>
      <c r="BW130" s="186"/>
      <c r="BX130" s="186"/>
      <c r="BY130" s="186"/>
      <c r="BZ130" s="186"/>
      <c r="CA130" s="186"/>
      <c r="CB130" s="186"/>
      <c r="CC130" s="186"/>
      <c r="CD130" s="186"/>
      <c r="CE130" s="186"/>
      <c r="CF130" s="186"/>
      <c r="CG130" s="186"/>
    </row>
    <row r="131" spans="1:85" ht="15.75">
      <c r="A131" s="185"/>
      <c r="B131" s="866"/>
      <c r="C131" s="866"/>
      <c r="D131" s="866"/>
      <c r="E131" s="866"/>
      <c r="F131" s="866"/>
      <c r="G131" s="866"/>
      <c r="H131" s="866"/>
      <c r="I131" s="866"/>
      <c r="J131" s="866"/>
      <c r="K131" s="185"/>
      <c r="L131" s="185"/>
      <c r="M131" s="185"/>
      <c r="N131" s="185"/>
      <c r="O131" s="866"/>
      <c r="P131" s="866"/>
      <c r="Q131" s="866"/>
      <c r="R131" s="866"/>
      <c r="S131" s="866"/>
      <c r="T131" s="866"/>
      <c r="U131" s="866"/>
      <c r="V131" s="866"/>
      <c r="W131" s="866"/>
      <c r="X131" s="866"/>
      <c r="Y131" s="866"/>
      <c r="Z131" s="866"/>
      <c r="AA131" s="866"/>
      <c r="AB131" s="866"/>
      <c r="AC131" s="866"/>
      <c r="AD131" s="866"/>
      <c r="AE131" s="866"/>
      <c r="AF131" s="866"/>
      <c r="AG131" s="866"/>
      <c r="AH131" s="185"/>
      <c r="AI131" s="185"/>
      <c r="AJ131" s="866"/>
      <c r="AK131" s="866"/>
      <c r="AL131" s="866"/>
      <c r="AM131" s="866"/>
      <c r="AN131" s="866"/>
      <c r="AO131" s="866"/>
      <c r="AP131" s="866"/>
      <c r="AQ131" s="866"/>
      <c r="AR131" s="866"/>
      <c r="AS131" s="866"/>
      <c r="AT131" s="185"/>
      <c r="AU131" s="185"/>
      <c r="AV131" s="185"/>
      <c r="AW131" s="185"/>
      <c r="AX131" s="185"/>
      <c r="AY131" s="185"/>
      <c r="AZ131" s="185"/>
      <c r="BA131" s="185"/>
      <c r="BB131" s="185"/>
      <c r="BC131" s="185"/>
      <c r="BD131" s="185"/>
      <c r="BE131" s="185"/>
      <c r="BF131" s="185"/>
      <c r="BG131" s="185"/>
      <c r="BH131" s="185"/>
      <c r="BI131" s="185"/>
      <c r="BJ131" s="185"/>
      <c r="BK131" s="185"/>
      <c r="BL131" s="186"/>
      <c r="BM131" s="186"/>
      <c r="BN131" s="186"/>
      <c r="BO131" s="186"/>
      <c r="BP131" s="186"/>
      <c r="BQ131" s="186"/>
      <c r="BR131" s="186"/>
      <c r="BS131" s="186"/>
      <c r="BT131" s="186"/>
      <c r="BU131" s="186"/>
      <c r="BV131" s="186"/>
      <c r="BW131" s="186"/>
      <c r="BX131" s="186"/>
      <c r="BY131" s="186"/>
      <c r="BZ131" s="186"/>
      <c r="CA131" s="186"/>
      <c r="CB131" s="186"/>
      <c r="CC131" s="186"/>
      <c r="CD131" s="186"/>
      <c r="CE131" s="186"/>
      <c r="CF131" s="186"/>
      <c r="CG131" s="186"/>
    </row>
    <row r="132" spans="1:85" ht="15.75">
      <c r="A132" s="185"/>
      <c r="B132" s="866"/>
      <c r="C132" s="866"/>
      <c r="D132" s="866"/>
      <c r="E132" s="866"/>
      <c r="F132" s="866"/>
      <c r="G132" s="866"/>
      <c r="H132" s="866"/>
      <c r="I132" s="866"/>
      <c r="J132" s="866"/>
      <c r="K132" s="185"/>
      <c r="L132" s="185"/>
      <c r="M132" s="185"/>
      <c r="N132" s="185"/>
      <c r="O132" s="866"/>
      <c r="P132" s="866"/>
      <c r="Q132" s="866"/>
      <c r="R132" s="866"/>
      <c r="S132" s="866"/>
      <c r="T132" s="866"/>
      <c r="U132" s="866"/>
      <c r="V132" s="866"/>
      <c r="W132" s="866"/>
      <c r="X132" s="866"/>
      <c r="Y132" s="866"/>
      <c r="Z132" s="866"/>
      <c r="AA132" s="866"/>
      <c r="AB132" s="866"/>
      <c r="AC132" s="866"/>
      <c r="AD132" s="866"/>
      <c r="AE132" s="866"/>
      <c r="AF132" s="866"/>
      <c r="AG132" s="866"/>
      <c r="AH132" s="185"/>
      <c r="AI132" s="185"/>
      <c r="AJ132" s="866"/>
      <c r="AK132" s="866"/>
      <c r="AL132" s="866"/>
      <c r="AM132" s="866"/>
      <c r="AN132" s="866"/>
      <c r="AO132" s="866"/>
      <c r="AP132" s="866"/>
      <c r="AQ132" s="866"/>
      <c r="AR132" s="866"/>
      <c r="AS132" s="866"/>
      <c r="AT132" s="185"/>
      <c r="AU132" s="185"/>
      <c r="AV132" s="185"/>
      <c r="AW132" s="185"/>
      <c r="AX132" s="185"/>
      <c r="AY132" s="185"/>
      <c r="AZ132" s="185"/>
      <c r="BA132" s="185"/>
      <c r="BB132" s="185"/>
      <c r="BC132" s="185"/>
      <c r="BD132" s="185"/>
      <c r="BE132" s="185"/>
      <c r="BF132" s="185"/>
      <c r="BG132" s="185"/>
      <c r="BH132" s="185"/>
      <c r="BI132" s="185"/>
      <c r="BJ132" s="185"/>
      <c r="BK132" s="185"/>
      <c r="BL132" s="186"/>
      <c r="BM132" s="186"/>
      <c r="BN132" s="186"/>
      <c r="BO132" s="186"/>
      <c r="BP132" s="186"/>
      <c r="BQ132" s="186"/>
      <c r="BR132" s="186"/>
      <c r="BS132" s="186"/>
      <c r="BT132" s="186"/>
      <c r="BU132" s="186"/>
      <c r="BV132" s="186"/>
      <c r="BW132" s="186"/>
      <c r="BX132" s="186"/>
      <c r="BY132" s="186"/>
      <c r="BZ132" s="186"/>
      <c r="CA132" s="186"/>
      <c r="CB132" s="186"/>
      <c r="CC132" s="186"/>
      <c r="CD132" s="186"/>
      <c r="CE132" s="186"/>
      <c r="CF132" s="186"/>
      <c r="CG132" s="186"/>
    </row>
    <row r="133" spans="1:85" ht="15.75">
      <c r="A133" s="185"/>
      <c r="B133" s="866"/>
      <c r="C133" s="866"/>
      <c r="D133" s="866"/>
      <c r="E133" s="866"/>
      <c r="F133" s="866"/>
      <c r="G133" s="866"/>
      <c r="H133" s="866"/>
      <c r="I133" s="866"/>
      <c r="J133" s="866"/>
      <c r="K133" s="185"/>
      <c r="L133" s="185"/>
      <c r="M133" s="185"/>
      <c r="N133" s="185"/>
      <c r="O133" s="866"/>
      <c r="P133" s="866"/>
      <c r="Q133" s="866"/>
      <c r="R133" s="866"/>
      <c r="S133" s="866"/>
      <c r="T133" s="866"/>
      <c r="U133" s="866"/>
      <c r="V133" s="866"/>
      <c r="W133" s="866"/>
      <c r="X133" s="866"/>
      <c r="Y133" s="866"/>
      <c r="Z133" s="866"/>
      <c r="AA133" s="866"/>
      <c r="AB133" s="866"/>
      <c r="AC133" s="866"/>
      <c r="AD133" s="866"/>
      <c r="AE133" s="866"/>
      <c r="AF133" s="866"/>
      <c r="AG133" s="866"/>
      <c r="AH133" s="185"/>
      <c r="AI133" s="185"/>
      <c r="AJ133" s="866"/>
      <c r="AK133" s="866"/>
      <c r="AL133" s="866"/>
      <c r="AM133" s="866"/>
      <c r="AN133" s="866"/>
      <c r="AO133" s="866"/>
      <c r="AP133" s="866"/>
      <c r="AQ133" s="866"/>
      <c r="AR133" s="866"/>
      <c r="AS133" s="866"/>
      <c r="AT133" s="185"/>
      <c r="AU133" s="185"/>
      <c r="AV133" s="185"/>
      <c r="AW133" s="185"/>
      <c r="AX133" s="185"/>
      <c r="AY133" s="185"/>
      <c r="AZ133" s="185"/>
      <c r="BA133" s="185"/>
      <c r="BB133" s="185"/>
      <c r="BC133" s="185"/>
      <c r="BD133" s="185"/>
      <c r="BE133" s="185"/>
      <c r="BF133" s="185"/>
      <c r="BG133" s="185"/>
      <c r="BH133" s="185"/>
      <c r="BI133" s="185"/>
      <c r="BJ133" s="185"/>
      <c r="BK133" s="185"/>
      <c r="BL133" s="186"/>
      <c r="BM133" s="186"/>
      <c r="BN133" s="186"/>
      <c r="BO133" s="186"/>
      <c r="BP133" s="186"/>
      <c r="BQ133" s="186"/>
      <c r="BR133" s="186"/>
      <c r="BS133" s="186"/>
      <c r="BT133" s="186"/>
      <c r="BU133" s="186"/>
      <c r="BV133" s="186"/>
      <c r="BW133" s="186"/>
      <c r="BX133" s="186"/>
      <c r="BY133" s="186"/>
      <c r="BZ133" s="186"/>
      <c r="CA133" s="186"/>
      <c r="CB133" s="186"/>
      <c r="CC133" s="186"/>
      <c r="CD133" s="186"/>
      <c r="CE133" s="186"/>
      <c r="CF133" s="186"/>
      <c r="CG133" s="186"/>
    </row>
    <row r="134" spans="1:85" ht="15.75">
      <c r="A134" s="185"/>
      <c r="B134" s="866"/>
      <c r="C134" s="866"/>
      <c r="D134" s="866"/>
      <c r="E134" s="866"/>
      <c r="F134" s="866"/>
      <c r="G134" s="866"/>
      <c r="H134" s="866"/>
      <c r="I134" s="866"/>
      <c r="J134" s="866"/>
      <c r="K134" s="185"/>
      <c r="L134" s="185"/>
      <c r="M134" s="185"/>
      <c r="N134" s="185"/>
      <c r="O134" s="866"/>
      <c r="P134" s="866"/>
      <c r="Q134" s="866"/>
      <c r="R134" s="866"/>
      <c r="S134" s="866"/>
      <c r="T134" s="866"/>
      <c r="U134" s="866"/>
      <c r="V134" s="866"/>
      <c r="W134" s="866"/>
      <c r="X134" s="866"/>
      <c r="Y134" s="866"/>
      <c r="Z134" s="866"/>
      <c r="AA134" s="866"/>
      <c r="AB134" s="866"/>
      <c r="AC134" s="866"/>
      <c r="AD134" s="866"/>
      <c r="AE134" s="866"/>
      <c r="AF134" s="866"/>
      <c r="AG134" s="866"/>
      <c r="AH134" s="185"/>
      <c r="AI134" s="185"/>
      <c r="AJ134" s="866"/>
      <c r="AK134" s="866"/>
      <c r="AL134" s="866"/>
      <c r="AM134" s="866"/>
      <c r="AN134" s="866"/>
      <c r="AO134" s="866"/>
      <c r="AP134" s="866"/>
      <c r="AQ134" s="866"/>
      <c r="AR134" s="866"/>
      <c r="AS134" s="866"/>
      <c r="AT134" s="185"/>
      <c r="AU134" s="185"/>
      <c r="AV134" s="185"/>
      <c r="AW134" s="185"/>
      <c r="AX134" s="185"/>
      <c r="AY134" s="185"/>
      <c r="AZ134" s="185"/>
      <c r="BA134" s="185"/>
      <c r="BB134" s="185"/>
      <c r="BC134" s="185"/>
      <c r="BD134" s="185"/>
      <c r="BE134" s="185"/>
      <c r="BF134" s="185"/>
      <c r="BG134" s="185"/>
      <c r="BH134" s="185"/>
      <c r="BI134" s="185"/>
      <c r="BJ134" s="185"/>
      <c r="BK134" s="185"/>
      <c r="BL134" s="186"/>
      <c r="BM134" s="186"/>
      <c r="BN134" s="186"/>
      <c r="BO134" s="186"/>
      <c r="BP134" s="186"/>
      <c r="BQ134" s="186"/>
      <c r="BR134" s="186"/>
      <c r="BS134" s="186"/>
      <c r="BT134" s="186"/>
      <c r="BU134" s="186"/>
      <c r="BV134" s="186"/>
      <c r="BW134" s="186"/>
      <c r="BX134" s="186"/>
      <c r="BY134" s="186"/>
      <c r="BZ134" s="186"/>
      <c r="CA134" s="186"/>
      <c r="CB134" s="186"/>
      <c r="CC134" s="186"/>
      <c r="CD134" s="186"/>
      <c r="CE134" s="186"/>
      <c r="CF134" s="186"/>
      <c r="CG134" s="186"/>
    </row>
    <row r="135" spans="1:85" ht="15.75">
      <c r="A135" s="185"/>
      <c r="B135" s="866"/>
      <c r="C135" s="866"/>
      <c r="D135" s="866"/>
      <c r="E135" s="866"/>
      <c r="F135" s="866"/>
      <c r="G135" s="866"/>
      <c r="H135" s="866"/>
      <c r="I135" s="866"/>
      <c r="J135" s="866"/>
      <c r="K135" s="185"/>
      <c r="L135" s="185"/>
      <c r="M135" s="185"/>
      <c r="N135" s="185"/>
      <c r="O135" s="866"/>
      <c r="P135" s="866"/>
      <c r="Q135" s="866"/>
      <c r="R135" s="866"/>
      <c r="S135" s="866"/>
      <c r="T135" s="866"/>
      <c r="U135" s="866"/>
      <c r="V135" s="866"/>
      <c r="W135" s="866"/>
      <c r="X135" s="866"/>
      <c r="Y135" s="866"/>
      <c r="Z135" s="866"/>
      <c r="AA135" s="866"/>
      <c r="AB135" s="866"/>
      <c r="AC135" s="866"/>
      <c r="AD135" s="866"/>
      <c r="AE135" s="866"/>
      <c r="AF135" s="866"/>
      <c r="AG135" s="866"/>
      <c r="AH135" s="185"/>
      <c r="AI135" s="185"/>
      <c r="AJ135" s="866"/>
      <c r="AK135" s="866"/>
      <c r="AL135" s="866"/>
      <c r="AM135" s="866"/>
      <c r="AN135" s="866"/>
      <c r="AO135" s="866"/>
      <c r="AP135" s="866"/>
      <c r="AQ135" s="866"/>
      <c r="AR135" s="866"/>
      <c r="AS135" s="866"/>
      <c r="AT135" s="185"/>
      <c r="AU135" s="185"/>
      <c r="AV135" s="185"/>
      <c r="AW135" s="185"/>
      <c r="AX135" s="185"/>
      <c r="AY135" s="185"/>
      <c r="AZ135" s="185"/>
      <c r="BA135" s="185"/>
      <c r="BB135" s="185"/>
      <c r="BC135" s="185"/>
      <c r="BD135" s="185"/>
      <c r="BE135" s="185"/>
      <c r="BF135" s="185"/>
      <c r="BG135" s="185"/>
      <c r="BH135" s="185"/>
      <c r="BI135" s="185"/>
      <c r="BJ135" s="185"/>
      <c r="BK135" s="185"/>
      <c r="BL135" s="186"/>
      <c r="BM135" s="186"/>
      <c r="BN135" s="186"/>
      <c r="BO135" s="186"/>
      <c r="BP135" s="186"/>
      <c r="BQ135" s="186"/>
      <c r="BR135" s="186"/>
      <c r="BS135" s="186"/>
      <c r="BT135" s="186"/>
      <c r="BU135" s="186"/>
      <c r="BV135" s="186"/>
      <c r="BW135" s="186"/>
      <c r="BX135" s="186"/>
      <c r="BY135" s="186"/>
      <c r="BZ135" s="186"/>
      <c r="CA135" s="186"/>
      <c r="CB135" s="186"/>
      <c r="CC135" s="186"/>
      <c r="CD135" s="186"/>
      <c r="CE135" s="186"/>
      <c r="CF135" s="186"/>
      <c r="CG135" s="186"/>
    </row>
    <row r="136" spans="1:85" ht="15.75">
      <c r="A136" s="185"/>
      <c r="B136" s="866"/>
      <c r="C136" s="866"/>
      <c r="D136" s="866"/>
      <c r="E136" s="866"/>
      <c r="F136" s="866"/>
      <c r="G136" s="866"/>
      <c r="H136" s="866"/>
      <c r="I136" s="866"/>
      <c r="J136" s="866"/>
      <c r="K136" s="185"/>
      <c r="L136" s="185"/>
      <c r="M136" s="185"/>
      <c r="N136" s="185"/>
      <c r="O136" s="866"/>
      <c r="P136" s="866"/>
      <c r="Q136" s="866"/>
      <c r="R136" s="866"/>
      <c r="S136" s="866"/>
      <c r="T136" s="866"/>
      <c r="U136" s="866"/>
      <c r="V136" s="866"/>
      <c r="W136" s="866"/>
      <c r="X136" s="866"/>
      <c r="Y136" s="866"/>
      <c r="Z136" s="866"/>
      <c r="AA136" s="866"/>
      <c r="AB136" s="866"/>
      <c r="AC136" s="866"/>
      <c r="AD136" s="866"/>
      <c r="AE136" s="866"/>
      <c r="AF136" s="866"/>
      <c r="AG136" s="866"/>
      <c r="AH136" s="185"/>
      <c r="AI136" s="185"/>
      <c r="AJ136" s="866"/>
      <c r="AK136" s="866"/>
      <c r="AL136" s="866"/>
      <c r="AM136" s="866"/>
      <c r="AN136" s="866"/>
      <c r="AO136" s="866"/>
      <c r="AP136" s="866"/>
      <c r="AQ136" s="866"/>
      <c r="AR136" s="866"/>
      <c r="AS136" s="866"/>
      <c r="AT136" s="185"/>
      <c r="AU136" s="185"/>
      <c r="AV136" s="185"/>
      <c r="AW136" s="185"/>
      <c r="AX136" s="185"/>
      <c r="AY136" s="185"/>
      <c r="AZ136" s="185"/>
      <c r="BA136" s="185"/>
      <c r="BB136" s="185"/>
      <c r="BC136" s="185"/>
      <c r="BD136" s="185"/>
      <c r="BE136" s="185"/>
      <c r="BF136" s="185"/>
      <c r="BG136" s="185"/>
      <c r="BH136" s="185"/>
      <c r="BI136" s="185"/>
      <c r="BJ136" s="185"/>
      <c r="BK136" s="185"/>
      <c r="BL136" s="186"/>
      <c r="BM136" s="186"/>
      <c r="BN136" s="186"/>
      <c r="BO136" s="186"/>
      <c r="BP136" s="186"/>
      <c r="BQ136" s="186"/>
      <c r="BR136" s="186"/>
      <c r="BS136" s="186"/>
      <c r="BT136" s="186"/>
      <c r="BU136" s="186"/>
      <c r="BV136" s="186"/>
      <c r="BW136" s="186"/>
      <c r="BX136" s="186"/>
      <c r="BY136" s="186"/>
      <c r="BZ136" s="186"/>
      <c r="CA136" s="186"/>
      <c r="CB136" s="186"/>
      <c r="CC136" s="186"/>
      <c r="CD136" s="186"/>
      <c r="CE136" s="186"/>
      <c r="CF136" s="186"/>
      <c r="CG136" s="186"/>
    </row>
    <row r="137" spans="1:85" ht="15.75">
      <c r="A137" s="185"/>
      <c r="B137" s="866"/>
      <c r="C137" s="866"/>
      <c r="D137" s="866"/>
      <c r="E137" s="866"/>
      <c r="F137" s="866"/>
      <c r="G137" s="866"/>
      <c r="H137" s="866"/>
      <c r="I137" s="866"/>
      <c r="J137" s="866"/>
      <c r="K137" s="185"/>
      <c r="L137" s="185"/>
      <c r="M137" s="185"/>
      <c r="N137" s="185"/>
      <c r="O137" s="866"/>
      <c r="P137" s="866"/>
      <c r="Q137" s="866"/>
      <c r="R137" s="866"/>
      <c r="S137" s="866"/>
      <c r="T137" s="866"/>
      <c r="U137" s="866"/>
      <c r="V137" s="866"/>
      <c r="W137" s="866"/>
      <c r="X137" s="866"/>
      <c r="Y137" s="866"/>
      <c r="Z137" s="866"/>
      <c r="AA137" s="866"/>
      <c r="AB137" s="866"/>
      <c r="AC137" s="866"/>
      <c r="AD137" s="866"/>
      <c r="AE137" s="866"/>
      <c r="AF137" s="866"/>
      <c r="AG137" s="866"/>
      <c r="AH137" s="185"/>
      <c r="AI137" s="185"/>
      <c r="AJ137" s="866"/>
      <c r="AK137" s="866"/>
      <c r="AL137" s="866"/>
      <c r="AM137" s="866"/>
      <c r="AN137" s="866"/>
      <c r="AO137" s="866"/>
      <c r="AP137" s="866"/>
      <c r="AQ137" s="866"/>
      <c r="AR137" s="866"/>
      <c r="AS137" s="866"/>
      <c r="AT137" s="185"/>
      <c r="AU137" s="185"/>
      <c r="AV137" s="185"/>
      <c r="AW137" s="185"/>
      <c r="AX137" s="185"/>
      <c r="AY137" s="185"/>
      <c r="AZ137" s="185"/>
      <c r="BA137" s="185"/>
      <c r="BB137" s="185"/>
      <c r="BC137" s="185"/>
      <c r="BD137" s="185"/>
      <c r="BE137" s="185"/>
      <c r="BF137" s="185"/>
      <c r="BG137" s="185"/>
      <c r="BH137" s="185"/>
      <c r="BI137" s="185"/>
      <c r="BJ137" s="185"/>
      <c r="BK137" s="185"/>
      <c r="BL137" s="186"/>
      <c r="BM137" s="186"/>
      <c r="BN137" s="186"/>
      <c r="BO137" s="186"/>
      <c r="BP137" s="186"/>
      <c r="BQ137" s="186"/>
      <c r="BR137" s="186"/>
      <c r="BS137" s="186"/>
      <c r="BT137" s="186"/>
      <c r="BU137" s="186"/>
      <c r="BV137" s="186"/>
      <c r="BW137" s="186"/>
      <c r="BX137" s="186"/>
      <c r="BY137" s="186"/>
      <c r="BZ137" s="186"/>
      <c r="CA137" s="186"/>
      <c r="CB137" s="186"/>
      <c r="CC137" s="186"/>
      <c r="CD137" s="186"/>
      <c r="CE137" s="186"/>
      <c r="CF137" s="186"/>
      <c r="CG137" s="186"/>
    </row>
    <row r="138" spans="1:85" ht="15.75">
      <c r="A138" s="185"/>
      <c r="B138" s="866"/>
      <c r="C138" s="866"/>
      <c r="D138" s="866"/>
      <c r="E138" s="866"/>
      <c r="F138" s="866"/>
      <c r="G138" s="866"/>
      <c r="H138" s="866"/>
      <c r="I138" s="866"/>
      <c r="J138" s="866"/>
      <c r="K138" s="185"/>
      <c r="L138" s="185"/>
      <c r="M138" s="185"/>
      <c r="N138" s="185"/>
      <c r="O138" s="866"/>
      <c r="P138" s="866"/>
      <c r="Q138" s="866"/>
      <c r="R138" s="866"/>
      <c r="S138" s="866"/>
      <c r="T138" s="866"/>
      <c r="U138" s="866"/>
      <c r="V138" s="866"/>
      <c r="W138" s="866"/>
      <c r="X138" s="866"/>
      <c r="Y138" s="866"/>
      <c r="Z138" s="866"/>
      <c r="AA138" s="866"/>
      <c r="AB138" s="866"/>
      <c r="AC138" s="866"/>
      <c r="AD138" s="866"/>
      <c r="AE138" s="866"/>
      <c r="AF138" s="866"/>
      <c r="AG138" s="866"/>
      <c r="AH138" s="185"/>
      <c r="AI138" s="185"/>
      <c r="AJ138" s="866"/>
      <c r="AK138" s="866"/>
      <c r="AL138" s="866"/>
      <c r="AM138" s="866"/>
      <c r="AN138" s="866"/>
      <c r="AO138" s="866"/>
      <c r="AP138" s="866"/>
      <c r="AQ138" s="866"/>
      <c r="AR138" s="866"/>
      <c r="AS138" s="866"/>
      <c r="AT138" s="185"/>
      <c r="AU138" s="185"/>
      <c r="AV138" s="185"/>
      <c r="AW138" s="185"/>
      <c r="AX138" s="185"/>
      <c r="AY138" s="185"/>
      <c r="AZ138" s="185"/>
      <c r="BA138" s="185"/>
      <c r="BB138" s="185"/>
      <c r="BC138" s="185"/>
      <c r="BD138" s="185"/>
      <c r="BE138" s="185"/>
      <c r="BF138" s="185"/>
      <c r="BG138" s="185"/>
      <c r="BH138" s="185"/>
      <c r="BI138" s="185"/>
      <c r="BJ138" s="185"/>
      <c r="BK138" s="185"/>
      <c r="BL138" s="186"/>
      <c r="BM138" s="186"/>
      <c r="BN138" s="186"/>
      <c r="BO138" s="186"/>
      <c r="BP138" s="186"/>
      <c r="BQ138" s="186"/>
      <c r="BR138" s="186"/>
      <c r="BS138" s="186"/>
      <c r="BT138" s="186"/>
      <c r="BU138" s="186"/>
      <c r="BV138" s="186"/>
      <c r="BW138" s="186"/>
      <c r="BX138" s="186"/>
      <c r="BY138" s="186"/>
      <c r="BZ138" s="186"/>
      <c r="CA138" s="186"/>
      <c r="CB138" s="186"/>
      <c r="CC138" s="186"/>
      <c r="CD138" s="186"/>
      <c r="CE138" s="186"/>
      <c r="CF138" s="186"/>
      <c r="CG138" s="186"/>
    </row>
    <row r="139" spans="1:85" ht="15.75">
      <c r="A139" s="185"/>
      <c r="B139" s="866"/>
      <c r="C139" s="866"/>
      <c r="D139" s="866"/>
      <c r="E139" s="866"/>
      <c r="F139" s="866"/>
      <c r="G139" s="866"/>
      <c r="H139" s="866"/>
      <c r="I139" s="866"/>
      <c r="J139" s="866"/>
      <c r="K139" s="185"/>
      <c r="L139" s="185"/>
      <c r="M139" s="185"/>
      <c r="N139" s="185"/>
      <c r="O139" s="866"/>
      <c r="P139" s="866"/>
      <c r="Q139" s="866"/>
      <c r="R139" s="866"/>
      <c r="S139" s="866"/>
      <c r="T139" s="866"/>
      <c r="U139" s="866"/>
      <c r="V139" s="866"/>
      <c r="W139" s="866"/>
      <c r="X139" s="866"/>
      <c r="Y139" s="866"/>
      <c r="Z139" s="866"/>
      <c r="AA139" s="866"/>
      <c r="AB139" s="866"/>
      <c r="AC139" s="866"/>
      <c r="AD139" s="866"/>
      <c r="AE139" s="866"/>
      <c r="AF139" s="866"/>
      <c r="AG139" s="866"/>
      <c r="AH139" s="185"/>
      <c r="AI139" s="185"/>
      <c r="AJ139" s="866"/>
      <c r="AK139" s="866"/>
      <c r="AL139" s="866"/>
      <c r="AM139" s="866"/>
      <c r="AN139" s="866"/>
      <c r="AO139" s="866"/>
      <c r="AP139" s="866"/>
      <c r="AQ139" s="866"/>
      <c r="AR139" s="866"/>
      <c r="AS139" s="866"/>
      <c r="AT139" s="185"/>
      <c r="AU139" s="185"/>
      <c r="AV139" s="185"/>
      <c r="AW139" s="185"/>
      <c r="AX139" s="185"/>
      <c r="AY139" s="185"/>
      <c r="AZ139" s="185"/>
      <c r="BA139" s="185"/>
      <c r="BB139" s="185"/>
      <c r="BC139" s="185"/>
      <c r="BD139" s="185"/>
      <c r="BE139" s="185"/>
      <c r="BF139" s="185"/>
      <c r="BG139" s="185"/>
      <c r="BH139" s="185"/>
      <c r="BI139" s="185"/>
      <c r="BJ139" s="185"/>
      <c r="BK139" s="185"/>
      <c r="BL139" s="186"/>
      <c r="BM139" s="186"/>
      <c r="BN139" s="186"/>
      <c r="BO139" s="186"/>
      <c r="BP139" s="186"/>
      <c r="BQ139" s="186"/>
      <c r="BR139" s="186"/>
      <c r="BS139" s="186"/>
      <c r="BT139" s="186"/>
      <c r="BU139" s="186"/>
      <c r="BV139" s="186"/>
      <c r="BW139" s="186"/>
      <c r="BX139" s="186"/>
      <c r="BY139" s="186"/>
      <c r="BZ139" s="186"/>
      <c r="CA139" s="186"/>
      <c r="CB139" s="186"/>
      <c r="CC139" s="186"/>
      <c r="CD139" s="186"/>
      <c r="CE139" s="186"/>
      <c r="CF139" s="186"/>
      <c r="CG139" s="186"/>
    </row>
    <row r="140" spans="1:85" ht="15.75">
      <c r="A140" s="185"/>
      <c r="B140" s="866"/>
      <c r="C140" s="866"/>
      <c r="D140" s="866"/>
      <c r="E140" s="866"/>
      <c r="F140" s="866"/>
      <c r="G140" s="866"/>
      <c r="H140" s="866"/>
      <c r="I140" s="866"/>
      <c r="J140" s="866"/>
      <c r="K140" s="185"/>
      <c r="L140" s="185"/>
      <c r="M140" s="185"/>
      <c r="N140" s="185"/>
      <c r="O140" s="866"/>
      <c r="P140" s="866"/>
      <c r="Q140" s="866"/>
      <c r="R140" s="866"/>
      <c r="S140" s="866"/>
      <c r="T140" s="866"/>
      <c r="U140" s="866"/>
      <c r="V140" s="866"/>
      <c r="W140" s="866"/>
      <c r="X140" s="866"/>
      <c r="Y140" s="866"/>
      <c r="Z140" s="866"/>
      <c r="AA140" s="866"/>
      <c r="AB140" s="866"/>
      <c r="AC140" s="866"/>
      <c r="AD140" s="866"/>
      <c r="AE140" s="866"/>
      <c r="AF140" s="866"/>
      <c r="AG140" s="866"/>
      <c r="AH140" s="185"/>
      <c r="AI140" s="185"/>
      <c r="AJ140" s="866"/>
      <c r="AK140" s="866"/>
      <c r="AL140" s="866"/>
      <c r="AM140" s="866"/>
      <c r="AN140" s="866"/>
      <c r="AO140" s="866"/>
      <c r="AP140" s="866"/>
      <c r="AQ140" s="866"/>
      <c r="AR140" s="866"/>
      <c r="AS140" s="866"/>
      <c r="AT140" s="185"/>
      <c r="AU140" s="185"/>
      <c r="AV140" s="185"/>
      <c r="AW140" s="185"/>
      <c r="AX140" s="185"/>
      <c r="AY140" s="185"/>
      <c r="AZ140" s="185"/>
      <c r="BA140" s="185"/>
      <c r="BB140" s="185"/>
      <c r="BC140" s="185"/>
      <c r="BD140" s="185"/>
      <c r="BE140" s="185"/>
      <c r="BF140" s="185"/>
      <c r="BG140" s="185"/>
      <c r="BH140" s="185"/>
      <c r="BI140" s="185"/>
      <c r="BJ140" s="185"/>
      <c r="BK140" s="185"/>
      <c r="BL140" s="186"/>
      <c r="BM140" s="186"/>
      <c r="BN140" s="186"/>
      <c r="BO140" s="186"/>
      <c r="BP140" s="186"/>
      <c r="BQ140" s="186"/>
      <c r="BR140" s="186"/>
      <c r="BS140" s="186"/>
      <c r="BT140" s="186"/>
      <c r="BU140" s="186"/>
      <c r="BV140" s="186"/>
      <c r="BW140" s="186"/>
      <c r="BX140" s="186"/>
      <c r="BY140" s="186"/>
      <c r="BZ140" s="186"/>
      <c r="CA140" s="186"/>
      <c r="CB140" s="186"/>
      <c r="CC140" s="186"/>
      <c r="CD140" s="186"/>
      <c r="CE140" s="186"/>
      <c r="CF140" s="186"/>
      <c r="CG140" s="186"/>
    </row>
    <row r="141" spans="1:85" ht="15.75">
      <c r="A141" s="185"/>
      <c r="B141" s="866"/>
      <c r="C141" s="866"/>
      <c r="D141" s="866"/>
      <c r="E141" s="866"/>
      <c r="F141" s="866"/>
      <c r="G141" s="866"/>
      <c r="H141" s="866"/>
      <c r="I141" s="866"/>
      <c r="J141" s="866"/>
      <c r="K141" s="185"/>
      <c r="L141" s="185"/>
      <c r="M141" s="185"/>
      <c r="N141" s="185"/>
      <c r="O141" s="866"/>
      <c r="P141" s="866"/>
      <c r="Q141" s="866"/>
      <c r="R141" s="866"/>
      <c r="S141" s="866"/>
      <c r="T141" s="866"/>
      <c r="U141" s="866"/>
      <c r="V141" s="866"/>
      <c r="W141" s="866"/>
      <c r="X141" s="866"/>
      <c r="Y141" s="866"/>
      <c r="Z141" s="866"/>
      <c r="AA141" s="866"/>
      <c r="AB141" s="866"/>
      <c r="AC141" s="866"/>
      <c r="AD141" s="866"/>
      <c r="AE141" s="866"/>
      <c r="AF141" s="866"/>
      <c r="AG141" s="866"/>
      <c r="AH141" s="185"/>
      <c r="AI141" s="185"/>
      <c r="AJ141" s="866"/>
      <c r="AK141" s="866"/>
      <c r="AL141" s="866"/>
      <c r="AM141" s="866"/>
      <c r="AN141" s="866"/>
      <c r="AO141" s="866"/>
      <c r="AP141" s="866"/>
      <c r="AQ141" s="866"/>
      <c r="AR141" s="866"/>
      <c r="AS141" s="866"/>
      <c r="AT141" s="185"/>
      <c r="AU141" s="185"/>
      <c r="AV141" s="185"/>
      <c r="AW141" s="185"/>
      <c r="AX141" s="185"/>
      <c r="AY141" s="185"/>
      <c r="AZ141" s="185"/>
      <c r="BA141" s="185"/>
      <c r="BB141" s="185"/>
      <c r="BC141" s="185"/>
      <c r="BD141" s="185"/>
      <c r="BE141" s="185"/>
      <c r="BF141" s="185"/>
      <c r="BG141" s="185"/>
      <c r="BH141" s="185"/>
      <c r="BI141" s="185"/>
      <c r="BJ141" s="185"/>
      <c r="BK141" s="185"/>
      <c r="BL141" s="186"/>
      <c r="BM141" s="186"/>
      <c r="BN141" s="186"/>
      <c r="BO141" s="186"/>
      <c r="BP141" s="186"/>
      <c r="BQ141" s="186"/>
      <c r="BR141" s="186"/>
      <c r="BS141" s="186"/>
      <c r="BT141" s="186"/>
      <c r="BU141" s="186"/>
      <c r="BV141" s="186"/>
      <c r="BW141" s="186"/>
      <c r="BX141" s="186"/>
      <c r="BY141" s="186"/>
      <c r="BZ141" s="186"/>
      <c r="CA141" s="186"/>
      <c r="CB141" s="186"/>
      <c r="CC141" s="186"/>
      <c r="CD141" s="186"/>
      <c r="CE141" s="186"/>
      <c r="CF141" s="186"/>
      <c r="CG141" s="186"/>
    </row>
    <row r="142" spans="1:85" ht="15.75">
      <c r="A142" s="185"/>
      <c r="B142" s="866"/>
      <c r="C142" s="866"/>
      <c r="D142" s="866"/>
      <c r="E142" s="866"/>
      <c r="F142" s="866"/>
      <c r="G142" s="866"/>
      <c r="H142" s="866"/>
      <c r="I142" s="866"/>
      <c r="J142" s="866"/>
      <c r="K142" s="185"/>
      <c r="L142" s="185"/>
      <c r="M142" s="185"/>
      <c r="N142" s="185"/>
      <c r="O142" s="866"/>
      <c r="P142" s="866"/>
      <c r="Q142" s="866"/>
      <c r="R142" s="866"/>
      <c r="S142" s="866"/>
      <c r="T142" s="866"/>
      <c r="U142" s="866"/>
      <c r="V142" s="866"/>
      <c r="W142" s="866"/>
      <c r="X142" s="866"/>
      <c r="Y142" s="866"/>
      <c r="Z142" s="866"/>
      <c r="AA142" s="866"/>
      <c r="AB142" s="866"/>
      <c r="AC142" s="866"/>
      <c r="AD142" s="866"/>
      <c r="AE142" s="866"/>
      <c r="AF142" s="866"/>
      <c r="AG142" s="866"/>
      <c r="AH142" s="185"/>
      <c r="AI142" s="185"/>
      <c r="AJ142" s="866"/>
      <c r="AK142" s="866"/>
      <c r="AL142" s="866"/>
      <c r="AM142" s="866"/>
      <c r="AN142" s="866"/>
      <c r="AO142" s="866"/>
      <c r="AP142" s="866"/>
      <c r="AQ142" s="866"/>
      <c r="AR142" s="866"/>
      <c r="AS142" s="866"/>
      <c r="AT142" s="185"/>
      <c r="AU142" s="185"/>
      <c r="AV142" s="185"/>
      <c r="AW142" s="185"/>
      <c r="AX142" s="185"/>
      <c r="AY142" s="185"/>
      <c r="AZ142" s="185"/>
      <c r="BA142" s="185"/>
      <c r="BB142" s="185"/>
      <c r="BC142" s="185"/>
      <c r="BD142" s="185"/>
      <c r="BE142" s="185"/>
      <c r="BF142" s="185"/>
      <c r="BG142" s="185"/>
      <c r="BH142" s="185"/>
      <c r="BI142" s="185"/>
      <c r="BJ142" s="185"/>
      <c r="BK142" s="185"/>
      <c r="BL142" s="186"/>
      <c r="BM142" s="186"/>
      <c r="BN142" s="186"/>
      <c r="BO142" s="186"/>
      <c r="BP142" s="186"/>
      <c r="BQ142" s="186"/>
      <c r="BR142" s="186"/>
      <c r="BS142" s="186"/>
      <c r="BT142" s="186"/>
      <c r="BU142" s="186"/>
      <c r="BV142" s="186"/>
      <c r="BW142" s="186"/>
      <c r="BX142" s="186"/>
      <c r="BY142" s="186"/>
      <c r="BZ142" s="186"/>
      <c r="CA142" s="186"/>
      <c r="CB142" s="186"/>
      <c r="CC142" s="186"/>
      <c r="CD142" s="186"/>
      <c r="CE142" s="186"/>
      <c r="CF142" s="186"/>
      <c r="CG142" s="186"/>
    </row>
    <row r="143" spans="1:85" ht="15.75">
      <c r="A143" s="185"/>
      <c r="B143" s="866"/>
      <c r="C143" s="866"/>
      <c r="D143" s="866"/>
      <c r="E143" s="866"/>
      <c r="F143" s="866"/>
      <c r="G143" s="866"/>
      <c r="H143" s="866"/>
      <c r="I143" s="866"/>
      <c r="J143" s="866"/>
      <c r="K143" s="185"/>
      <c r="L143" s="185"/>
      <c r="M143" s="185"/>
      <c r="N143" s="185"/>
      <c r="O143" s="866"/>
      <c r="P143" s="866"/>
      <c r="Q143" s="866"/>
      <c r="R143" s="866"/>
      <c r="S143" s="866"/>
      <c r="T143" s="866"/>
      <c r="U143" s="866"/>
      <c r="V143" s="866"/>
      <c r="W143" s="866"/>
      <c r="X143" s="866"/>
      <c r="Y143" s="866"/>
      <c r="Z143" s="866"/>
      <c r="AA143" s="866"/>
      <c r="AB143" s="866"/>
      <c r="AC143" s="866"/>
      <c r="AD143" s="866"/>
      <c r="AE143" s="866"/>
      <c r="AF143" s="866"/>
      <c r="AG143" s="866"/>
      <c r="AH143" s="185"/>
      <c r="AI143" s="185"/>
      <c r="AJ143" s="866"/>
      <c r="AK143" s="866"/>
      <c r="AL143" s="866"/>
      <c r="AM143" s="866"/>
      <c r="AN143" s="866"/>
      <c r="AO143" s="866"/>
      <c r="AP143" s="866"/>
      <c r="AQ143" s="866"/>
      <c r="AR143" s="866"/>
      <c r="AS143" s="866"/>
      <c r="AT143" s="185"/>
      <c r="AU143" s="185"/>
      <c r="AV143" s="185"/>
      <c r="AW143" s="185"/>
      <c r="AX143" s="185"/>
      <c r="AY143" s="185"/>
      <c r="AZ143" s="185"/>
      <c r="BA143" s="185"/>
      <c r="BB143" s="185"/>
      <c r="BC143" s="185"/>
      <c r="BD143" s="185"/>
      <c r="BE143" s="185"/>
      <c r="BF143" s="185"/>
      <c r="BG143" s="185"/>
      <c r="BH143" s="185"/>
      <c r="BI143" s="185"/>
      <c r="BJ143" s="185"/>
      <c r="BK143" s="185"/>
      <c r="BL143" s="186"/>
      <c r="BM143" s="186"/>
      <c r="BN143" s="186"/>
      <c r="BO143" s="186"/>
      <c r="BP143" s="186"/>
      <c r="BQ143" s="186"/>
      <c r="BR143" s="186"/>
      <c r="BS143" s="186"/>
      <c r="BT143" s="186"/>
      <c r="BU143" s="186"/>
      <c r="BV143" s="186"/>
      <c r="BW143" s="186"/>
      <c r="BX143" s="186"/>
      <c r="BY143" s="186"/>
      <c r="BZ143" s="186"/>
      <c r="CA143" s="186"/>
      <c r="CB143" s="186"/>
      <c r="CC143" s="186"/>
      <c r="CD143" s="186"/>
      <c r="CE143" s="186"/>
      <c r="CF143" s="186"/>
      <c r="CG143" s="186"/>
    </row>
    <row r="144" spans="1:85" ht="15.75">
      <c r="A144" s="185"/>
      <c r="B144" s="866"/>
      <c r="C144" s="866"/>
      <c r="D144" s="866"/>
      <c r="E144" s="866"/>
      <c r="F144" s="866"/>
      <c r="G144" s="866"/>
      <c r="H144" s="866"/>
      <c r="I144" s="866"/>
      <c r="J144" s="866"/>
      <c r="K144" s="185"/>
      <c r="L144" s="185"/>
      <c r="M144" s="185"/>
      <c r="N144" s="185"/>
      <c r="O144" s="866"/>
      <c r="P144" s="866"/>
      <c r="Q144" s="866"/>
      <c r="R144" s="866"/>
      <c r="S144" s="866"/>
      <c r="T144" s="866"/>
      <c r="U144" s="866"/>
      <c r="V144" s="866"/>
      <c r="W144" s="866"/>
      <c r="X144" s="866"/>
      <c r="Y144" s="866"/>
      <c r="Z144" s="866"/>
      <c r="AA144" s="866"/>
      <c r="AB144" s="866"/>
      <c r="AC144" s="866"/>
      <c r="AD144" s="866"/>
      <c r="AE144" s="866"/>
      <c r="AF144" s="866"/>
      <c r="AG144" s="866"/>
      <c r="AH144" s="185"/>
      <c r="AI144" s="185"/>
      <c r="AJ144" s="866"/>
      <c r="AK144" s="866"/>
      <c r="AL144" s="866"/>
      <c r="AM144" s="866"/>
      <c r="AN144" s="866"/>
      <c r="AO144" s="866"/>
      <c r="AP144" s="866"/>
      <c r="AQ144" s="866"/>
      <c r="AR144" s="866"/>
      <c r="AS144" s="866"/>
      <c r="AT144" s="185"/>
      <c r="AU144" s="185"/>
      <c r="AV144" s="185"/>
      <c r="AW144" s="185"/>
      <c r="AX144" s="185"/>
      <c r="AY144" s="185"/>
      <c r="AZ144" s="185"/>
      <c r="BA144" s="185"/>
      <c r="BB144" s="185"/>
      <c r="BC144" s="185"/>
      <c r="BD144" s="185"/>
      <c r="BE144" s="185"/>
      <c r="BF144" s="185"/>
      <c r="BG144" s="185"/>
      <c r="BH144" s="185"/>
      <c r="BI144" s="185"/>
      <c r="BJ144" s="185"/>
      <c r="BK144" s="185"/>
      <c r="BL144" s="186"/>
      <c r="BM144" s="186"/>
      <c r="BN144" s="186"/>
      <c r="BO144" s="186"/>
      <c r="BP144" s="186"/>
      <c r="BQ144" s="186"/>
      <c r="BR144" s="186"/>
      <c r="BS144" s="186"/>
      <c r="BT144" s="186"/>
      <c r="BU144" s="186"/>
      <c r="BV144" s="186"/>
      <c r="BW144" s="186"/>
      <c r="BX144" s="186"/>
      <c r="BY144" s="186"/>
      <c r="BZ144" s="186"/>
      <c r="CA144" s="186"/>
      <c r="CB144" s="186"/>
      <c r="CC144" s="186"/>
      <c r="CD144" s="186"/>
      <c r="CE144" s="186"/>
      <c r="CF144" s="186"/>
      <c r="CG144" s="186"/>
    </row>
    <row r="145" spans="1:85" ht="15.75">
      <c r="A145" s="185"/>
      <c r="B145" s="866"/>
      <c r="C145" s="866"/>
      <c r="D145" s="866"/>
      <c r="E145" s="866"/>
      <c r="F145" s="866"/>
      <c r="G145" s="866"/>
      <c r="H145" s="866"/>
      <c r="I145" s="866"/>
      <c r="J145" s="866"/>
      <c r="K145" s="185"/>
      <c r="L145" s="185"/>
      <c r="M145" s="185"/>
      <c r="N145" s="185"/>
      <c r="O145" s="866"/>
      <c r="P145" s="866"/>
      <c r="Q145" s="866"/>
      <c r="R145" s="866"/>
      <c r="S145" s="866"/>
      <c r="T145" s="866"/>
      <c r="U145" s="866"/>
      <c r="V145" s="866"/>
      <c r="W145" s="866"/>
      <c r="X145" s="866"/>
      <c r="Y145" s="866"/>
      <c r="Z145" s="866"/>
      <c r="AA145" s="866"/>
      <c r="AB145" s="866"/>
      <c r="AC145" s="866"/>
      <c r="AD145" s="866"/>
      <c r="AE145" s="866"/>
      <c r="AF145" s="866"/>
      <c r="AG145" s="866"/>
      <c r="AH145" s="185"/>
      <c r="AI145" s="185"/>
      <c r="AJ145" s="866"/>
      <c r="AK145" s="866"/>
      <c r="AL145" s="866"/>
      <c r="AM145" s="866"/>
      <c r="AN145" s="866"/>
      <c r="AO145" s="866"/>
      <c r="AP145" s="866"/>
      <c r="AQ145" s="866"/>
      <c r="AR145" s="866"/>
      <c r="AS145" s="866"/>
      <c r="AT145" s="185"/>
      <c r="AU145" s="185"/>
      <c r="AV145" s="185"/>
      <c r="AW145" s="185"/>
      <c r="AX145" s="185"/>
      <c r="AY145" s="185"/>
      <c r="AZ145" s="185"/>
      <c r="BA145" s="185"/>
      <c r="BB145" s="185"/>
      <c r="BC145" s="185"/>
      <c r="BD145" s="185"/>
      <c r="BE145" s="185"/>
      <c r="BF145" s="185"/>
      <c r="BG145" s="185"/>
      <c r="BH145" s="185"/>
      <c r="BI145" s="185"/>
      <c r="BJ145" s="185"/>
      <c r="BK145" s="185"/>
      <c r="BL145" s="186"/>
      <c r="BM145" s="186"/>
      <c r="BN145" s="186"/>
      <c r="BO145" s="186"/>
      <c r="BP145" s="186"/>
      <c r="BQ145" s="186"/>
      <c r="BR145" s="186"/>
      <c r="BS145" s="186"/>
      <c r="BT145" s="186"/>
      <c r="BU145" s="186"/>
      <c r="BV145" s="186"/>
      <c r="BW145" s="186"/>
      <c r="BX145" s="186"/>
      <c r="BY145" s="186"/>
      <c r="BZ145" s="186"/>
      <c r="CA145" s="186"/>
      <c r="CB145" s="186"/>
      <c r="CC145" s="186"/>
      <c r="CD145" s="186"/>
      <c r="CE145" s="186"/>
      <c r="CF145" s="186"/>
      <c r="CG145" s="186"/>
    </row>
    <row r="146" spans="1:85" ht="15.75">
      <c r="A146" s="185"/>
      <c r="B146" s="866"/>
      <c r="C146" s="866"/>
      <c r="D146" s="866"/>
      <c r="E146" s="866"/>
      <c r="F146" s="866"/>
      <c r="G146" s="866"/>
      <c r="H146" s="866"/>
      <c r="I146" s="866"/>
      <c r="J146" s="866"/>
      <c r="K146" s="185"/>
      <c r="L146" s="185"/>
      <c r="M146" s="185"/>
      <c r="N146" s="185"/>
      <c r="O146" s="866"/>
      <c r="P146" s="866"/>
      <c r="Q146" s="866"/>
      <c r="R146" s="866"/>
      <c r="S146" s="866"/>
      <c r="T146" s="866"/>
      <c r="U146" s="866"/>
      <c r="V146" s="866"/>
      <c r="W146" s="866"/>
      <c r="X146" s="866"/>
      <c r="Y146" s="866"/>
      <c r="Z146" s="866"/>
      <c r="AA146" s="866"/>
      <c r="AB146" s="866"/>
      <c r="AC146" s="866"/>
      <c r="AD146" s="866"/>
      <c r="AE146" s="866"/>
      <c r="AF146" s="866"/>
      <c r="AG146" s="866"/>
      <c r="AH146" s="185"/>
      <c r="AI146" s="185"/>
      <c r="AJ146" s="866"/>
      <c r="AK146" s="866"/>
      <c r="AL146" s="866"/>
      <c r="AM146" s="866"/>
      <c r="AN146" s="866"/>
      <c r="AO146" s="866"/>
      <c r="AP146" s="866"/>
      <c r="AQ146" s="866"/>
      <c r="AR146" s="866"/>
      <c r="AS146" s="866"/>
      <c r="AT146" s="185"/>
      <c r="AU146" s="185"/>
      <c r="AV146" s="185"/>
      <c r="AW146" s="185"/>
      <c r="AX146" s="185"/>
      <c r="AY146" s="185"/>
      <c r="AZ146" s="185"/>
      <c r="BA146" s="185"/>
      <c r="BB146" s="185"/>
      <c r="BC146" s="185"/>
      <c r="BD146" s="185"/>
      <c r="BE146" s="185"/>
      <c r="BF146" s="185"/>
      <c r="BG146" s="185"/>
      <c r="BH146" s="185"/>
      <c r="BI146" s="185"/>
      <c r="BJ146" s="185"/>
      <c r="BK146" s="185"/>
      <c r="BL146" s="186"/>
      <c r="BM146" s="186"/>
      <c r="BN146" s="186"/>
      <c r="BO146" s="186"/>
      <c r="BP146" s="186"/>
      <c r="BQ146" s="186"/>
      <c r="BR146" s="186"/>
      <c r="BS146" s="186"/>
      <c r="BT146" s="186"/>
      <c r="BU146" s="186"/>
      <c r="BV146" s="186"/>
      <c r="BW146" s="186"/>
      <c r="BX146" s="186"/>
      <c r="BY146" s="186"/>
      <c r="BZ146" s="186"/>
      <c r="CA146" s="186"/>
      <c r="CB146" s="186"/>
      <c r="CC146" s="186"/>
      <c r="CD146" s="186"/>
      <c r="CE146" s="186"/>
      <c r="CF146" s="186"/>
      <c r="CG146" s="186"/>
    </row>
    <row r="147" spans="1:85" ht="15.75">
      <c r="A147" s="185"/>
      <c r="B147" s="866"/>
      <c r="C147" s="866"/>
      <c r="D147" s="866"/>
      <c r="E147" s="866"/>
      <c r="F147" s="866"/>
      <c r="G147" s="866"/>
      <c r="H147" s="866"/>
      <c r="I147" s="866"/>
      <c r="J147" s="866"/>
      <c r="K147" s="185"/>
      <c r="L147" s="185"/>
      <c r="M147" s="185"/>
      <c r="N147" s="185"/>
      <c r="O147" s="866"/>
      <c r="P147" s="866"/>
      <c r="Q147" s="866"/>
      <c r="R147" s="866"/>
      <c r="S147" s="866"/>
      <c r="T147" s="866"/>
      <c r="U147" s="866"/>
      <c r="V147" s="866"/>
      <c r="W147" s="866"/>
      <c r="X147" s="866"/>
      <c r="Y147" s="866"/>
      <c r="Z147" s="866"/>
      <c r="AA147" s="866"/>
      <c r="AB147" s="866"/>
      <c r="AC147" s="866"/>
      <c r="AD147" s="866"/>
      <c r="AE147" s="866"/>
      <c r="AF147" s="866"/>
      <c r="AG147" s="866"/>
      <c r="AH147" s="185"/>
      <c r="AI147" s="185"/>
      <c r="AJ147" s="866"/>
      <c r="AK147" s="866"/>
      <c r="AL147" s="866"/>
      <c r="AM147" s="866"/>
      <c r="AN147" s="866"/>
      <c r="AO147" s="866"/>
      <c r="AP147" s="866"/>
      <c r="AQ147" s="866"/>
      <c r="AR147" s="866"/>
      <c r="AS147" s="866"/>
      <c r="AT147" s="185"/>
      <c r="AU147" s="185"/>
      <c r="AV147" s="185"/>
      <c r="AW147" s="185"/>
      <c r="AX147" s="185"/>
      <c r="AY147" s="185"/>
      <c r="AZ147" s="185"/>
      <c r="BA147" s="185"/>
      <c r="BB147" s="185"/>
      <c r="BC147" s="185"/>
      <c r="BD147" s="185"/>
      <c r="BE147" s="185"/>
      <c r="BF147" s="185"/>
      <c r="BG147" s="185"/>
      <c r="BH147" s="185"/>
      <c r="BI147" s="185"/>
      <c r="BJ147" s="185"/>
      <c r="BK147" s="185"/>
      <c r="BL147" s="186"/>
      <c r="BM147" s="186"/>
      <c r="BN147" s="186"/>
      <c r="BO147" s="186"/>
      <c r="BP147" s="186"/>
      <c r="BQ147" s="186"/>
      <c r="BR147" s="186"/>
      <c r="BS147" s="186"/>
      <c r="BT147" s="186"/>
      <c r="BU147" s="186"/>
      <c r="BV147" s="186"/>
      <c r="BW147" s="186"/>
      <c r="BX147" s="186"/>
      <c r="BY147" s="186"/>
      <c r="BZ147" s="186"/>
      <c r="CA147" s="186"/>
      <c r="CB147" s="186"/>
      <c r="CC147" s="186"/>
      <c r="CD147" s="186"/>
      <c r="CE147" s="186"/>
      <c r="CF147" s="186"/>
      <c r="CG147" s="186"/>
    </row>
    <row r="148" spans="1:85" ht="15.75">
      <c r="A148" s="185"/>
      <c r="B148" s="866"/>
      <c r="C148" s="866"/>
      <c r="D148" s="866"/>
      <c r="E148" s="866"/>
      <c r="F148" s="866"/>
      <c r="G148" s="866"/>
      <c r="H148" s="866"/>
      <c r="I148" s="866"/>
      <c r="J148" s="866"/>
      <c r="K148" s="185"/>
      <c r="L148" s="185"/>
      <c r="M148" s="185"/>
      <c r="N148" s="185"/>
      <c r="O148" s="866"/>
      <c r="P148" s="866"/>
      <c r="Q148" s="866"/>
      <c r="R148" s="866"/>
      <c r="S148" s="866"/>
      <c r="T148" s="866"/>
      <c r="U148" s="866"/>
      <c r="V148" s="866"/>
      <c r="W148" s="866"/>
      <c r="X148" s="866"/>
      <c r="Y148" s="866"/>
      <c r="Z148" s="866"/>
      <c r="AA148" s="866"/>
      <c r="AB148" s="866"/>
      <c r="AC148" s="866"/>
      <c r="AD148" s="866"/>
      <c r="AE148" s="866"/>
      <c r="AF148" s="866"/>
      <c r="AG148" s="866"/>
      <c r="AH148" s="185"/>
      <c r="AI148" s="185"/>
      <c r="AJ148" s="866"/>
      <c r="AK148" s="866"/>
      <c r="AL148" s="866"/>
      <c r="AM148" s="866"/>
      <c r="AN148" s="866"/>
      <c r="AO148" s="866"/>
      <c r="AP148" s="866"/>
      <c r="AQ148" s="866"/>
      <c r="AR148" s="866"/>
      <c r="AS148" s="866"/>
      <c r="AT148" s="185"/>
      <c r="AU148" s="185"/>
      <c r="AV148" s="185"/>
      <c r="AW148" s="185"/>
      <c r="AX148" s="185"/>
      <c r="AY148" s="185"/>
      <c r="AZ148" s="185"/>
      <c r="BA148" s="185"/>
      <c r="BB148" s="185"/>
      <c r="BC148" s="185"/>
      <c r="BD148" s="185"/>
      <c r="BE148" s="185"/>
      <c r="BF148" s="185"/>
      <c r="BG148" s="185"/>
      <c r="BH148" s="185"/>
      <c r="BI148" s="185"/>
      <c r="BJ148" s="185"/>
      <c r="BK148" s="185"/>
      <c r="BL148" s="186"/>
      <c r="BM148" s="186"/>
      <c r="BN148" s="186"/>
      <c r="BO148" s="186"/>
      <c r="BP148" s="186"/>
      <c r="BQ148" s="186"/>
      <c r="BR148" s="186"/>
      <c r="BS148" s="186"/>
      <c r="BT148" s="186"/>
      <c r="BU148" s="186"/>
      <c r="BV148" s="186"/>
      <c r="BW148" s="186"/>
      <c r="BX148" s="186"/>
      <c r="BY148" s="186"/>
      <c r="BZ148" s="186"/>
      <c r="CA148" s="186"/>
      <c r="CB148" s="186"/>
      <c r="CC148" s="186"/>
      <c r="CD148" s="186"/>
      <c r="CE148" s="186"/>
      <c r="CF148" s="186"/>
      <c r="CG148" s="186"/>
    </row>
    <row r="149" spans="1:85" ht="15.75">
      <c r="A149" s="185"/>
      <c r="B149" s="866"/>
      <c r="C149" s="866"/>
      <c r="D149" s="866"/>
      <c r="E149" s="866"/>
      <c r="F149" s="866"/>
      <c r="G149" s="866"/>
      <c r="H149" s="866"/>
      <c r="I149" s="866"/>
      <c r="J149" s="866"/>
      <c r="K149" s="185"/>
      <c r="L149" s="185"/>
      <c r="M149" s="185"/>
      <c r="N149" s="185"/>
      <c r="O149" s="866"/>
      <c r="P149" s="866"/>
      <c r="Q149" s="866"/>
      <c r="R149" s="866"/>
      <c r="S149" s="866"/>
      <c r="T149" s="866"/>
      <c r="U149" s="866"/>
      <c r="V149" s="866"/>
      <c r="W149" s="866"/>
      <c r="X149" s="866"/>
      <c r="Y149" s="866"/>
      <c r="Z149" s="866"/>
      <c r="AA149" s="866"/>
      <c r="AB149" s="866"/>
      <c r="AC149" s="866"/>
      <c r="AD149" s="866"/>
      <c r="AE149" s="866"/>
      <c r="AF149" s="866"/>
      <c r="AG149" s="866"/>
      <c r="AH149" s="185"/>
      <c r="AI149" s="185"/>
      <c r="AJ149" s="866"/>
      <c r="AK149" s="866"/>
      <c r="AL149" s="866"/>
      <c r="AM149" s="866"/>
      <c r="AN149" s="866"/>
      <c r="AO149" s="866"/>
      <c r="AP149" s="866"/>
      <c r="AQ149" s="866"/>
      <c r="AR149" s="866"/>
      <c r="AS149" s="866"/>
      <c r="AT149" s="185"/>
      <c r="AU149" s="185"/>
      <c r="AV149" s="185"/>
      <c r="AW149" s="185"/>
      <c r="AX149" s="185"/>
      <c r="AY149" s="185"/>
      <c r="AZ149" s="185"/>
      <c r="BA149" s="185"/>
      <c r="BB149" s="185"/>
      <c r="BC149" s="185"/>
      <c r="BD149" s="185"/>
      <c r="BE149" s="185"/>
      <c r="BF149" s="185"/>
      <c r="BG149" s="185"/>
      <c r="BH149" s="185"/>
      <c r="BI149" s="185"/>
      <c r="BJ149" s="185"/>
      <c r="BK149" s="185"/>
      <c r="BL149" s="186"/>
      <c r="BM149" s="186"/>
      <c r="BN149" s="186"/>
      <c r="BO149" s="186"/>
      <c r="BP149" s="186"/>
      <c r="BQ149" s="186"/>
      <c r="BR149" s="186"/>
      <c r="BS149" s="186"/>
      <c r="BT149" s="186"/>
      <c r="BU149" s="186"/>
      <c r="BV149" s="186"/>
      <c r="BW149" s="186"/>
      <c r="BX149" s="186"/>
      <c r="BY149" s="186"/>
      <c r="BZ149" s="186"/>
      <c r="CA149" s="186"/>
      <c r="CB149" s="186"/>
      <c r="CC149" s="186"/>
      <c r="CD149" s="186"/>
      <c r="CE149" s="186"/>
      <c r="CF149" s="186"/>
      <c r="CG149" s="186"/>
    </row>
    <row r="150" spans="1:85" ht="15.75">
      <c r="A150" s="185"/>
      <c r="B150" s="866"/>
      <c r="C150" s="866"/>
      <c r="D150" s="866"/>
      <c r="E150" s="866"/>
      <c r="F150" s="866"/>
      <c r="G150" s="866"/>
      <c r="H150" s="866"/>
      <c r="I150" s="866"/>
      <c r="J150" s="866"/>
      <c r="K150" s="185"/>
      <c r="L150" s="185"/>
      <c r="M150" s="185"/>
      <c r="N150" s="185"/>
      <c r="O150" s="866"/>
      <c r="P150" s="866"/>
      <c r="Q150" s="866"/>
      <c r="R150" s="866"/>
      <c r="S150" s="866"/>
      <c r="T150" s="866"/>
      <c r="U150" s="866"/>
      <c r="V150" s="866"/>
      <c r="W150" s="866"/>
      <c r="X150" s="866"/>
      <c r="Y150" s="866"/>
      <c r="Z150" s="866"/>
      <c r="AA150" s="866"/>
      <c r="AB150" s="866"/>
      <c r="AC150" s="866"/>
      <c r="AD150" s="866"/>
      <c r="AE150" s="866"/>
      <c r="AF150" s="866"/>
      <c r="AG150" s="866"/>
      <c r="AH150" s="185"/>
      <c r="AI150" s="185"/>
      <c r="AJ150" s="866"/>
      <c r="AK150" s="866"/>
      <c r="AL150" s="866"/>
      <c r="AM150" s="866"/>
      <c r="AN150" s="866"/>
      <c r="AO150" s="866"/>
      <c r="AP150" s="866"/>
      <c r="AQ150" s="866"/>
      <c r="AR150" s="866"/>
      <c r="AS150" s="866"/>
      <c r="AT150" s="185"/>
      <c r="AU150" s="185"/>
      <c r="AV150" s="185"/>
      <c r="AW150" s="185"/>
      <c r="AX150" s="185"/>
      <c r="AY150" s="185"/>
      <c r="AZ150" s="185"/>
      <c r="BA150" s="185"/>
      <c r="BB150" s="185"/>
      <c r="BC150" s="185"/>
      <c r="BD150" s="185"/>
      <c r="BE150" s="185"/>
      <c r="BF150" s="185"/>
      <c r="BG150" s="185"/>
      <c r="BH150" s="185"/>
      <c r="BI150" s="185"/>
      <c r="BJ150" s="185"/>
      <c r="BK150" s="185"/>
      <c r="BL150" s="186"/>
      <c r="BM150" s="186"/>
      <c r="BN150" s="186"/>
      <c r="BO150" s="186"/>
      <c r="BP150" s="186"/>
      <c r="BQ150" s="186"/>
      <c r="BR150" s="186"/>
      <c r="BS150" s="186"/>
      <c r="BT150" s="186"/>
      <c r="BU150" s="186"/>
      <c r="BV150" s="186"/>
      <c r="BW150" s="186"/>
      <c r="BX150" s="186"/>
      <c r="BY150" s="186"/>
      <c r="BZ150" s="186"/>
      <c r="CA150" s="186"/>
      <c r="CB150" s="186"/>
      <c r="CC150" s="186"/>
      <c r="CD150" s="186"/>
      <c r="CE150" s="186"/>
      <c r="CF150" s="186"/>
      <c r="CG150" s="186"/>
    </row>
    <row r="151" spans="1:85" ht="15.75">
      <c r="A151" s="185"/>
      <c r="B151" s="866"/>
      <c r="C151" s="866"/>
      <c r="D151" s="866"/>
      <c r="E151" s="866"/>
      <c r="F151" s="866"/>
      <c r="G151" s="866"/>
      <c r="H151" s="866"/>
      <c r="I151" s="866"/>
      <c r="J151" s="866"/>
      <c r="K151" s="185"/>
      <c r="L151" s="185"/>
      <c r="M151" s="185"/>
      <c r="N151" s="185"/>
      <c r="O151" s="866"/>
      <c r="P151" s="866"/>
      <c r="Q151" s="866"/>
      <c r="R151" s="866"/>
      <c r="S151" s="866"/>
      <c r="T151" s="866"/>
      <c r="U151" s="866"/>
      <c r="V151" s="866"/>
      <c r="W151" s="866"/>
      <c r="X151" s="866"/>
      <c r="Y151" s="866"/>
      <c r="Z151" s="866"/>
      <c r="AA151" s="866"/>
      <c r="AB151" s="866"/>
      <c r="AC151" s="866"/>
      <c r="AD151" s="866"/>
      <c r="AE151" s="866"/>
      <c r="AF151" s="866"/>
      <c r="AG151" s="866"/>
      <c r="AH151" s="185"/>
      <c r="AI151" s="185"/>
      <c r="AJ151" s="866"/>
      <c r="AK151" s="866"/>
      <c r="AL151" s="866"/>
      <c r="AM151" s="866"/>
      <c r="AN151" s="866"/>
      <c r="AO151" s="866"/>
      <c r="AP151" s="866"/>
      <c r="AQ151" s="866"/>
      <c r="AR151" s="866"/>
      <c r="AS151" s="866"/>
      <c r="AT151" s="185"/>
      <c r="AU151" s="185"/>
      <c r="AV151" s="185"/>
      <c r="AW151" s="185"/>
      <c r="AX151" s="185"/>
      <c r="AY151" s="185"/>
      <c r="AZ151" s="185"/>
      <c r="BA151" s="185"/>
      <c r="BB151" s="185"/>
      <c r="BC151" s="185"/>
      <c r="BD151" s="185"/>
      <c r="BE151" s="185"/>
      <c r="BF151" s="185"/>
      <c r="BG151" s="185"/>
      <c r="BH151" s="185"/>
      <c r="BI151" s="185"/>
      <c r="BJ151" s="185"/>
      <c r="BK151" s="185"/>
      <c r="BL151" s="186"/>
      <c r="BM151" s="186"/>
      <c r="BN151" s="186"/>
      <c r="BO151" s="186"/>
      <c r="BP151" s="186"/>
      <c r="BQ151" s="186"/>
      <c r="BR151" s="186"/>
      <c r="BS151" s="186"/>
      <c r="BT151" s="186"/>
      <c r="BU151" s="186"/>
      <c r="BV151" s="186"/>
      <c r="BW151" s="186"/>
      <c r="BX151" s="186"/>
      <c r="BY151" s="186"/>
      <c r="BZ151" s="186"/>
      <c r="CA151" s="186"/>
      <c r="CB151" s="186"/>
      <c r="CC151" s="186"/>
      <c r="CD151" s="186"/>
      <c r="CE151" s="186"/>
      <c r="CF151" s="186"/>
      <c r="CG151" s="186"/>
    </row>
    <row r="152" spans="1:85" ht="15.75">
      <c r="A152" s="185"/>
      <c r="B152" s="866"/>
      <c r="C152" s="866"/>
      <c r="D152" s="866"/>
      <c r="E152" s="866"/>
      <c r="F152" s="866"/>
      <c r="G152" s="866"/>
      <c r="H152" s="866"/>
      <c r="I152" s="866"/>
      <c r="J152" s="866"/>
      <c r="K152" s="185"/>
      <c r="L152" s="185"/>
      <c r="M152" s="185"/>
      <c r="N152" s="185"/>
      <c r="O152" s="866"/>
      <c r="P152" s="866"/>
      <c r="Q152" s="866"/>
      <c r="R152" s="866"/>
      <c r="S152" s="866"/>
      <c r="T152" s="866"/>
      <c r="U152" s="866"/>
      <c r="V152" s="866"/>
      <c r="W152" s="866"/>
      <c r="X152" s="866"/>
      <c r="Y152" s="866"/>
      <c r="Z152" s="866"/>
      <c r="AA152" s="866"/>
      <c r="AB152" s="866"/>
      <c r="AC152" s="866"/>
      <c r="AD152" s="866"/>
      <c r="AE152" s="866"/>
      <c r="AF152" s="866"/>
      <c r="AG152" s="866"/>
      <c r="AH152" s="185"/>
      <c r="AI152" s="185"/>
      <c r="AJ152" s="866"/>
      <c r="AK152" s="866"/>
      <c r="AL152" s="866"/>
      <c r="AM152" s="866"/>
      <c r="AN152" s="866"/>
      <c r="AO152" s="866"/>
      <c r="AP152" s="866"/>
      <c r="AQ152" s="866"/>
      <c r="AR152" s="866"/>
      <c r="AS152" s="866"/>
      <c r="AT152" s="185"/>
      <c r="AU152" s="185"/>
      <c r="AV152" s="185"/>
      <c r="AW152" s="185"/>
      <c r="AX152" s="185"/>
      <c r="AY152" s="185"/>
      <c r="AZ152" s="185"/>
      <c r="BA152" s="185"/>
      <c r="BB152" s="185"/>
      <c r="BC152" s="185"/>
      <c r="BD152" s="185"/>
      <c r="BE152" s="185"/>
      <c r="BF152" s="185"/>
      <c r="BG152" s="185"/>
      <c r="BH152" s="185"/>
      <c r="BI152" s="185"/>
      <c r="BJ152" s="185"/>
      <c r="BK152" s="185"/>
      <c r="BL152" s="186"/>
      <c r="BM152" s="186"/>
      <c r="BN152" s="186"/>
      <c r="BO152" s="186"/>
      <c r="BP152" s="186"/>
      <c r="BQ152" s="186"/>
      <c r="BR152" s="186"/>
      <c r="BS152" s="186"/>
      <c r="BT152" s="186"/>
      <c r="BU152" s="186"/>
      <c r="BV152" s="186"/>
      <c r="BW152" s="186"/>
      <c r="BX152" s="186"/>
      <c r="BY152" s="186"/>
      <c r="BZ152" s="186"/>
      <c r="CA152" s="186"/>
      <c r="CB152" s="186"/>
      <c r="CC152" s="186"/>
      <c r="CD152" s="186"/>
      <c r="CE152" s="186"/>
      <c r="CF152" s="186"/>
      <c r="CG152" s="186"/>
    </row>
    <row r="153" spans="1:85" ht="15.75">
      <c r="A153" s="185"/>
      <c r="B153" s="866"/>
      <c r="C153" s="866"/>
      <c r="D153" s="866"/>
      <c r="E153" s="866"/>
      <c r="F153" s="866"/>
      <c r="G153" s="866"/>
      <c r="H153" s="866"/>
      <c r="I153" s="866"/>
      <c r="J153" s="866"/>
      <c r="K153" s="185"/>
      <c r="L153" s="185"/>
      <c r="M153" s="185"/>
      <c r="N153" s="185"/>
      <c r="O153" s="866"/>
      <c r="P153" s="866"/>
      <c r="Q153" s="866"/>
      <c r="R153" s="866"/>
      <c r="S153" s="866"/>
      <c r="T153" s="866"/>
      <c r="U153" s="866"/>
      <c r="V153" s="866"/>
      <c r="W153" s="866"/>
      <c r="X153" s="866"/>
      <c r="Y153" s="866"/>
      <c r="Z153" s="866"/>
      <c r="AA153" s="866"/>
      <c r="AB153" s="866"/>
      <c r="AC153" s="866"/>
      <c r="AD153" s="866"/>
      <c r="AE153" s="866"/>
      <c r="AF153" s="866"/>
      <c r="AG153" s="866"/>
      <c r="AH153" s="185"/>
      <c r="AI153" s="185"/>
      <c r="AJ153" s="866"/>
      <c r="AK153" s="866"/>
      <c r="AL153" s="866"/>
      <c r="AM153" s="866"/>
      <c r="AN153" s="866"/>
      <c r="AO153" s="866"/>
      <c r="AP153" s="866"/>
      <c r="AQ153" s="866"/>
      <c r="AR153" s="866"/>
      <c r="AS153" s="866"/>
      <c r="AT153" s="185"/>
      <c r="AU153" s="185"/>
      <c r="AV153" s="185"/>
      <c r="AW153" s="185"/>
      <c r="AX153" s="185"/>
      <c r="AY153" s="185"/>
      <c r="AZ153" s="185"/>
      <c r="BA153" s="185"/>
      <c r="BB153" s="185"/>
      <c r="BC153" s="185"/>
      <c r="BD153" s="185"/>
      <c r="BE153" s="185"/>
      <c r="BF153" s="185"/>
      <c r="BG153" s="185"/>
      <c r="BH153" s="185"/>
      <c r="BI153" s="185"/>
      <c r="BJ153" s="185"/>
      <c r="BK153" s="185"/>
      <c r="BL153" s="186"/>
      <c r="BM153" s="186"/>
      <c r="BN153" s="186"/>
      <c r="BO153" s="186"/>
      <c r="BP153" s="186"/>
      <c r="BQ153" s="186"/>
      <c r="BR153" s="186"/>
      <c r="BS153" s="186"/>
      <c r="BT153" s="186"/>
      <c r="BU153" s="186"/>
      <c r="BV153" s="186"/>
      <c r="BW153" s="186"/>
      <c r="BX153" s="186"/>
      <c r="BY153" s="186"/>
      <c r="BZ153" s="186"/>
      <c r="CA153" s="186"/>
      <c r="CB153" s="186"/>
      <c r="CC153" s="186"/>
      <c r="CD153" s="186"/>
      <c r="CE153" s="186"/>
      <c r="CF153" s="186"/>
      <c r="CG153" s="186"/>
    </row>
    <row r="154" spans="1:85" ht="15.75">
      <c r="A154" s="185"/>
      <c r="B154" s="866"/>
      <c r="C154" s="866"/>
      <c r="D154" s="866"/>
      <c r="E154" s="866"/>
      <c r="F154" s="866"/>
      <c r="G154" s="866"/>
      <c r="H154" s="866"/>
      <c r="I154" s="866"/>
      <c r="J154" s="866"/>
      <c r="K154" s="185"/>
      <c r="L154" s="185"/>
      <c r="M154" s="185"/>
      <c r="N154" s="185"/>
      <c r="O154" s="866"/>
      <c r="P154" s="866"/>
      <c r="Q154" s="866"/>
      <c r="R154" s="866"/>
      <c r="S154" s="866"/>
      <c r="T154" s="866"/>
      <c r="U154" s="866"/>
      <c r="V154" s="866"/>
      <c r="W154" s="866"/>
      <c r="X154" s="866"/>
      <c r="Y154" s="866"/>
      <c r="Z154" s="866"/>
      <c r="AA154" s="866"/>
      <c r="AB154" s="866"/>
      <c r="AC154" s="866"/>
      <c r="AD154" s="866"/>
      <c r="AE154" s="866"/>
      <c r="AF154" s="866"/>
      <c r="AG154" s="866"/>
      <c r="AH154" s="185"/>
      <c r="AI154" s="185"/>
      <c r="AJ154" s="866"/>
      <c r="AK154" s="866"/>
      <c r="AL154" s="866"/>
      <c r="AM154" s="866"/>
      <c r="AN154" s="866"/>
      <c r="AO154" s="866"/>
      <c r="AP154" s="866"/>
      <c r="AQ154" s="866"/>
      <c r="AR154" s="866"/>
      <c r="AS154" s="866"/>
      <c r="AT154" s="185"/>
      <c r="AU154" s="185"/>
      <c r="AV154" s="185"/>
      <c r="AW154" s="185"/>
      <c r="AX154" s="185"/>
      <c r="AY154" s="185"/>
      <c r="AZ154" s="185"/>
      <c r="BA154" s="185"/>
      <c r="BB154" s="185"/>
      <c r="BC154" s="185"/>
      <c r="BD154" s="185"/>
      <c r="BE154" s="185"/>
      <c r="BF154" s="185"/>
      <c r="BG154" s="185"/>
      <c r="BH154" s="185"/>
      <c r="BI154" s="185"/>
      <c r="BJ154" s="185"/>
      <c r="BK154" s="185"/>
      <c r="BL154" s="186"/>
      <c r="BM154" s="186"/>
      <c r="BN154" s="186"/>
      <c r="BO154" s="186"/>
      <c r="BP154" s="186"/>
      <c r="BQ154" s="186"/>
      <c r="BR154" s="186"/>
      <c r="BS154" s="186"/>
      <c r="BT154" s="186"/>
      <c r="BU154" s="186"/>
      <c r="BV154" s="186"/>
      <c r="BW154" s="186"/>
      <c r="BX154" s="186"/>
      <c r="BY154" s="186"/>
      <c r="BZ154" s="186"/>
      <c r="CA154" s="186"/>
      <c r="CB154" s="186"/>
      <c r="CC154" s="186"/>
      <c r="CD154" s="186"/>
      <c r="CE154" s="186"/>
      <c r="CF154" s="186"/>
      <c r="CG154" s="186"/>
    </row>
    <row r="155" spans="1:85" ht="15.75">
      <c r="A155" s="185"/>
      <c r="B155" s="866"/>
      <c r="C155" s="866"/>
      <c r="D155" s="866"/>
      <c r="E155" s="866"/>
      <c r="F155" s="866"/>
      <c r="G155" s="866"/>
      <c r="H155" s="866"/>
      <c r="I155" s="866"/>
      <c r="J155" s="866"/>
      <c r="K155" s="185"/>
      <c r="L155" s="185"/>
      <c r="M155" s="185"/>
      <c r="N155" s="185"/>
      <c r="O155" s="866"/>
      <c r="P155" s="866"/>
      <c r="Q155" s="866"/>
      <c r="R155" s="866"/>
      <c r="S155" s="866"/>
      <c r="T155" s="866"/>
      <c r="U155" s="866"/>
      <c r="V155" s="866"/>
      <c r="W155" s="866"/>
      <c r="X155" s="866"/>
      <c r="Y155" s="866"/>
      <c r="Z155" s="866"/>
      <c r="AA155" s="866"/>
      <c r="AB155" s="866"/>
      <c r="AC155" s="866"/>
      <c r="AD155" s="866"/>
      <c r="AE155" s="866"/>
      <c r="AF155" s="866"/>
      <c r="AG155" s="866"/>
      <c r="AH155" s="185"/>
      <c r="AI155" s="185"/>
      <c r="AJ155" s="866"/>
      <c r="AK155" s="866"/>
      <c r="AL155" s="866"/>
      <c r="AM155" s="866"/>
      <c r="AN155" s="866"/>
      <c r="AO155" s="866"/>
      <c r="AP155" s="866"/>
      <c r="AQ155" s="866"/>
      <c r="AR155" s="866"/>
      <c r="AS155" s="866"/>
      <c r="AT155" s="185"/>
      <c r="AU155" s="185"/>
      <c r="AV155" s="185"/>
      <c r="AW155" s="185"/>
      <c r="AX155" s="185"/>
      <c r="AY155" s="185"/>
      <c r="AZ155" s="185"/>
      <c r="BA155" s="185"/>
      <c r="BB155" s="185"/>
      <c r="BC155" s="185"/>
      <c r="BD155" s="185"/>
      <c r="BE155" s="185"/>
      <c r="BF155" s="185"/>
      <c r="BG155" s="185"/>
      <c r="BH155" s="185"/>
      <c r="BI155" s="185"/>
      <c r="BJ155" s="185"/>
      <c r="BK155" s="185"/>
      <c r="BL155" s="186"/>
      <c r="BM155" s="186"/>
      <c r="BN155" s="186"/>
      <c r="BO155" s="186"/>
      <c r="BP155" s="186"/>
      <c r="BQ155" s="186"/>
      <c r="BR155" s="186"/>
      <c r="BS155" s="186"/>
      <c r="BT155" s="186"/>
      <c r="BU155" s="186"/>
      <c r="BV155" s="186"/>
      <c r="BW155" s="186"/>
      <c r="BX155" s="186"/>
      <c r="BY155" s="186"/>
      <c r="BZ155" s="186"/>
      <c r="CA155" s="186"/>
      <c r="CB155" s="186"/>
      <c r="CC155" s="186"/>
      <c r="CD155" s="186"/>
      <c r="CE155" s="186"/>
      <c r="CF155" s="186"/>
      <c r="CG155" s="186"/>
    </row>
    <row r="156" spans="1:85" ht="15.75">
      <c r="A156" s="185"/>
      <c r="B156" s="866"/>
      <c r="C156" s="866"/>
      <c r="D156" s="866"/>
      <c r="E156" s="866"/>
      <c r="F156" s="866"/>
      <c r="G156" s="866"/>
      <c r="H156" s="866"/>
      <c r="I156" s="866"/>
      <c r="J156" s="866"/>
      <c r="K156" s="185"/>
      <c r="L156" s="185"/>
      <c r="M156" s="185"/>
      <c r="N156" s="185"/>
      <c r="O156" s="866"/>
      <c r="P156" s="866"/>
      <c r="Q156" s="866"/>
      <c r="R156" s="866"/>
      <c r="S156" s="866"/>
      <c r="T156" s="866"/>
      <c r="U156" s="866"/>
      <c r="V156" s="866"/>
      <c r="W156" s="866"/>
      <c r="X156" s="866"/>
      <c r="Y156" s="866"/>
      <c r="Z156" s="866"/>
      <c r="AA156" s="866"/>
      <c r="AB156" s="866"/>
      <c r="AC156" s="866"/>
      <c r="AD156" s="866"/>
      <c r="AE156" s="866"/>
      <c r="AF156" s="866"/>
      <c r="AG156" s="866"/>
      <c r="AH156" s="185"/>
      <c r="AI156" s="185"/>
      <c r="AJ156" s="866"/>
      <c r="AK156" s="866"/>
      <c r="AL156" s="866"/>
      <c r="AM156" s="866"/>
      <c r="AN156" s="866"/>
      <c r="AO156" s="866"/>
      <c r="AP156" s="866"/>
      <c r="AQ156" s="866"/>
      <c r="AR156" s="866"/>
      <c r="AS156" s="866"/>
      <c r="AT156" s="185"/>
      <c r="AU156" s="185"/>
      <c r="AV156" s="185"/>
      <c r="AW156" s="185"/>
      <c r="AX156" s="185"/>
      <c r="AY156" s="185"/>
      <c r="AZ156" s="185"/>
      <c r="BA156" s="185"/>
      <c r="BB156" s="185"/>
      <c r="BC156" s="185"/>
      <c r="BD156" s="185"/>
      <c r="BE156" s="185"/>
      <c r="BF156" s="185"/>
      <c r="BG156" s="185"/>
      <c r="BH156" s="185"/>
      <c r="BI156" s="185"/>
      <c r="BJ156" s="185"/>
      <c r="BK156" s="185"/>
      <c r="BL156" s="186"/>
      <c r="BM156" s="186"/>
      <c r="BN156" s="186"/>
      <c r="BO156" s="186"/>
      <c r="BP156" s="186"/>
      <c r="BQ156" s="186"/>
      <c r="BR156" s="186"/>
      <c r="BS156" s="186"/>
      <c r="BT156" s="186"/>
      <c r="BU156" s="186"/>
      <c r="BV156" s="186"/>
      <c r="BW156" s="186"/>
      <c r="BX156" s="186"/>
      <c r="BY156" s="186"/>
      <c r="BZ156" s="186"/>
      <c r="CA156" s="186"/>
      <c r="CB156" s="186"/>
      <c r="CC156" s="186"/>
      <c r="CD156" s="186"/>
      <c r="CE156" s="186"/>
      <c r="CF156" s="186"/>
      <c r="CG156" s="186"/>
    </row>
    <row r="157" spans="1:85" ht="15.75">
      <c r="A157" s="185"/>
      <c r="B157" s="866"/>
      <c r="C157" s="866"/>
      <c r="D157" s="866"/>
      <c r="E157" s="866"/>
      <c r="F157" s="866"/>
      <c r="G157" s="866"/>
      <c r="H157" s="866"/>
      <c r="I157" s="866"/>
      <c r="J157" s="866"/>
      <c r="K157" s="185"/>
      <c r="L157" s="185"/>
      <c r="M157" s="185"/>
      <c r="N157" s="185"/>
      <c r="O157" s="866"/>
      <c r="P157" s="866"/>
      <c r="Q157" s="866"/>
      <c r="R157" s="866"/>
      <c r="S157" s="866"/>
      <c r="T157" s="866"/>
      <c r="U157" s="866"/>
      <c r="V157" s="866"/>
      <c r="W157" s="866"/>
      <c r="X157" s="866"/>
      <c r="Y157" s="866"/>
      <c r="Z157" s="866"/>
      <c r="AA157" s="866"/>
      <c r="AB157" s="866"/>
      <c r="AC157" s="866"/>
      <c r="AD157" s="866"/>
      <c r="AE157" s="866"/>
      <c r="AF157" s="866"/>
      <c r="AG157" s="866"/>
      <c r="AH157" s="185"/>
      <c r="AI157" s="185"/>
      <c r="AJ157" s="866"/>
      <c r="AK157" s="866"/>
      <c r="AL157" s="866"/>
      <c r="AM157" s="866"/>
      <c r="AN157" s="866"/>
      <c r="AO157" s="866"/>
      <c r="AP157" s="866"/>
      <c r="AQ157" s="866"/>
      <c r="AR157" s="866"/>
      <c r="AS157" s="866"/>
      <c r="AT157" s="185"/>
      <c r="AU157" s="185"/>
      <c r="AV157" s="185"/>
      <c r="AW157" s="185"/>
      <c r="AX157" s="185"/>
      <c r="AY157" s="185"/>
      <c r="AZ157" s="185"/>
      <c r="BA157" s="185"/>
      <c r="BB157" s="185"/>
      <c r="BC157" s="185"/>
      <c r="BD157" s="185"/>
      <c r="BE157" s="185"/>
      <c r="BF157" s="185"/>
      <c r="BG157" s="185"/>
      <c r="BH157" s="185"/>
      <c r="BI157" s="185"/>
      <c r="BJ157" s="185"/>
      <c r="BK157" s="185"/>
      <c r="BL157" s="186"/>
      <c r="BM157" s="186"/>
      <c r="BN157" s="186"/>
      <c r="BO157" s="186"/>
      <c r="BP157" s="186"/>
      <c r="BQ157" s="186"/>
      <c r="BR157" s="186"/>
      <c r="BS157" s="186"/>
      <c r="BT157" s="186"/>
      <c r="BU157" s="186"/>
      <c r="BV157" s="186"/>
      <c r="BW157" s="186"/>
      <c r="BX157" s="186"/>
      <c r="BY157" s="186"/>
      <c r="BZ157" s="186"/>
      <c r="CA157" s="186"/>
      <c r="CB157" s="186"/>
      <c r="CC157" s="186"/>
      <c r="CD157" s="186"/>
      <c r="CE157" s="186"/>
      <c r="CF157" s="186"/>
      <c r="CG157" s="186"/>
    </row>
    <row r="158" spans="1:85" ht="15.75">
      <c r="A158" s="185"/>
      <c r="B158" s="866"/>
      <c r="C158" s="866"/>
      <c r="D158" s="866"/>
      <c r="E158" s="866"/>
      <c r="F158" s="866"/>
      <c r="G158" s="866"/>
      <c r="H158" s="866"/>
      <c r="I158" s="866"/>
      <c r="J158" s="866"/>
      <c r="K158" s="185"/>
      <c r="L158" s="185"/>
      <c r="M158" s="185"/>
      <c r="N158" s="185"/>
      <c r="O158" s="866"/>
      <c r="P158" s="866"/>
      <c r="Q158" s="866"/>
      <c r="R158" s="866"/>
      <c r="S158" s="866"/>
      <c r="T158" s="866"/>
      <c r="U158" s="866"/>
      <c r="V158" s="866"/>
      <c r="W158" s="866"/>
      <c r="X158" s="866"/>
      <c r="Y158" s="866"/>
      <c r="Z158" s="866"/>
      <c r="AA158" s="866"/>
      <c r="AB158" s="866"/>
      <c r="AC158" s="866"/>
      <c r="AD158" s="866"/>
      <c r="AE158" s="866"/>
      <c r="AF158" s="866"/>
      <c r="AG158" s="866"/>
      <c r="AH158" s="185"/>
      <c r="AI158" s="185"/>
      <c r="AJ158" s="866"/>
      <c r="AK158" s="866"/>
      <c r="AL158" s="866"/>
      <c r="AM158" s="866"/>
      <c r="AN158" s="866"/>
      <c r="AO158" s="866"/>
      <c r="AP158" s="866"/>
      <c r="AQ158" s="866"/>
      <c r="AR158" s="866"/>
      <c r="AS158" s="866"/>
      <c r="AT158" s="185"/>
      <c r="AU158" s="185"/>
      <c r="AV158" s="185"/>
      <c r="AW158" s="185"/>
      <c r="AX158" s="185"/>
      <c r="AY158" s="185"/>
      <c r="AZ158" s="185"/>
      <c r="BA158" s="185"/>
      <c r="BB158" s="185"/>
      <c r="BC158" s="185"/>
      <c r="BD158" s="185"/>
      <c r="BE158" s="185"/>
      <c r="BF158" s="185"/>
      <c r="BG158" s="185"/>
      <c r="BH158" s="185"/>
      <c r="BI158" s="185"/>
      <c r="BJ158" s="185"/>
      <c r="BK158" s="185"/>
      <c r="BL158" s="186"/>
      <c r="BM158" s="186"/>
      <c r="BN158" s="186"/>
      <c r="BO158" s="186"/>
      <c r="BP158" s="186"/>
      <c r="BQ158" s="186"/>
      <c r="BR158" s="186"/>
      <c r="BS158" s="186"/>
      <c r="BT158" s="186"/>
      <c r="BU158" s="186"/>
      <c r="BV158" s="186"/>
      <c r="BW158" s="186"/>
      <c r="BX158" s="186"/>
      <c r="BY158" s="186"/>
      <c r="BZ158" s="186"/>
      <c r="CA158" s="186"/>
      <c r="CB158" s="186"/>
      <c r="CC158" s="186"/>
      <c r="CD158" s="186"/>
      <c r="CE158" s="186"/>
      <c r="CF158" s="186"/>
      <c r="CG158" s="186"/>
    </row>
    <row r="159" spans="1:85" ht="15.75">
      <c r="A159" s="185"/>
      <c r="B159" s="866"/>
      <c r="C159" s="866"/>
      <c r="D159" s="866"/>
      <c r="E159" s="866"/>
      <c r="F159" s="866"/>
      <c r="G159" s="866"/>
      <c r="H159" s="866"/>
      <c r="I159" s="866"/>
      <c r="J159" s="866"/>
      <c r="K159" s="185"/>
      <c r="L159" s="185"/>
      <c r="M159" s="185"/>
      <c r="N159" s="185"/>
      <c r="O159" s="866"/>
      <c r="P159" s="866"/>
      <c r="Q159" s="866"/>
      <c r="R159" s="866"/>
      <c r="S159" s="866"/>
      <c r="T159" s="866"/>
      <c r="U159" s="866"/>
      <c r="V159" s="866"/>
      <c r="W159" s="866"/>
      <c r="X159" s="866"/>
      <c r="Y159" s="866"/>
      <c r="Z159" s="866"/>
      <c r="AA159" s="866"/>
      <c r="AB159" s="866"/>
      <c r="AC159" s="866"/>
      <c r="AD159" s="866"/>
      <c r="AE159" s="866"/>
      <c r="AF159" s="866"/>
      <c r="AG159" s="866"/>
      <c r="AH159" s="185"/>
      <c r="AI159" s="185"/>
      <c r="AJ159" s="866"/>
      <c r="AK159" s="866"/>
      <c r="AL159" s="866"/>
      <c r="AM159" s="866"/>
      <c r="AN159" s="866"/>
      <c r="AO159" s="866"/>
      <c r="AP159" s="866"/>
      <c r="AQ159" s="866"/>
      <c r="AR159" s="866"/>
      <c r="AS159" s="866"/>
      <c r="AT159" s="185"/>
      <c r="AU159" s="185"/>
      <c r="AV159" s="185"/>
      <c r="AW159" s="185"/>
      <c r="AX159" s="185"/>
      <c r="AY159" s="185"/>
      <c r="AZ159" s="185"/>
      <c r="BA159" s="185"/>
      <c r="BB159" s="185"/>
      <c r="BC159" s="185"/>
      <c r="BD159" s="185"/>
      <c r="BE159" s="185"/>
      <c r="BF159" s="185"/>
      <c r="BG159" s="185"/>
      <c r="BH159" s="185"/>
      <c r="BI159" s="185"/>
      <c r="BJ159" s="185"/>
      <c r="BK159" s="185"/>
      <c r="BL159" s="186"/>
      <c r="BM159" s="186"/>
      <c r="BN159" s="186"/>
      <c r="BO159" s="186"/>
      <c r="BP159" s="186"/>
      <c r="BQ159" s="186"/>
      <c r="BR159" s="186"/>
      <c r="BS159" s="186"/>
      <c r="BT159" s="186"/>
      <c r="BU159" s="186"/>
      <c r="BV159" s="186"/>
      <c r="BW159" s="186"/>
      <c r="BX159" s="186"/>
      <c r="BY159" s="186"/>
      <c r="BZ159" s="186"/>
      <c r="CA159" s="186"/>
      <c r="CB159" s="186"/>
      <c r="CC159" s="186"/>
      <c r="CD159" s="186"/>
      <c r="CE159" s="186"/>
      <c r="CF159" s="186"/>
      <c r="CG159" s="186"/>
    </row>
    <row r="160" spans="1:85" ht="15.75">
      <c r="A160" s="185"/>
      <c r="B160" s="866"/>
      <c r="C160" s="866"/>
      <c r="D160" s="866"/>
      <c r="E160" s="866"/>
      <c r="F160" s="866"/>
      <c r="G160" s="866"/>
      <c r="H160" s="866"/>
      <c r="I160" s="866"/>
      <c r="J160" s="866"/>
      <c r="K160" s="185"/>
      <c r="L160" s="185"/>
      <c r="M160" s="185"/>
      <c r="N160" s="185"/>
      <c r="O160" s="866"/>
      <c r="P160" s="866"/>
      <c r="Q160" s="866"/>
      <c r="R160" s="866"/>
      <c r="S160" s="866"/>
      <c r="T160" s="866"/>
      <c r="U160" s="866"/>
      <c r="V160" s="866"/>
      <c r="W160" s="866"/>
      <c r="X160" s="866"/>
      <c r="Y160" s="866"/>
      <c r="Z160" s="866"/>
      <c r="AA160" s="866"/>
      <c r="AB160" s="866"/>
      <c r="AC160" s="866"/>
      <c r="AD160" s="866"/>
      <c r="AE160" s="866"/>
      <c r="AF160" s="866"/>
      <c r="AG160" s="866"/>
      <c r="AH160" s="185"/>
      <c r="AI160" s="185"/>
      <c r="AJ160" s="866"/>
      <c r="AK160" s="866"/>
      <c r="AL160" s="866"/>
      <c r="AM160" s="866"/>
      <c r="AN160" s="866"/>
      <c r="AO160" s="866"/>
      <c r="AP160" s="866"/>
      <c r="AQ160" s="866"/>
      <c r="AR160" s="866"/>
      <c r="AS160" s="866"/>
      <c r="AT160" s="185"/>
      <c r="AU160" s="185"/>
      <c r="AV160" s="185"/>
      <c r="AW160" s="185"/>
      <c r="AX160" s="185"/>
      <c r="AY160" s="185"/>
      <c r="AZ160" s="185"/>
      <c r="BA160" s="185"/>
      <c r="BB160" s="185"/>
      <c r="BC160" s="185"/>
      <c r="BD160" s="185"/>
      <c r="BE160" s="185"/>
      <c r="BF160" s="185"/>
      <c r="BG160" s="185"/>
      <c r="BH160" s="185"/>
      <c r="BI160" s="185"/>
      <c r="BJ160" s="185"/>
      <c r="BK160" s="185"/>
      <c r="BL160" s="186"/>
      <c r="BM160" s="186"/>
      <c r="BN160" s="186"/>
      <c r="BO160" s="186"/>
      <c r="BP160" s="186"/>
      <c r="BQ160" s="186"/>
      <c r="BR160" s="186"/>
      <c r="BS160" s="186"/>
      <c r="BT160" s="186"/>
      <c r="BU160" s="186"/>
      <c r="BV160" s="186"/>
      <c r="BW160" s="186"/>
      <c r="BX160" s="186"/>
      <c r="BY160" s="186"/>
      <c r="BZ160" s="186"/>
      <c r="CA160" s="186"/>
      <c r="CB160" s="186"/>
      <c r="CC160" s="186"/>
      <c r="CD160" s="186"/>
      <c r="CE160" s="186"/>
      <c r="CF160" s="186"/>
      <c r="CG160" s="186"/>
    </row>
    <row r="161" spans="1:85" ht="15.75">
      <c r="A161" s="185"/>
      <c r="B161" s="866"/>
      <c r="C161" s="866"/>
      <c r="D161" s="866"/>
      <c r="E161" s="866"/>
      <c r="F161" s="866"/>
      <c r="G161" s="866"/>
      <c r="H161" s="866"/>
      <c r="I161" s="866"/>
      <c r="J161" s="866"/>
      <c r="K161" s="185"/>
      <c r="L161" s="185"/>
      <c r="M161" s="185"/>
      <c r="N161" s="185"/>
      <c r="O161" s="866"/>
      <c r="P161" s="866"/>
      <c r="Q161" s="866"/>
      <c r="R161" s="866"/>
      <c r="S161" s="866"/>
      <c r="T161" s="866"/>
      <c r="U161" s="866"/>
      <c r="V161" s="866"/>
      <c r="W161" s="866"/>
      <c r="X161" s="866"/>
      <c r="Y161" s="866"/>
      <c r="Z161" s="866"/>
      <c r="AA161" s="866"/>
      <c r="AB161" s="866"/>
      <c r="AC161" s="866"/>
      <c r="AD161" s="866"/>
      <c r="AE161" s="866"/>
      <c r="AF161" s="866"/>
      <c r="AG161" s="866"/>
      <c r="AH161" s="185"/>
      <c r="AI161" s="185"/>
      <c r="AJ161" s="866"/>
      <c r="AK161" s="866"/>
      <c r="AL161" s="866"/>
      <c r="AM161" s="866"/>
      <c r="AN161" s="866"/>
      <c r="AO161" s="866"/>
      <c r="AP161" s="866"/>
      <c r="AQ161" s="866"/>
      <c r="AR161" s="866"/>
      <c r="AS161" s="866"/>
      <c r="AT161" s="185"/>
      <c r="AU161" s="185"/>
      <c r="AV161" s="185"/>
      <c r="AW161" s="185"/>
      <c r="AX161" s="185"/>
      <c r="AY161" s="185"/>
      <c r="AZ161" s="185"/>
      <c r="BA161" s="185"/>
      <c r="BB161" s="185"/>
      <c r="BC161" s="185"/>
      <c r="BD161" s="185"/>
      <c r="BE161" s="185"/>
      <c r="BF161" s="185"/>
      <c r="BG161" s="185"/>
      <c r="BH161" s="185"/>
      <c r="BI161" s="185"/>
      <c r="BJ161" s="185"/>
      <c r="BK161" s="185"/>
      <c r="BL161" s="186"/>
      <c r="BM161" s="186"/>
      <c r="BN161" s="186"/>
      <c r="BO161" s="186"/>
      <c r="BP161" s="186"/>
      <c r="BQ161" s="186"/>
      <c r="BR161" s="186"/>
      <c r="BS161" s="186"/>
      <c r="BT161" s="186"/>
      <c r="BU161" s="186"/>
      <c r="BV161" s="186"/>
      <c r="BW161" s="186"/>
      <c r="BX161" s="186"/>
      <c r="BY161" s="186"/>
      <c r="BZ161" s="186"/>
      <c r="CA161" s="186"/>
      <c r="CB161" s="186"/>
      <c r="CC161" s="186"/>
      <c r="CD161" s="186"/>
      <c r="CE161" s="186"/>
      <c r="CF161" s="186"/>
      <c r="CG161" s="186"/>
    </row>
    <row r="162" spans="1:85" ht="15.75">
      <c r="A162" s="185"/>
      <c r="B162" s="866"/>
      <c r="C162" s="866"/>
      <c r="D162" s="866"/>
      <c r="E162" s="866"/>
      <c r="F162" s="866"/>
      <c r="G162" s="866"/>
      <c r="H162" s="866"/>
      <c r="I162" s="866"/>
      <c r="J162" s="866"/>
      <c r="K162" s="185"/>
      <c r="L162" s="185"/>
      <c r="M162" s="185"/>
      <c r="N162" s="185"/>
      <c r="O162" s="866"/>
      <c r="P162" s="866"/>
      <c r="Q162" s="866"/>
      <c r="R162" s="866"/>
      <c r="S162" s="866"/>
      <c r="T162" s="866"/>
      <c r="U162" s="866"/>
      <c r="V162" s="866"/>
      <c r="W162" s="866"/>
      <c r="X162" s="866"/>
      <c r="Y162" s="866"/>
      <c r="Z162" s="866"/>
      <c r="AA162" s="866"/>
      <c r="AB162" s="866"/>
      <c r="AC162" s="866"/>
      <c r="AD162" s="866"/>
      <c r="AE162" s="866"/>
      <c r="AF162" s="866"/>
      <c r="AG162" s="866"/>
      <c r="AH162" s="185"/>
      <c r="AI162" s="185"/>
      <c r="AJ162" s="866"/>
      <c r="AK162" s="866"/>
      <c r="AL162" s="866"/>
      <c r="AM162" s="866"/>
      <c r="AN162" s="866"/>
      <c r="AO162" s="866"/>
      <c r="AP162" s="866"/>
      <c r="AQ162" s="866"/>
      <c r="AR162" s="866"/>
      <c r="AS162" s="866"/>
      <c r="AT162" s="185"/>
      <c r="AU162" s="185"/>
      <c r="AV162" s="185"/>
      <c r="AW162" s="185"/>
      <c r="AX162" s="185"/>
      <c r="AY162" s="185"/>
      <c r="AZ162" s="185"/>
      <c r="BA162" s="185"/>
      <c r="BB162" s="185"/>
      <c r="BC162" s="185"/>
      <c r="BD162" s="185"/>
      <c r="BE162" s="185"/>
      <c r="BF162" s="185"/>
      <c r="BG162" s="185"/>
      <c r="BH162" s="185"/>
      <c r="BI162" s="185"/>
      <c r="BJ162" s="185"/>
      <c r="BK162" s="185"/>
      <c r="BL162" s="186"/>
      <c r="BM162" s="186"/>
      <c r="BN162" s="186"/>
      <c r="BO162" s="186"/>
      <c r="BP162" s="186"/>
      <c r="BQ162" s="186"/>
      <c r="BR162" s="186"/>
      <c r="BS162" s="186"/>
      <c r="BT162" s="186"/>
      <c r="BU162" s="186"/>
      <c r="BV162" s="186"/>
      <c r="BW162" s="186"/>
      <c r="BX162" s="186"/>
      <c r="BY162" s="186"/>
      <c r="BZ162" s="186"/>
      <c r="CA162" s="186"/>
      <c r="CB162" s="186"/>
      <c r="CC162" s="186"/>
      <c r="CD162" s="186"/>
      <c r="CE162" s="186"/>
      <c r="CF162" s="186"/>
      <c r="CG162" s="186"/>
    </row>
    <row r="163" spans="1:85" ht="15.75">
      <c r="A163" s="185"/>
      <c r="B163" s="866"/>
      <c r="C163" s="866"/>
      <c r="D163" s="866"/>
      <c r="E163" s="866"/>
      <c r="F163" s="866"/>
      <c r="G163" s="866"/>
      <c r="H163" s="866"/>
      <c r="I163" s="866"/>
      <c r="J163" s="866"/>
      <c r="K163" s="185"/>
      <c r="L163" s="185"/>
      <c r="M163" s="185"/>
      <c r="N163" s="185"/>
      <c r="O163" s="866"/>
      <c r="P163" s="866"/>
      <c r="Q163" s="866"/>
      <c r="R163" s="866"/>
      <c r="S163" s="866"/>
      <c r="T163" s="866"/>
      <c r="U163" s="866"/>
      <c r="V163" s="866"/>
      <c r="W163" s="866"/>
      <c r="X163" s="866"/>
      <c r="Y163" s="866"/>
      <c r="Z163" s="866"/>
      <c r="AA163" s="866"/>
      <c r="AB163" s="866"/>
      <c r="AC163" s="866"/>
      <c r="AD163" s="866"/>
      <c r="AE163" s="866"/>
      <c r="AF163" s="866"/>
      <c r="AG163" s="866"/>
      <c r="AH163" s="185"/>
      <c r="AI163" s="185"/>
      <c r="AJ163" s="866"/>
      <c r="AK163" s="866"/>
      <c r="AL163" s="866"/>
      <c r="AM163" s="866"/>
      <c r="AN163" s="866"/>
      <c r="AO163" s="866"/>
      <c r="AP163" s="866"/>
      <c r="AQ163" s="866"/>
      <c r="AR163" s="866"/>
      <c r="AS163" s="866"/>
      <c r="AT163" s="185"/>
      <c r="AU163" s="185"/>
      <c r="AV163" s="185"/>
      <c r="AW163" s="185"/>
      <c r="AX163" s="185"/>
      <c r="AY163" s="185"/>
      <c r="AZ163" s="185"/>
      <c r="BA163" s="185"/>
      <c r="BB163" s="185"/>
      <c r="BC163" s="185"/>
      <c r="BD163" s="185"/>
      <c r="BE163" s="185"/>
      <c r="BF163" s="185"/>
      <c r="BG163" s="185"/>
      <c r="BH163" s="185"/>
      <c r="BI163" s="185"/>
      <c r="BJ163" s="185"/>
      <c r="BK163" s="185"/>
      <c r="BL163" s="186"/>
      <c r="BM163" s="186"/>
      <c r="BN163" s="186"/>
      <c r="BO163" s="186"/>
      <c r="BP163" s="186"/>
      <c r="BQ163" s="186"/>
      <c r="BR163" s="186"/>
      <c r="BS163" s="186"/>
      <c r="BT163" s="186"/>
      <c r="BU163" s="186"/>
      <c r="BV163" s="186"/>
      <c r="BW163" s="186"/>
      <c r="BX163" s="186"/>
      <c r="BY163" s="186"/>
      <c r="BZ163" s="186"/>
      <c r="CA163" s="186"/>
      <c r="CB163" s="186"/>
      <c r="CC163" s="186"/>
      <c r="CD163" s="186"/>
      <c r="CE163" s="186"/>
      <c r="CF163" s="186"/>
      <c r="CG163" s="186"/>
    </row>
    <row r="164" spans="1:85" ht="15.75">
      <c r="A164" s="185"/>
      <c r="B164" s="866"/>
      <c r="C164" s="866"/>
      <c r="D164" s="866"/>
      <c r="E164" s="866"/>
      <c r="F164" s="866"/>
      <c r="G164" s="866"/>
      <c r="H164" s="866"/>
      <c r="I164" s="866"/>
      <c r="J164" s="866"/>
      <c r="K164" s="185"/>
      <c r="L164" s="185"/>
      <c r="M164" s="185"/>
      <c r="N164" s="185"/>
      <c r="O164" s="866"/>
      <c r="P164" s="866"/>
      <c r="Q164" s="866"/>
      <c r="R164" s="866"/>
      <c r="S164" s="866"/>
      <c r="T164" s="866"/>
      <c r="U164" s="866"/>
      <c r="V164" s="866"/>
      <c r="W164" s="866"/>
      <c r="X164" s="866"/>
      <c r="Y164" s="866"/>
      <c r="Z164" s="866"/>
      <c r="AA164" s="866"/>
      <c r="AB164" s="866"/>
      <c r="AC164" s="866"/>
      <c r="AD164" s="866"/>
      <c r="AE164" s="866"/>
      <c r="AF164" s="866"/>
      <c r="AG164" s="866"/>
      <c r="AH164" s="185"/>
      <c r="AI164" s="185"/>
      <c r="AJ164" s="866"/>
      <c r="AK164" s="866"/>
      <c r="AL164" s="866"/>
      <c r="AM164" s="866"/>
      <c r="AN164" s="866"/>
      <c r="AO164" s="866"/>
      <c r="AP164" s="866"/>
      <c r="AQ164" s="866"/>
      <c r="AR164" s="866"/>
      <c r="AS164" s="866"/>
      <c r="AT164" s="185"/>
      <c r="AU164" s="185"/>
      <c r="AV164" s="185"/>
      <c r="AW164" s="185"/>
      <c r="AX164" s="185"/>
      <c r="AY164" s="185"/>
      <c r="AZ164" s="185"/>
      <c r="BA164" s="185"/>
      <c r="BB164" s="185"/>
      <c r="BC164" s="185"/>
      <c r="BD164" s="185"/>
      <c r="BE164" s="185"/>
      <c r="BF164" s="185"/>
      <c r="BG164" s="185"/>
      <c r="BH164" s="185"/>
      <c r="BI164" s="185"/>
      <c r="BJ164" s="185"/>
      <c r="BK164" s="185"/>
      <c r="BL164" s="186"/>
      <c r="BM164" s="186"/>
      <c r="BN164" s="186"/>
      <c r="BO164" s="186"/>
      <c r="BP164" s="186"/>
      <c r="BQ164" s="186"/>
      <c r="BR164" s="186"/>
      <c r="BS164" s="186"/>
      <c r="BT164" s="186"/>
      <c r="BU164" s="186"/>
      <c r="BV164" s="186"/>
      <c r="BW164" s="186"/>
      <c r="BX164" s="186"/>
      <c r="BY164" s="186"/>
      <c r="BZ164" s="186"/>
      <c r="CA164" s="186"/>
      <c r="CB164" s="186"/>
      <c r="CC164" s="186"/>
      <c r="CD164" s="186"/>
      <c r="CE164" s="186"/>
      <c r="CF164" s="186"/>
      <c r="CG164" s="186"/>
    </row>
    <row r="165" spans="1:85" ht="15.75">
      <c r="A165" s="185"/>
      <c r="B165" s="866"/>
      <c r="C165" s="866"/>
      <c r="D165" s="866"/>
      <c r="E165" s="866"/>
      <c r="F165" s="866"/>
      <c r="G165" s="866"/>
      <c r="H165" s="866"/>
      <c r="I165" s="866"/>
      <c r="J165" s="866"/>
      <c r="K165" s="185"/>
      <c r="L165" s="185"/>
      <c r="M165" s="185"/>
      <c r="N165" s="185"/>
      <c r="O165" s="866"/>
      <c r="P165" s="866"/>
      <c r="Q165" s="866"/>
      <c r="R165" s="866"/>
      <c r="S165" s="866"/>
      <c r="T165" s="866"/>
      <c r="U165" s="866"/>
      <c r="V165" s="866"/>
      <c r="W165" s="866"/>
      <c r="X165" s="866"/>
      <c r="Y165" s="866"/>
      <c r="Z165" s="866"/>
      <c r="AA165" s="866"/>
      <c r="AB165" s="866"/>
      <c r="AC165" s="866"/>
      <c r="AD165" s="866"/>
      <c r="AE165" s="866"/>
      <c r="AF165" s="866"/>
      <c r="AG165" s="866"/>
      <c r="AH165" s="185"/>
      <c r="AI165" s="185"/>
      <c r="AJ165" s="866"/>
      <c r="AK165" s="866"/>
      <c r="AL165" s="866"/>
      <c r="AM165" s="866"/>
      <c r="AN165" s="866"/>
      <c r="AO165" s="866"/>
      <c r="AP165" s="866"/>
      <c r="AQ165" s="866"/>
      <c r="AR165" s="866"/>
      <c r="AS165" s="866"/>
      <c r="AT165" s="185"/>
      <c r="AU165" s="185"/>
      <c r="AV165" s="185"/>
      <c r="AW165" s="185"/>
      <c r="AX165" s="185"/>
      <c r="AY165" s="185"/>
      <c r="AZ165" s="185"/>
      <c r="BA165" s="185"/>
      <c r="BB165" s="185"/>
      <c r="BC165" s="185"/>
      <c r="BD165" s="185"/>
      <c r="BE165" s="185"/>
      <c r="BF165" s="185"/>
      <c r="BG165" s="185"/>
      <c r="BH165" s="185"/>
      <c r="BI165" s="185"/>
      <c r="BJ165" s="185"/>
      <c r="BK165" s="185"/>
      <c r="BL165" s="186"/>
      <c r="BM165" s="186"/>
      <c r="BN165" s="186"/>
      <c r="BO165" s="186"/>
      <c r="BP165" s="186"/>
      <c r="BQ165" s="186"/>
      <c r="BR165" s="186"/>
      <c r="BS165" s="186"/>
      <c r="BT165" s="186"/>
      <c r="BU165" s="186"/>
      <c r="BV165" s="186"/>
      <c r="BW165" s="186"/>
      <c r="BX165" s="186"/>
      <c r="BY165" s="186"/>
      <c r="BZ165" s="186"/>
      <c r="CA165" s="186"/>
      <c r="CB165" s="186"/>
      <c r="CC165" s="186"/>
      <c r="CD165" s="186"/>
      <c r="CE165" s="186"/>
      <c r="CF165" s="186"/>
      <c r="CG165" s="186"/>
    </row>
    <row r="166" spans="1:85" ht="15.75">
      <c r="A166" s="185"/>
      <c r="B166" s="866"/>
      <c r="C166" s="866"/>
      <c r="D166" s="866"/>
      <c r="E166" s="866"/>
      <c r="F166" s="866"/>
      <c r="G166" s="866"/>
      <c r="H166" s="866"/>
      <c r="I166" s="866"/>
      <c r="J166" s="866"/>
      <c r="K166" s="185"/>
      <c r="L166" s="185"/>
      <c r="M166" s="185"/>
      <c r="N166" s="185"/>
      <c r="O166" s="866"/>
      <c r="P166" s="866"/>
      <c r="Q166" s="866"/>
      <c r="R166" s="866"/>
      <c r="S166" s="866"/>
      <c r="T166" s="866"/>
      <c r="U166" s="866"/>
      <c r="V166" s="866"/>
      <c r="W166" s="866"/>
      <c r="X166" s="866"/>
      <c r="Y166" s="866"/>
      <c r="Z166" s="866"/>
      <c r="AA166" s="866"/>
      <c r="AB166" s="866"/>
      <c r="AC166" s="866"/>
      <c r="AD166" s="866"/>
      <c r="AE166" s="866"/>
      <c r="AF166" s="866"/>
      <c r="AG166" s="866"/>
      <c r="AH166" s="185"/>
      <c r="AI166" s="185"/>
      <c r="AJ166" s="866"/>
      <c r="AK166" s="866"/>
      <c r="AL166" s="866"/>
      <c r="AM166" s="866"/>
      <c r="AN166" s="866"/>
      <c r="AO166" s="866"/>
      <c r="AP166" s="866"/>
      <c r="AQ166" s="866"/>
      <c r="AR166" s="866"/>
      <c r="AS166" s="866"/>
      <c r="AT166" s="185"/>
      <c r="AU166" s="185"/>
      <c r="AV166" s="185"/>
      <c r="AW166" s="185"/>
      <c r="AX166" s="185"/>
      <c r="AY166" s="185"/>
      <c r="AZ166" s="185"/>
      <c r="BA166" s="185"/>
      <c r="BB166" s="185"/>
      <c r="BC166" s="185"/>
      <c r="BD166" s="185"/>
      <c r="BE166" s="185"/>
      <c r="BF166" s="185"/>
      <c r="BG166" s="185"/>
      <c r="BH166" s="185"/>
      <c r="BI166" s="185"/>
      <c r="BJ166" s="185"/>
      <c r="BK166" s="185"/>
      <c r="BL166" s="186"/>
      <c r="BM166" s="186"/>
      <c r="BN166" s="186"/>
      <c r="BO166" s="186"/>
      <c r="BP166" s="186"/>
      <c r="BQ166" s="186"/>
      <c r="BR166" s="186"/>
      <c r="BS166" s="186"/>
      <c r="BT166" s="186"/>
      <c r="BU166" s="186"/>
      <c r="BV166" s="186"/>
      <c r="BW166" s="186"/>
      <c r="BX166" s="186"/>
      <c r="BY166" s="186"/>
      <c r="BZ166" s="186"/>
      <c r="CA166" s="186"/>
      <c r="CB166" s="186"/>
      <c r="CC166" s="186"/>
      <c r="CD166" s="186"/>
      <c r="CE166" s="186"/>
      <c r="CF166" s="186"/>
      <c r="CG166" s="186"/>
    </row>
    <row r="167" spans="1:85" ht="15.75">
      <c r="A167" s="185"/>
      <c r="B167" s="866"/>
      <c r="C167" s="866"/>
      <c r="D167" s="866"/>
      <c r="E167" s="866"/>
      <c r="F167" s="866"/>
      <c r="G167" s="866"/>
      <c r="H167" s="866"/>
      <c r="I167" s="866"/>
      <c r="J167" s="866"/>
      <c r="K167" s="185"/>
      <c r="L167" s="185"/>
      <c r="M167" s="185"/>
      <c r="N167" s="185"/>
      <c r="O167" s="866"/>
      <c r="P167" s="866"/>
      <c r="Q167" s="866"/>
      <c r="R167" s="866"/>
      <c r="S167" s="866"/>
      <c r="T167" s="866"/>
      <c r="U167" s="866"/>
      <c r="V167" s="866"/>
      <c r="W167" s="866"/>
      <c r="X167" s="866"/>
      <c r="Y167" s="866"/>
      <c r="Z167" s="866"/>
      <c r="AA167" s="866"/>
      <c r="AB167" s="866"/>
      <c r="AC167" s="866"/>
      <c r="AD167" s="866"/>
      <c r="AE167" s="866"/>
      <c r="AF167" s="866"/>
      <c r="AG167" s="866"/>
      <c r="AH167" s="185"/>
      <c r="AI167" s="185"/>
      <c r="AJ167" s="866"/>
      <c r="AK167" s="866"/>
      <c r="AL167" s="866"/>
      <c r="AM167" s="866"/>
      <c r="AN167" s="866"/>
      <c r="AO167" s="866"/>
      <c r="AP167" s="866"/>
      <c r="AQ167" s="866"/>
      <c r="AR167" s="866"/>
      <c r="AS167" s="866"/>
      <c r="AT167" s="185"/>
      <c r="AU167" s="185"/>
      <c r="AV167" s="185"/>
      <c r="AW167" s="185"/>
      <c r="AX167" s="185"/>
      <c r="AY167" s="185"/>
      <c r="AZ167" s="185"/>
      <c r="BA167" s="185"/>
      <c r="BB167" s="185"/>
      <c r="BC167" s="185"/>
      <c r="BD167" s="185"/>
      <c r="BE167" s="185"/>
      <c r="BF167" s="185"/>
      <c r="BG167" s="185"/>
      <c r="BH167" s="185"/>
      <c r="BI167" s="185"/>
      <c r="BJ167" s="185"/>
      <c r="BK167" s="185"/>
      <c r="BL167" s="186"/>
      <c r="BM167" s="186"/>
      <c r="BN167" s="186"/>
      <c r="BO167" s="186"/>
      <c r="BP167" s="186"/>
      <c r="BQ167" s="186"/>
      <c r="BR167" s="186"/>
      <c r="BS167" s="186"/>
      <c r="BT167" s="186"/>
      <c r="BU167" s="186"/>
      <c r="BV167" s="186"/>
      <c r="BW167" s="186"/>
      <c r="BX167" s="186"/>
      <c r="BY167" s="186"/>
      <c r="BZ167" s="186"/>
      <c r="CA167" s="186"/>
      <c r="CB167" s="186"/>
      <c r="CC167" s="186"/>
      <c r="CD167" s="186"/>
      <c r="CE167" s="186"/>
      <c r="CF167" s="186"/>
      <c r="CG167" s="186"/>
    </row>
    <row r="168" spans="1:85" ht="15.75">
      <c r="A168" s="185"/>
      <c r="B168" s="866"/>
      <c r="C168" s="866"/>
      <c r="D168" s="866"/>
      <c r="E168" s="866"/>
      <c r="F168" s="866"/>
      <c r="G168" s="866"/>
      <c r="H168" s="866"/>
      <c r="I168" s="866"/>
      <c r="J168" s="866"/>
      <c r="K168" s="185"/>
      <c r="L168" s="185"/>
      <c r="M168" s="185"/>
      <c r="N168" s="185"/>
      <c r="O168" s="866"/>
      <c r="P168" s="866"/>
      <c r="Q168" s="866"/>
      <c r="R168" s="866"/>
      <c r="S168" s="866"/>
      <c r="T168" s="866"/>
      <c r="U168" s="866"/>
      <c r="V168" s="866"/>
      <c r="W168" s="866"/>
      <c r="X168" s="866"/>
      <c r="Y168" s="866"/>
      <c r="Z168" s="866"/>
      <c r="AA168" s="866"/>
      <c r="AB168" s="866"/>
      <c r="AC168" s="866"/>
      <c r="AD168" s="866"/>
      <c r="AE168" s="866"/>
      <c r="AF168" s="866"/>
      <c r="AG168" s="866"/>
      <c r="AH168" s="185"/>
      <c r="AI168" s="185"/>
      <c r="AJ168" s="866"/>
      <c r="AK168" s="866"/>
      <c r="AL168" s="866"/>
      <c r="AM168" s="866"/>
      <c r="AN168" s="866"/>
      <c r="AO168" s="866"/>
      <c r="AP168" s="866"/>
      <c r="AQ168" s="866"/>
      <c r="AR168" s="866"/>
      <c r="AS168" s="866"/>
      <c r="AT168" s="185"/>
      <c r="AU168" s="185"/>
      <c r="AV168" s="185"/>
      <c r="AW168" s="185"/>
      <c r="AX168" s="185"/>
      <c r="AY168" s="185"/>
      <c r="AZ168" s="185"/>
      <c r="BA168" s="185"/>
      <c r="BB168" s="185"/>
      <c r="BC168" s="185"/>
      <c r="BD168" s="185"/>
      <c r="BE168" s="185"/>
      <c r="BF168" s="185"/>
      <c r="BG168" s="185"/>
      <c r="BH168" s="185"/>
      <c r="BI168" s="185"/>
      <c r="BJ168" s="185"/>
      <c r="BK168" s="185"/>
      <c r="BL168" s="186"/>
      <c r="BM168" s="186"/>
      <c r="BN168" s="186"/>
      <c r="BO168" s="186"/>
      <c r="BP168" s="186"/>
      <c r="BQ168" s="186"/>
      <c r="BR168" s="186"/>
      <c r="BS168" s="186"/>
      <c r="BT168" s="186"/>
      <c r="BU168" s="186"/>
      <c r="BV168" s="186"/>
      <c r="BW168" s="186"/>
      <c r="BX168" s="186"/>
      <c r="BY168" s="186"/>
      <c r="BZ168" s="186"/>
      <c r="CA168" s="186"/>
      <c r="CB168" s="186"/>
      <c r="CC168" s="186"/>
      <c r="CD168" s="186"/>
      <c r="CE168" s="186"/>
      <c r="CF168" s="186"/>
      <c r="CG168" s="186"/>
    </row>
    <row r="169" spans="1:85" ht="15.75">
      <c r="A169" s="185"/>
      <c r="B169" s="866"/>
      <c r="C169" s="866"/>
      <c r="D169" s="866"/>
      <c r="E169" s="866"/>
      <c r="F169" s="866"/>
      <c r="G169" s="866"/>
      <c r="H169" s="866"/>
      <c r="I169" s="866"/>
      <c r="J169" s="866"/>
      <c r="K169" s="185"/>
      <c r="L169" s="185"/>
      <c r="M169" s="185"/>
      <c r="N169" s="185"/>
      <c r="O169" s="866"/>
      <c r="P169" s="866"/>
      <c r="Q169" s="866"/>
      <c r="R169" s="866"/>
      <c r="S169" s="866"/>
      <c r="T169" s="866"/>
      <c r="U169" s="866"/>
      <c r="V169" s="866"/>
      <c r="W169" s="866"/>
      <c r="X169" s="866"/>
      <c r="Y169" s="866"/>
      <c r="Z169" s="866"/>
      <c r="AA169" s="866"/>
      <c r="AB169" s="866"/>
      <c r="AC169" s="866"/>
      <c r="AD169" s="866"/>
      <c r="AE169" s="866"/>
      <c r="AF169" s="866"/>
      <c r="AG169" s="866"/>
      <c r="AH169" s="185"/>
      <c r="AI169" s="185"/>
      <c r="AJ169" s="866"/>
      <c r="AK169" s="866"/>
      <c r="AL169" s="866"/>
      <c r="AM169" s="866"/>
      <c r="AN169" s="866"/>
      <c r="AO169" s="866"/>
      <c r="AP169" s="866"/>
      <c r="AQ169" s="866"/>
      <c r="AR169" s="866"/>
      <c r="AS169" s="866"/>
      <c r="AT169" s="185"/>
      <c r="AU169" s="185"/>
      <c r="AV169" s="185"/>
      <c r="AW169" s="185"/>
      <c r="AX169" s="185"/>
      <c r="AY169" s="185"/>
      <c r="AZ169" s="185"/>
      <c r="BA169" s="185"/>
      <c r="BB169" s="185"/>
      <c r="BC169" s="185"/>
      <c r="BD169" s="185"/>
      <c r="BE169" s="185"/>
      <c r="BF169" s="185"/>
      <c r="BG169" s="185"/>
      <c r="BH169" s="185"/>
      <c r="BI169" s="185"/>
      <c r="BJ169" s="185"/>
      <c r="BK169" s="185"/>
      <c r="BL169" s="186"/>
      <c r="BM169" s="186"/>
      <c r="BN169" s="186"/>
      <c r="BO169" s="186"/>
      <c r="BP169" s="186"/>
      <c r="BQ169" s="186"/>
      <c r="BR169" s="186"/>
      <c r="BS169" s="186"/>
      <c r="BT169" s="186"/>
      <c r="BU169" s="186"/>
      <c r="BV169" s="186"/>
      <c r="BW169" s="186"/>
      <c r="BX169" s="186"/>
      <c r="BY169" s="186"/>
      <c r="BZ169" s="186"/>
      <c r="CA169" s="186"/>
      <c r="CB169" s="186"/>
      <c r="CC169" s="186"/>
      <c r="CD169" s="186"/>
      <c r="CE169" s="186"/>
      <c r="CF169" s="186"/>
      <c r="CG169" s="186"/>
    </row>
    <row r="170" spans="1:85" ht="15.75">
      <c r="A170" s="185"/>
      <c r="B170" s="866"/>
      <c r="C170" s="866"/>
      <c r="D170" s="866"/>
      <c r="E170" s="866"/>
      <c r="F170" s="866"/>
      <c r="G170" s="866"/>
      <c r="H170" s="866"/>
      <c r="I170" s="866"/>
      <c r="J170" s="866"/>
      <c r="K170" s="185"/>
      <c r="L170" s="185"/>
      <c r="M170" s="185"/>
      <c r="N170" s="185"/>
      <c r="O170" s="866"/>
      <c r="P170" s="866"/>
      <c r="Q170" s="866"/>
      <c r="R170" s="866"/>
      <c r="S170" s="866"/>
      <c r="T170" s="866"/>
      <c r="U170" s="866"/>
      <c r="V170" s="866"/>
      <c r="W170" s="866"/>
      <c r="X170" s="866"/>
      <c r="Y170" s="866"/>
      <c r="Z170" s="866"/>
      <c r="AA170" s="866"/>
      <c r="AB170" s="866"/>
      <c r="AC170" s="866"/>
      <c r="AD170" s="866"/>
      <c r="AE170" s="866"/>
      <c r="AF170" s="866"/>
      <c r="AG170" s="866"/>
      <c r="AH170" s="185"/>
      <c r="AI170" s="185"/>
      <c r="AJ170" s="866"/>
      <c r="AK170" s="866"/>
      <c r="AL170" s="866"/>
      <c r="AM170" s="866"/>
      <c r="AN170" s="866"/>
      <c r="AO170" s="866"/>
      <c r="AP170" s="866"/>
      <c r="AQ170" s="866"/>
      <c r="AR170" s="866"/>
      <c r="AS170" s="866"/>
      <c r="AT170" s="185"/>
      <c r="AU170" s="185"/>
      <c r="AV170" s="185"/>
      <c r="AW170" s="185"/>
      <c r="AX170" s="185"/>
      <c r="AY170" s="185"/>
      <c r="AZ170" s="185"/>
      <c r="BA170" s="185"/>
      <c r="BB170" s="185"/>
      <c r="BC170" s="185"/>
      <c r="BD170" s="185"/>
      <c r="BE170" s="185"/>
      <c r="BF170" s="185"/>
      <c r="BG170" s="185"/>
      <c r="BH170" s="185"/>
      <c r="BI170" s="185"/>
      <c r="BJ170" s="185"/>
      <c r="BK170" s="185"/>
      <c r="BL170" s="186"/>
      <c r="BM170" s="186"/>
      <c r="BN170" s="186"/>
      <c r="BO170" s="186"/>
      <c r="BP170" s="186"/>
      <c r="BQ170" s="186"/>
      <c r="BR170" s="186"/>
      <c r="BS170" s="186"/>
      <c r="BT170" s="186"/>
      <c r="BU170" s="186"/>
      <c r="BV170" s="186"/>
      <c r="BW170" s="186"/>
      <c r="BX170" s="186"/>
      <c r="BY170" s="186"/>
      <c r="BZ170" s="186"/>
      <c r="CA170" s="186"/>
      <c r="CB170" s="186"/>
      <c r="CC170" s="186"/>
      <c r="CD170" s="186"/>
      <c r="CE170" s="186"/>
      <c r="CF170" s="186"/>
      <c r="CG170" s="186"/>
    </row>
    <row r="171" spans="1:85" ht="15.75">
      <c r="A171" s="185"/>
      <c r="B171" s="866"/>
      <c r="C171" s="866"/>
      <c r="D171" s="866"/>
      <c r="E171" s="866"/>
      <c r="F171" s="866"/>
      <c r="G171" s="866"/>
      <c r="H171" s="866"/>
      <c r="I171" s="866"/>
      <c r="J171" s="866"/>
      <c r="K171" s="185"/>
      <c r="L171" s="185"/>
      <c r="M171" s="185"/>
      <c r="N171" s="185"/>
      <c r="O171" s="866"/>
      <c r="P171" s="866"/>
      <c r="Q171" s="866"/>
      <c r="R171" s="866"/>
      <c r="S171" s="866"/>
      <c r="T171" s="866"/>
      <c r="U171" s="866"/>
      <c r="V171" s="866"/>
      <c r="W171" s="866"/>
      <c r="X171" s="866"/>
      <c r="Y171" s="866"/>
      <c r="Z171" s="866"/>
      <c r="AA171" s="866"/>
      <c r="AB171" s="866"/>
      <c r="AC171" s="866"/>
      <c r="AD171" s="866"/>
      <c r="AE171" s="866"/>
      <c r="AF171" s="866"/>
      <c r="AG171" s="866"/>
      <c r="AH171" s="185"/>
      <c r="AI171" s="185"/>
      <c r="AJ171" s="866"/>
      <c r="AK171" s="866"/>
      <c r="AL171" s="866"/>
      <c r="AM171" s="866"/>
      <c r="AN171" s="866"/>
      <c r="AO171" s="866"/>
      <c r="AP171" s="866"/>
      <c r="AQ171" s="866"/>
      <c r="AR171" s="866"/>
      <c r="AS171" s="866"/>
      <c r="AT171" s="185"/>
      <c r="AU171" s="185"/>
      <c r="AV171" s="185"/>
      <c r="AW171" s="185"/>
      <c r="AX171" s="185"/>
      <c r="AY171" s="185"/>
      <c r="AZ171" s="185"/>
      <c r="BA171" s="185"/>
      <c r="BB171" s="185"/>
      <c r="BC171" s="185"/>
      <c r="BD171" s="185"/>
      <c r="BE171" s="185"/>
      <c r="BF171" s="185"/>
      <c r="BG171" s="185"/>
      <c r="BH171" s="185"/>
      <c r="BI171" s="185"/>
      <c r="BJ171" s="185"/>
      <c r="BK171" s="185"/>
      <c r="BL171" s="186"/>
      <c r="BM171" s="186"/>
      <c r="BN171" s="186"/>
      <c r="BO171" s="186"/>
      <c r="BP171" s="186"/>
      <c r="BQ171" s="186"/>
      <c r="BR171" s="186"/>
      <c r="BS171" s="186"/>
      <c r="BT171" s="186"/>
      <c r="BU171" s="186"/>
      <c r="BV171" s="186"/>
      <c r="BW171" s="186"/>
      <c r="BX171" s="186"/>
      <c r="BY171" s="186"/>
      <c r="BZ171" s="186"/>
      <c r="CA171" s="186"/>
      <c r="CB171" s="186"/>
      <c r="CC171" s="186"/>
      <c r="CD171" s="186"/>
      <c r="CE171" s="186"/>
      <c r="CF171" s="186"/>
      <c r="CG171" s="186"/>
    </row>
    <row r="172" spans="1:85" ht="15.75">
      <c r="A172" s="185"/>
      <c r="B172" s="866"/>
      <c r="C172" s="866"/>
      <c r="D172" s="866"/>
      <c r="E172" s="866"/>
      <c r="F172" s="866"/>
      <c r="G172" s="866"/>
      <c r="H172" s="866"/>
      <c r="I172" s="866"/>
      <c r="J172" s="866"/>
      <c r="K172" s="185"/>
      <c r="L172" s="185"/>
      <c r="M172" s="185"/>
      <c r="N172" s="185"/>
      <c r="O172" s="866"/>
      <c r="P172" s="866"/>
      <c r="Q172" s="866"/>
      <c r="R172" s="866"/>
      <c r="S172" s="866"/>
      <c r="T172" s="866"/>
      <c r="U172" s="866"/>
      <c r="V172" s="866"/>
      <c r="W172" s="866"/>
      <c r="X172" s="866"/>
      <c r="Y172" s="866"/>
      <c r="Z172" s="866"/>
      <c r="AA172" s="866"/>
      <c r="AB172" s="866"/>
      <c r="AC172" s="866"/>
      <c r="AD172" s="866"/>
      <c r="AE172" s="866"/>
      <c r="AF172" s="866"/>
      <c r="AG172" s="866"/>
      <c r="AH172" s="185"/>
      <c r="AI172" s="185"/>
      <c r="AJ172" s="866"/>
      <c r="AK172" s="866"/>
      <c r="AL172" s="866"/>
      <c r="AM172" s="866"/>
      <c r="AN172" s="866"/>
      <c r="AO172" s="866"/>
      <c r="AP172" s="866"/>
      <c r="AQ172" s="866"/>
      <c r="AR172" s="866"/>
      <c r="AS172" s="866"/>
      <c r="AT172" s="185"/>
      <c r="AU172" s="185"/>
      <c r="AV172" s="185"/>
      <c r="AW172" s="185"/>
      <c r="AX172" s="185"/>
      <c r="AY172" s="185"/>
      <c r="AZ172" s="185"/>
      <c r="BA172" s="185"/>
      <c r="BB172" s="185"/>
      <c r="BC172" s="185"/>
      <c r="BD172" s="185"/>
      <c r="BE172" s="185"/>
      <c r="BF172" s="185"/>
      <c r="BG172" s="185"/>
      <c r="BH172" s="185"/>
      <c r="BI172" s="185"/>
      <c r="BJ172" s="185"/>
      <c r="BK172" s="185"/>
      <c r="BL172" s="186"/>
      <c r="BM172" s="186"/>
      <c r="BN172" s="186"/>
      <c r="BO172" s="186"/>
      <c r="BP172" s="186"/>
      <c r="BQ172" s="186"/>
      <c r="BR172" s="186"/>
      <c r="BS172" s="186"/>
      <c r="BT172" s="186"/>
      <c r="BU172" s="186"/>
      <c r="BV172" s="186"/>
      <c r="BW172" s="186"/>
      <c r="BX172" s="186"/>
      <c r="BY172" s="186"/>
      <c r="BZ172" s="186"/>
      <c r="CA172" s="186"/>
      <c r="CB172" s="186"/>
      <c r="CC172" s="186"/>
      <c r="CD172" s="186"/>
      <c r="CE172" s="186"/>
      <c r="CF172" s="186"/>
      <c r="CG172" s="186"/>
    </row>
    <row r="173" spans="1:85" ht="15.75">
      <c r="A173" s="185"/>
      <c r="B173" s="866"/>
      <c r="C173" s="866"/>
      <c r="D173" s="866"/>
      <c r="E173" s="866"/>
      <c r="F173" s="866"/>
      <c r="G173" s="866"/>
      <c r="H173" s="866"/>
      <c r="I173" s="866"/>
      <c r="J173" s="866"/>
      <c r="K173" s="185"/>
      <c r="L173" s="185"/>
      <c r="M173" s="185"/>
      <c r="N173" s="185"/>
      <c r="O173" s="866"/>
      <c r="P173" s="866"/>
      <c r="Q173" s="866"/>
      <c r="R173" s="866"/>
      <c r="S173" s="866"/>
      <c r="T173" s="866"/>
      <c r="U173" s="866"/>
      <c r="V173" s="866"/>
      <c r="W173" s="866"/>
      <c r="X173" s="866"/>
      <c r="Y173" s="866"/>
      <c r="Z173" s="866"/>
      <c r="AA173" s="866"/>
      <c r="AB173" s="866"/>
      <c r="AC173" s="866"/>
      <c r="AD173" s="866"/>
      <c r="AE173" s="866"/>
      <c r="AF173" s="866"/>
      <c r="AG173" s="866"/>
      <c r="AH173" s="185"/>
      <c r="AI173" s="185"/>
      <c r="AJ173" s="866"/>
      <c r="AK173" s="866"/>
      <c r="AL173" s="866"/>
      <c r="AM173" s="866"/>
      <c r="AN173" s="866"/>
      <c r="AO173" s="866"/>
      <c r="AP173" s="866"/>
      <c r="AQ173" s="866"/>
      <c r="AR173" s="866"/>
      <c r="AS173" s="866"/>
      <c r="AT173" s="185"/>
      <c r="AU173" s="185"/>
      <c r="AV173" s="185"/>
      <c r="AW173" s="185"/>
      <c r="AX173" s="185"/>
      <c r="AY173" s="185"/>
      <c r="AZ173" s="185"/>
      <c r="BA173" s="185"/>
      <c r="BB173" s="185"/>
      <c r="BC173" s="185"/>
      <c r="BD173" s="185"/>
      <c r="BE173" s="185"/>
      <c r="BF173" s="185"/>
      <c r="BG173" s="185"/>
      <c r="BH173" s="185"/>
      <c r="BI173" s="185"/>
      <c r="BJ173" s="185"/>
      <c r="BK173" s="185"/>
      <c r="BL173" s="186"/>
      <c r="BM173" s="186"/>
      <c r="BN173" s="186"/>
      <c r="BO173" s="186"/>
      <c r="BP173" s="186"/>
      <c r="BQ173" s="186"/>
      <c r="BR173" s="186"/>
      <c r="BS173" s="186"/>
      <c r="BT173" s="186"/>
      <c r="BU173" s="186"/>
      <c r="BV173" s="186"/>
      <c r="BW173" s="186"/>
      <c r="BX173" s="186"/>
      <c r="BY173" s="186"/>
      <c r="BZ173" s="186"/>
      <c r="CA173" s="186"/>
      <c r="CB173" s="186"/>
      <c r="CC173" s="186"/>
      <c r="CD173" s="186"/>
      <c r="CE173" s="186"/>
      <c r="CF173" s="186"/>
      <c r="CG173" s="186"/>
    </row>
    <row r="174" spans="1:85" ht="15.75">
      <c r="A174" s="185"/>
      <c r="B174" s="866"/>
      <c r="C174" s="866"/>
      <c r="D174" s="866"/>
      <c r="E174" s="866"/>
      <c r="F174" s="866"/>
      <c r="G174" s="866"/>
      <c r="H174" s="866"/>
      <c r="I174" s="866"/>
      <c r="J174" s="866"/>
      <c r="K174" s="185"/>
      <c r="L174" s="185"/>
      <c r="M174" s="185"/>
      <c r="N174" s="185"/>
      <c r="O174" s="866"/>
      <c r="P174" s="866"/>
      <c r="Q174" s="866"/>
      <c r="R174" s="866"/>
      <c r="S174" s="866"/>
      <c r="T174" s="866"/>
      <c r="U174" s="866"/>
      <c r="V174" s="866"/>
      <c r="W174" s="866"/>
      <c r="X174" s="866"/>
      <c r="Y174" s="866"/>
      <c r="Z174" s="866"/>
      <c r="AA174" s="866"/>
      <c r="AB174" s="866"/>
      <c r="AC174" s="866"/>
      <c r="AD174" s="866"/>
      <c r="AE174" s="866"/>
      <c r="AF174" s="866"/>
      <c r="AG174" s="866"/>
      <c r="AH174" s="185"/>
      <c r="AI174" s="185"/>
      <c r="AJ174" s="866"/>
      <c r="AK174" s="866"/>
      <c r="AL174" s="866"/>
      <c r="AM174" s="866"/>
      <c r="AN174" s="866"/>
      <c r="AO174" s="866"/>
      <c r="AP174" s="866"/>
      <c r="AQ174" s="866"/>
      <c r="AR174" s="866"/>
      <c r="AS174" s="866"/>
      <c r="AT174" s="185"/>
      <c r="AU174" s="185"/>
      <c r="AV174" s="185"/>
      <c r="AW174" s="185"/>
      <c r="AX174" s="185"/>
      <c r="AY174" s="185"/>
      <c r="AZ174" s="185"/>
      <c r="BA174" s="185"/>
      <c r="BB174" s="185"/>
      <c r="BC174" s="185"/>
      <c r="BD174" s="185"/>
      <c r="BE174" s="185"/>
      <c r="BF174" s="185"/>
      <c r="BG174" s="185"/>
      <c r="BH174" s="185"/>
      <c r="BI174" s="185"/>
      <c r="BJ174" s="185"/>
      <c r="BK174" s="185"/>
      <c r="BL174" s="186"/>
      <c r="BM174" s="186"/>
      <c r="BN174" s="186"/>
      <c r="BO174" s="186"/>
      <c r="BP174" s="186"/>
      <c r="BQ174" s="186"/>
      <c r="BR174" s="186"/>
      <c r="BS174" s="186"/>
      <c r="BT174" s="186"/>
      <c r="BU174" s="186"/>
      <c r="BV174" s="186"/>
      <c r="BW174" s="186"/>
      <c r="BX174" s="186"/>
      <c r="BY174" s="186"/>
      <c r="BZ174" s="186"/>
      <c r="CA174" s="186"/>
      <c r="CB174" s="186"/>
      <c r="CC174" s="186"/>
      <c r="CD174" s="186"/>
      <c r="CE174" s="186"/>
      <c r="CF174" s="186"/>
      <c r="CG174" s="186"/>
    </row>
    <row r="175" spans="1:85" ht="15.75">
      <c r="A175" s="185"/>
      <c r="B175" s="866"/>
      <c r="C175" s="866"/>
      <c r="D175" s="866"/>
      <c r="E175" s="866"/>
      <c r="F175" s="866"/>
      <c r="G175" s="866"/>
      <c r="H175" s="866"/>
      <c r="I175" s="866"/>
      <c r="J175" s="866"/>
      <c r="K175" s="185"/>
      <c r="L175" s="185"/>
      <c r="M175" s="185"/>
      <c r="N175" s="185"/>
      <c r="O175" s="866"/>
      <c r="P175" s="866"/>
      <c r="Q175" s="866"/>
      <c r="R175" s="866"/>
      <c r="S175" s="866"/>
      <c r="T175" s="866"/>
      <c r="U175" s="866"/>
      <c r="V175" s="866"/>
      <c r="W175" s="866"/>
      <c r="X175" s="866"/>
      <c r="Y175" s="866"/>
      <c r="Z175" s="866"/>
      <c r="AA175" s="866"/>
      <c r="AB175" s="866"/>
      <c r="AC175" s="866"/>
      <c r="AD175" s="866"/>
      <c r="AE175" s="866"/>
      <c r="AF175" s="866"/>
      <c r="AG175" s="866"/>
      <c r="AH175" s="185"/>
      <c r="AI175" s="185"/>
      <c r="AJ175" s="866"/>
      <c r="AK175" s="866"/>
      <c r="AL175" s="866"/>
      <c r="AM175" s="866"/>
      <c r="AN175" s="866"/>
      <c r="AO175" s="866"/>
      <c r="AP175" s="866"/>
      <c r="AQ175" s="866"/>
      <c r="AR175" s="866"/>
      <c r="AS175" s="866"/>
      <c r="AT175" s="185"/>
      <c r="AU175" s="185"/>
      <c r="AV175" s="185"/>
      <c r="AW175" s="185"/>
      <c r="AX175" s="185"/>
      <c r="AY175" s="185"/>
      <c r="AZ175" s="185"/>
      <c r="BA175" s="185"/>
      <c r="BB175" s="185"/>
      <c r="BC175" s="185"/>
      <c r="BD175" s="185"/>
      <c r="BE175" s="185"/>
      <c r="BF175" s="185"/>
      <c r="BG175" s="185"/>
      <c r="BH175" s="185"/>
      <c r="BI175" s="185"/>
      <c r="BJ175" s="185"/>
      <c r="BK175" s="185"/>
      <c r="BL175" s="186"/>
      <c r="BM175" s="186"/>
      <c r="BN175" s="186"/>
      <c r="BO175" s="186"/>
      <c r="BP175" s="186"/>
      <c r="BQ175" s="186"/>
      <c r="BR175" s="186"/>
      <c r="BS175" s="186"/>
      <c r="BT175" s="186"/>
      <c r="BU175" s="186"/>
      <c r="BV175" s="186"/>
      <c r="BW175" s="186"/>
      <c r="BX175" s="186"/>
      <c r="BY175" s="186"/>
      <c r="BZ175" s="186"/>
      <c r="CA175" s="186"/>
      <c r="CB175" s="186"/>
      <c r="CC175" s="186"/>
      <c r="CD175" s="186"/>
      <c r="CE175" s="186"/>
      <c r="CF175" s="186"/>
      <c r="CG175" s="186"/>
    </row>
    <row r="176" spans="1:85" ht="15.75">
      <c r="A176" s="185"/>
      <c r="B176" s="866"/>
      <c r="C176" s="866"/>
      <c r="D176" s="866"/>
      <c r="E176" s="866"/>
      <c r="F176" s="866"/>
      <c r="G176" s="866"/>
      <c r="H176" s="866"/>
      <c r="I176" s="866"/>
      <c r="J176" s="866"/>
      <c r="K176" s="185"/>
      <c r="L176" s="185"/>
      <c r="M176" s="185"/>
      <c r="N176" s="185"/>
      <c r="O176" s="866"/>
      <c r="P176" s="866"/>
      <c r="Q176" s="866"/>
      <c r="R176" s="866"/>
      <c r="S176" s="866"/>
      <c r="T176" s="866"/>
      <c r="U176" s="866"/>
      <c r="V176" s="866"/>
      <c r="W176" s="866"/>
      <c r="X176" s="866"/>
      <c r="Y176" s="866"/>
      <c r="Z176" s="866"/>
      <c r="AA176" s="866"/>
      <c r="AB176" s="866"/>
      <c r="AC176" s="866"/>
      <c r="AD176" s="866"/>
      <c r="AE176" s="866"/>
      <c r="AF176" s="866"/>
      <c r="AG176" s="866"/>
      <c r="AH176" s="185"/>
      <c r="AI176" s="185"/>
      <c r="AJ176" s="866"/>
      <c r="AK176" s="866"/>
      <c r="AL176" s="866"/>
      <c r="AM176" s="866"/>
      <c r="AN176" s="866"/>
      <c r="AO176" s="866"/>
      <c r="AP176" s="866"/>
      <c r="AQ176" s="866"/>
      <c r="AR176" s="866"/>
      <c r="AS176" s="866"/>
      <c r="AT176" s="185"/>
      <c r="AU176" s="185"/>
      <c r="AV176" s="185"/>
      <c r="AW176" s="185"/>
      <c r="AX176" s="185"/>
      <c r="AY176" s="185"/>
      <c r="AZ176" s="185"/>
      <c r="BA176" s="185"/>
      <c r="BB176" s="185"/>
      <c r="BC176" s="185"/>
      <c r="BD176" s="185"/>
      <c r="BE176" s="185"/>
      <c r="BF176" s="185"/>
      <c r="BG176" s="185"/>
      <c r="BH176" s="185"/>
      <c r="BI176" s="185"/>
      <c r="BJ176" s="185"/>
      <c r="BK176" s="185"/>
      <c r="BL176" s="186"/>
      <c r="BM176" s="186"/>
      <c r="BN176" s="186"/>
      <c r="BO176" s="186"/>
      <c r="BP176" s="186"/>
      <c r="BQ176" s="186"/>
      <c r="BR176" s="186"/>
      <c r="BS176" s="186"/>
      <c r="BT176" s="186"/>
      <c r="BU176" s="186"/>
      <c r="BV176" s="186"/>
      <c r="BW176" s="186"/>
      <c r="BX176" s="186"/>
      <c r="BY176" s="186"/>
      <c r="BZ176" s="186"/>
      <c r="CA176" s="186"/>
      <c r="CB176" s="186"/>
      <c r="CC176" s="186"/>
      <c r="CD176" s="186"/>
      <c r="CE176" s="186"/>
      <c r="CF176" s="186"/>
      <c r="CG176" s="186"/>
    </row>
    <row r="177" spans="1:85" ht="15.75">
      <c r="A177" s="185"/>
      <c r="B177" s="866"/>
      <c r="C177" s="866"/>
      <c r="D177" s="866"/>
      <c r="E177" s="866"/>
      <c r="F177" s="866"/>
      <c r="G177" s="866"/>
      <c r="H177" s="866"/>
      <c r="I177" s="866"/>
      <c r="J177" s="866"/>
      <c r="K177" s="185"/>
      <c r="L177" s="185"/>
      <c r="M177" s="185"/>
      <c r="N177" s="185"/>
      <c r="O177" s="866"/>
      <c r="P177" s="866"/>
      <c r="Q177" s="866"/>
      <c r="R177" s="866"/>
      <c r="S177" s="866"/>
      <c r="T177" s="866"/>
      <c r="U177" s="866"/>
      <c r="V177" s="866"/>
      <c r="W177" s="866"/>
      <c r="X177" s="866"/>
      <c r="Y177" s="866"/>
      <c r="Z177" s="866"/>
      <c r="AA177" s="866"/>
      <c r="AB177" s="866"/>
      <c r="AC177" s="866"/>
      <c r="AD177" s="866"/>
      <c r="AE177" s="866"/>
      <c r="AF177" s="866"/>
      <c r="AG177" s="866"/>
      <c r="AH177" s="185"/>
      <c r="AI177" s="185"/>
      <c r="AJ177" s="866"/>
      <c r="AK177" s="866"/>
      <c r="AL177" s="866"/>
      <c r="AM177" s="866"/>
      <c r="AN177" s="866"/>
      <c r="AO177" s="866"/>
      <c r="AP177" s="866"/>
      <c r="AQ177" s="866"/>
      <c r="AR177" s="866"/>
      <c r="AS177" s="866"/>
      <c r="AT177" s="185"/>
      <c r="AU177" s="185"/>
      <c r="AV177" s="185"/>
      <c r="AW177" s="185"/>
      <c r="AX177" s="185"/>
      <c r="AY177" s="185"/>
      <c r="AZ177" s="185"/>
      <c r="BA177" s="185"/>
      <c r="BB177" s="185"/>
      <c r="BC177" s="185"/>
      <c r="BD177" s="185"/>
      <c r="BE177" s="185"/>
      <c r="BF177" s="185"/>
      <c r="BG177" s="185"/>
      <c r="BH177" s="185"/>
      <c r="BI177" s="185"/>
      <c r="BJ177" s="185"/>
      <c r="BK177" s="185"/>
      <c r="BL177" s="186"/>
      <c r="BM177" s="186"/>
      <c r="BN177" s="186"/>
      <c r="BO177" s="186"/>
      <c r="BP177" s="186"/>
      <c r="BQ177" s="186"/>
      <c r="BR177" s="186"/>
      <c r="BS177" s="186"/>
      <c r="BT177" s="186"/>
      <c r="BU177" s="186"/>
      <c r="BV177" s="186"/>
      <c r="BW177" s="186"/>
      <c r="BX177" s="186"/>
      <c r="BY177" s="186"/>
      <c r="BZ177" s="186"/>
      <c r="CA177" s="186"/>
      <c r="CB177" s="186"/>
      <c r="CC177" s="186"/>
      <c r="CD177" s="186"/>
      <c r="CE177" s="186"/>
      <c r="CF177" s="186"/>
      <c r="CG177" s="186"/>
    </row>
    <row r="178" spans="1:85" ht="15.75">
      <c r="A178" s="185"/>
      <c r="B178" s="866"/>
      <c r="C178" s="866"/>
      <c r="D178" s="866"/>
      <c r="E178" s="866"/>
      <c r="F178" s="866"/>
      <c r="G178" s="866"/>
      <c r="H178" s="866"/>
      <c r="I178" s="866"/>
      <c r="J178" s="866"/>
      <c r="K178" s="185"/>
      <c r="L178" s="185"/>
      <c r="M178" s="185"/>
      <c r="N178" s="185"/>
      <c r="O178" s="866"/>
      <c r="P178" s="866"/>
      <c r="Q178" s="866"/>
      <c r="R178" s="866"/>
      <c r="S178" s="866"/>
      <c r="T178" s="866"/>
      <c r="U178" s="866"/>
      <c r="V178" s="866"/>
      <c r="W178" s="866"/>
      <c r="X178" s="866"/>
      <c r="Y178" s="866"/>
      <c r="Z178" s="866"/>
      <c r="AA178" s="866"/>
      <c r="AB178" s="866"/>
      <c r="AC178" s="866"/>
      <c r="AD178" s="866"/>
      <c r="AE178" s="866"/>
      <c r="AF178" s="866"/>
      <c r="AG178" s="866"/>
      <c r="AH178" s="185"/>
      <c r="AI178" s="185"/>
      <c r="AJ178" s="866"/>
      <c r="AK178" s="866"/>
      <c r="AL178" s="866"/>
      <c r="AM178" s="866"/>
      <c r="AN178" s="866"/>
      <c r="AO178" s="866"/>
      <c r="AP178" s="866"/>
      <c r="AQ178" s="866"/>
      <c r="AR178" s="866"/>
      <c r="AS178" s="866"/>
      <c r="AT178" s="185"/>
      <c r="AU178" s="185"/>
      <c r="AV178" s="185"/>
      <c r="AW178" s="185"/>
      <c r="AX178" s="185"/>
      <c r="AY178" s="185"/>
      <c r="AZ178" s="185"/>
      <c r="BA178" s="185"/>
      <c r="BB178" s="185"/>
      <c r="BC178" s="185"/>
      <c r="BD178" s="185"/>
      <c r="BE178" s="185"/>
      <c r="BF178" s="185"/>
      <c r="BG178" s="185"/>
      <c r="BH178" s="185"/>
      <c r="BI178" s="185"/>
      <c r="BJ178" s="185"/>
      <c r="BK178" s="185"/>
      <c r="BL178" s="186"/>
      <c r="BM178" s="186"/>
      <c r="BN178" s="186"/>
      <c r="BO178" s="186"/>
      <c r="BP178" s="186"/>
      <c r="BQ178" s="186"/>
      <c r="BR178" s="186"/>
      <c r="BS178" s="186"/>
      <c r="BT178" s="186"/>
      <c r="BU178" s="186"/>
      <c r="BV178" s="186"/>
      <c r="BW178" s="186"/>
      <c r="BX178" s="186"/>
      <c r="BY178" s="186"/>
      <c r="BZ178" s="186"/>
      <c r="CA178" s="186"/>
      <c r="CB178" s="186"/>
      <c r="CC178" s="186"/>
      <c r="CD178" s="186"/>
      <c r="CE178" s="186"/>
      <c r="CF178" s="186"/>
      <c r="CG178" s="186"/>
    </row>
    <row r="179" spans="1:85" ht="15.75">
      <c r="A179" s="185"/>
      <c r="B179" s="866"/>
      <c r="C179" s="866"/>
      <c r="D179" s="866"/>
      <c r="E179" s="866"/>
      <c r="F179" s="866"/>
      <c r="G179" s="866"/>
      <c r="H179" s="866"/>
      <c r="I179" s="866"/>
      <c r="J179" s="866"/>
      <c r="K179" s="185"/>
      <c r="L179" s="185"/>
      <c r="M179" s="185"/>
      <c r="N179" s="185"/>
      <c r="O179" s="866"/>
      <c r="P179" s="866"/>
      <c r="Q179" s="866"/>
      <c r="R179" s="866"/>
      <c r="S179" s="866"/>
      <c r="T179" s="866"/>
      <c r="U179" s="866"/>
      <c r="V179" s="866"/>
      <c r="W179" s="866"/>
      <c r="X179" s="866"/>
      <c r="Y179" s="866"/>
      <c r="Z179" s="866"/>
      <c r="AA179" s="866"/>
      <c r="AB179" s="866"/>
      <c r="AC179" s="866"/>
      <c r="AD179" s="866"/>
      <c r="AE179" s="866"/>
      <c r="AF179" s="866"/>
      <c r="AG179" s="866"/>
      <c r="AH179" s="185"/>
      <c r="AI179" s="185"/>
      <c r="AJ179" s="866"/>
      <c r="AK179" s="866"/>
      <c r="AL179" s="866"/>
      <c r="AM179" s="866"/>
      <c r="AN179" s="866"/>
      <c r="AO179" s="866"/>
      <c r="AP179" s="866"/>
      <c r="AQ179" s="866"/>
      <c r="AR179" s="866"/>
      <c r="AS179" s="866"/>
      <c r="AT179" s="185"/>
      <c r="AU179" s="185"/>
      <c r="AV179" s="185"/>
      <c r="AW179" s="185"/>
      <c r="AX179" s="185"/>
      <c r="AY179" s="185"/>
      <c r="AZ179" s="185"/>
      <c r="BA179" s="185"/>
      <c r="BB179" s="185"/>
      <c r="BC179" s="185"/>
      <c r="BD179" s="185"/>
      <c r="BE179" s="185"/>
      <c r="BF179" s="185"/>
      <c r="BG179" s="185"/>
      <c r="BH179" s="185"/>
      <c r="BI179" s="185"/>
      <c r="BJ179" s="185"/>
      <c r="BK179" s="185"/>
      <c r="BL179" s="186"/>
      <c r="BM179" s="186"/>
      <c r="BN179" s="186"/>
      <c r="BO179" s="186"/>
      <c r="BP179" s="186"/>
      <c r="BQ179" s="186"/>
      <c r="BR179" s="186"/>
      <c r="BS179" s="186"/>
      <c r="BT179" s="186"/>
      <c r="BU179" s="186"/>
      <c r="BV179" s="186"/>
      <c r="BW179" s="186"/>
      <c r="BX179" s="186"/>
      <c r="BY179" s="186"/>
      <c r="BZ179" s="186"/>
      <c r="CA179" s="186"/>
      <c r="CB179" s="186"/>
      <c r="CC179" s="186"/>
      <c r="CD179" s="186"/>
      <c r="CE179" s="186"/>
      <c r="CF179" s="186"/>
      <c r="CG179" s="186"/>
    </row>
    <row r="180" spans="1:85" ht="15.75">
      <c r="A180" s="185"/>
      <c r="B180" s="866"/>
      <c r="C180" s="866"/>
      <c r="D180" s="866"/>
      <c r="E180" s="866"/>
      <c r="F180" s="866"/>
      <c r="G180" s="866"/>
      <c r="H180" s="866"/>
      <c r="I180" s="866"/>
      <c r="J180" s="866"/>
      <c r="K180" s="185"/>
      <c r="L180" s="185"/>
      <c r="M180" s="185"/>
      <c r="N180" s="185"/>
      <c r="O180" s="866"/>
      <c r="P180" s="866"/>
      <c r="Q180" s="866"/>
      <c r="R180" s="866"/>
      <c r="S180" s="866"/>
      <c r="T180" s="866"/>
      <c r="U180" s="866"/>
      <c r="V180" s="866"/>
      <c r="W180" s="866"/>
      <c r="X180" s="866"/>
      <c r="Y180" s="866"/>
      <c r="Z180" s="866"/>
      <c r="AA180" s="866"/>
      <c r="AB180" s="866"/>
      <c r="AC180" s="866"/>
      <c r="AD180" s="866"/>
      <c r="AE180" s="866"/>
      <c r="AF180" s="866"/>
      <c r="AG180" s="866"/>
      <c r="AH180" s="185"/>
      <c r="AI180" s="185"/>
      <c r="AJ180" s="866"/>
      <c r="AK180" s="866"/>
      <c r="AL180" s="866"/>
      <c r="AM180" s="866"/>
      <c r="AN180" s="866"/>
      <c r="AO180" s="866"/>
      <c r="AP180" s="866"/>
      <c r="AQ180" s="866"/>
      <c r="AR180" s="866"/>
      <c r="AS180" s="866"/>
      <c r="AT180" s="185"/>
      <c r="AU180" s="185"/>
      <c r="AV180" s="185"/>
      <c r="AW180" s="185"/>
      <c r="AX180" s="185"/>
      <c r="AY180" s="185"/>
      <c r="AZ180" s="185"/>
      <c r="BA180" s="185"/>
      <c r="BB180" s="185"/>
      <c r="BC180" s="185"/>
      <c r="BD180" s="185"/>
      <c r="BE180" s="185"/>
      <c r="BF180" s="185"/>
      <c r="BG180" s="185"/>
      <c r="BH180" s="185"/>
      <c r="BI180" s="185"/>
      <c r="BJ180" s="185"/>
      <c r="BK180" s="185"/>
      <c r="BL180" s="186"/>
      <c r="BM180" s="186"/>
      <c r="BN180" s="186"/>
      <c r="BO180" s="186"/>
      <c r="BP180" s="186"/>
      <c r="BQ180" s="186"/>
      <c r="BR180" s="186"/>
      <c r="BS180" s="186"/>
      <c r="BT180" s="186"/>
      <c r="BU180" s="186"/>
      <c r="BV180" s="186"/>
      <c r="BW180" s="186"/>
      <c r="BX180" s="186"/>
      <c r="BY180" s="186"/>
      <c r="BZ180" s="186"/>
      <c r="CA180" s="186"/>
      <c r="CB180" s="186"/>
      <c r="CC180" s="186"/>
      <c r="CD180" s="186"/>
      <c r="CE180" s="186"/>
      <c r="CF180" s="186"/>
      <c r="CG180" s="186"/>
    </row>
    <row r="181" spans="1:85" ht="15.75">
      <c r="A181" s="185"/>
      <c r="B181" s="866"/>
      <c r="C181" s="866"/>
      <c r="D181" s="866"/>
      <c r="E181" s="866"/>
      <c r="F181" s="866"/>
      <c r="G181" s="866"/>
      <c r="H181" s="866"/>
      <c r="I181" s="866"/>
      <c r="J181" s="866"/>
      <c r="K181" s="185"/>
      <c r="L181" s="185"/>
      <c r="M181" s="185"/>
      <c r="N181" s="185"/>
      <c r="O181" s="866"/>
      <c r="P181" s="866"/>
      <c r="Q181" s="866"/>
      <c r="R181" s="866"/>
      <c r="S181" s="866"/>
      <c r="T181" s="866"/>
      <c r="U181" s="866"/>
      <c r="V181" s="866"/>
      <c r="W181" s="866"/>
      <c r="X181" s="866"/>
      <c r="Y181" s="866"/>
      <c r="Z181" s="866"/>
      <c r="AA181" s="866"/>
      <c r="AB181" s="866"/>
      <c r="AC181" s="866"/>
      <c r="AD181" s="866"/>
      <c r="AE181" s="866"/>
      <c r="AF181" s="866"/>
      <c r="AG181" s="866"/>
      <c r="AH181" s="185"/>
      <c r="AI181" s="185"/>
      <c r="AJ181" s="866"/>
      <c r="AK181" s="866"/>
      <c r="AL181" s="866"/>
      <c r="AM181" s="866"/>
      <c r="AN181" s="866"/>
      <c r="AO181" s="866"/>
      <c r="AP181" s="866"/>
      <c r="AQ181" s="866"/>
      <c r="AR181" s="866"/>
      <c r="AS181" s="866"/>
      <c r="AT181" s="185"/>
      <c r="AU181" s="185"/>
      <c r="AV181" s="185"/>
      <c r="AW181" s="185"/>
      <c r="AX181" s="185"/>
      <c r="AY181" s="185"/>
      <c r="AZ181" s="185"/>
      <c r="BA181" s="185"/>
      <c r="BB181" s="185"/>
      <c r="BC181" s="185"/>
      <c r="BD181" s="185"/>
      <c r="BE181" s="185"/>
      <c r="BF181" s="185"/>
      <c r="BG181" s="185"/>
      <c r="BH181" s="185"/>
      <c r="BI181" s="185"/>
      <c r="BJ181" s="185"/>
      <c r="BK181" s="185"/>
      <c r="BL181" s="186"/>
      <c r="BM181" s="186"/>
      <c r="BN181" s="186"/>
      <c r="BO181" s="186"/>
      <c r="BP181" s="186"/>
      <c r="BQ181" s="186"/>
      <c r="BR181" s="186"/>
      <c r="BS181" s="186"/>
      <c r="BT181" s="186"/>
      <c r="BU181" s="186"/>
      <c r="BV181" s="186"/>
      <c r="BW181" s="186"/>
      <c r="BX181" s="186"/>
      <c r="BY181" s="186"/>
      <c r="BZ181" s="186"/>
      <c r="CA181" s="186"/>
      <c r="CB181" s="186"/>
      <c r="CC181" s="186"/>
      <c r="CD181" s="186"/>
      <c r="CE181" s="186"/>
      <c r="CF181" s="186"/>
      <c r="CG181" s="186"/>
    </row>
    <row r="182" spans="1:85" ht="15.75">
      <c r="A182" s="185"/>
      <c r="B182" s="866"/>
      <c r="C182" s="866"/>
      <c r="D182" s="866"/>
      <c r="E182" s="866"/>
      <c r="F182" s="866"/>
      <c r="G182" s="866"/>
      <c r="H182" s="866"/>
      <c r="I182" s="866"/>
      <c r="J182" s="866"/>
      <c r="K182" s="185"/>
      <c r="L182" s="185"/>
      <c r="M182" s="185"/>
      <c r="N182" s="185"/>
      <c r="O182" s="866"/>
      <c r="P182" s="866"/>
      <c r="Q182" s="866"/>
      <c r="R182" s="866"/>
      <c r="S182" s="866"/>
      <c r="T182" s="866"/>
      <c r="U182" s="866"/>
      <c r="V182" s="866"/>
      <c r="W182" s="866"/>
      <c r="X182" s="866"/>
      <c r="Y182" s="866"/>
      <c r="Z182" s="866"/>
      <c r="AA182" s="866"/>
      <c r="AB182" s="866"/>
      <c r="AC182" s="866"/>
      <c r="AD182" s="866"/>
      <c r="AE182" s="866"/>
      <c r="AF182" s="866"/>
      <c r="AG182" s="866"/>
      <c r="AH182" s="185"/>
      <c r="AI182" s="185"/>
      <c r="AJ182" s="866"/>
      <c r="AK182" s="866"/>
      <c r="AL182" s="866"/>
      <c r="AM182" s="866"/>
      <c r="AN182" s="866"/>
      <c r="AO182" s="866"/>
      <c r="AP182" s="866"/>
      <c r="AQ182" s="866"/>
      <c r="AR182" s="866"/>
      <c r="AS182" s="866"/>
      <c r="AT182" s="185"/>
      <c r="AU182" s="185"/>
      <c r="AV182" s="185"/>
      <c r="AW182" s="185"/>
      <c r="AX182" s="185"/>
      <c r="AY182" s="185"/>
      <c r="AZ182" s="185"/>
      <c r="BA182" s="185"/>
      <c r="BB182" s="185"/>
      <c r="BC182" s="185"/>
      <c r="BD182" s="185"/>
      <c r="BE182" s="185"/>
      <c r="BF182" s="185"/>
      <c r="BG182" s="185"/>
      <c r="BH182" s="185"/>
      <c r="BI182" s="185"/>
      <c r="BJ182" s="185"/>
      <c r="BK182" s="185"/>
      <c r="BL182" s="186"/>
      <c r="BM182" s="186"/>
      <c r="BN182" s="186"/>
      <c r="BO182" s="186"/>
      <c r="BP182" s="186"/>
      <c r="BQ182" s="186"/>
      <c r="BR182" s="186"/>
      <c r="BS182" s="186"/>
      <c r="BT182" s="186"/>
      <c r="BU182" s="186"/>
      <c r="BV182" s="186"/>
      <c r="BW182" s="186"/>
      <c r="BX182" s="186"/>
      <c r="BY182" s="186"/>
      <c r="BZ182" s="186"/>
      <c r="CA182" s="186"/>
      <c r="CB182" s="186"/>
      <c r="CC182" s="186"/>
      <c r="CD182" s="186"/>
      <c r="CE182" s="186"/>
      <c r="CF182" s="186"/>
      <c r="CG182" s="186"/>
    </row>
    <row r="183" spans="1:85" ht="15.75">
      <c r="A183" s="185"/>
      <c r="B183" s="866"/>
      <c r="C183" s="866"/>
      <c r="D183" s="866"/>
      <c r="E183" s="866"/>
      <c r="F183" s="866"/>
      <c r="G183" s="866"/>
      <c r="H183" s="866"/>
      <c r="I183" s="866"/>
      <c r="J183" s="866"/>
      <c r="K183" s="185"/>
      <c r="L183" s="185"/>
      <c r="M183" s="185"/>
      <c r="N183" s="185"/>
      <c r="O183" s="866"/>
      <c r="P183" s="866"/>
      <c r="Q183" s="866"/>
      <c r="R183" s="866"/>
      <c r="S183" s="866"/>
      <c r="T183" s="866"/>
      <c r="U183" s="866"/>
      <c r="V183" s="866"/>
      <c r="W183" s="866"/>
      <c r="X183" s="866"/>
      <c r="Y183" s="866"/>
      <c r="Z183" s="866"/>
      <c r="AA183" s="866"/>
      <c r="AB183" s="866"/>
      <c r="AC183" s="866"/>
      <c r="AD183" s="866"/>
      <c r="AE183" s="866"/>
      <c r="AF183" s="866"/>
      <c r="AG183" s="866"/>
      <c r="AH183" s="185"/>
      <c r="AI183" s="185"/>
      <c r="AJ183" s="866"/>
      <c r="AK183" s="866"/>
      <c r="AL183" s="866"/>
      <c r="AM183" s="866"/>
      <c r="AN183" s="866"/>
      <c r="AO183" s="866"/>
      <c r="AP183" s="866"/>
      <c r="AQ183" s="866"/>
      <c r="AR183" s="866"/>
      <c r="AS183" s="866"/>
      <c r="AT183" s="185"/>
      <c r="AU183" s="185"/>
      <c r="AV183" s="185"/>
      <c r="AW183" s="185"/>
      <c r="AX183" s="185"/>
      <c r="AY183" s="185"/>
      <c r="AZ183" s="185"/>
      <c r="BA183" s="185"/>
      <c r="BB183" s="185"/>
      <c r="BC183" s="185"/>
      <c r="BD183" s="185"/>
      <c r="BE183" s="185"/>
      <c r="BF183" s="185"/>
      <c r="BG183" s="185"/>
      <c r="BH183" s="185"/>
      <c r="BI183" s="185"/>
      <c r="BJ183" s="185"/>
      <c r="BK183" s="185"/>
      <c r="BL183" s="186"/>
      <c r="BM183" s="186"/>
      <c r="BN183" s="186"/>
      <c r="BO183" s="186"/>
      <c r="BP183" s="186"/>
      <c r="BQ183" s="186"/>
      <c r="BR183" s="186"/>
      <c r="BS183" s="186"/>
      <c r="BT183" s="186"/>
      <c r="BU183" s="186"/>
      <c r="BV183" s="186"/>
      <c r="BW183" s="186"/>
      <c r="BX183" s="186"/>
      <c r="BY183" s="186"/>
      <c r="BZ183" s="186"/>
      <c r="CA183" s="186"/>
      <c r="CB183" s="186"/>
      <c r="CC183" s="186"/>
      <c r="CD183" s="186"/>
      <c r="CE183" s="186"/>
      <c r="CF183" s="186"/>
      <c r="CG183" s="186"/>
    </row>
    <row r="184" spans="1:85" ht="15.75">
      <c r="A184" s="185"/>
      <c r="B184" s="866"/>
      <c r="C184" s="866"/>
      <c r="D184" s="866"/>
      <c r="E184" s="866"/>
      <c r="F184" s="866"/>
      <c r="G184" s="866"/>
      <c r="H184" s="866"/>
      <c r="I184" s="866"/>
      <c r="J184" s="866"/>
      <c r="K184" s="185"/>
      <c r="L184" s="185"/>
      <c r="M184" s="185"/>
      <c r="N184" s="185"/>
      <c r="O184" s="866"/>
      <c r="P184" s="866"/>
      <c r="Q184" s="866"/>
      <c r="R184" s="866"/>
      <c r="S184" s="866"/>
      <c r="T184" s="866"/>
      <c r="U184" s="866"/>
      <c r="V184" s="866"/>
      <c r="W184" s="866"/>
      <c r="X184" s="866"/>
      <c r="Y184" s="866"/>
      <c r="Z184" s="866"/>
      <c r="AA184" s="866"/>
      <c r="AB184" s="866"/>
      <c r="AC184" s="866"/>
      <c r="AD184" s="866"/>
      <c r="AE184" s="866"/>
      <c r="AF184" s="866"/>
      <c r="AG184" s="866"/>
      <c r="AH184" s="185"/>
      <c r="AI184" s="185"/>
      <c r="AJ184" s="866"/>
      <c r="AK184" s="866"/>
      <c r="AL184" s="866"/>
      <c r="AM184" s="866"/>
      <c r="AN184" s="866"/>
      <c r="AO184" s="866"/>
      <c r="AP184" s="866"/>
      <c r="AQ184" s="866"/>
      <c r="AR184" s="866"/>
      <c r="AS184" s="866"/>
      <c r="AT184" s="185"/>
      <c r="AU184" s="185"/>
      <c r="AV184" s="185"/>
      <c r="AW184" s="185"/>
      <c r="AX184" s="185"/>
      <c r="AY184" s="185"/>
      <c r="AZ184" s="185"/>
      <c r="BA184" s="185"/>
      <c r="BB184" s="185"/>
      <c r="BC184" s="185"/>
      <c r="BD184" s="185"/>
      <c r="BE184" s="185"/>
      <c r="BF184" s="185"/>
      <c r="BG184" s="185"/>
      <c r="BH184" s="185"/>
      <c r="BI184" s="185"/>
      <c r="BJ184" s="185"/>
      <c r="BK184" s="185"/>
      <c r="BL184" s="186"/>
      <c r="BM184" s="186"/>
      <c r="BN184" s="186"/>
      <c r="BO184" s="186"/>
      <c r="BP184" s="186"/>
      <c r="BQ184" s="186"/>
      <c r="BR184" s="186"/>
      <c r="BS184" s="186"/>
      <c r="BT184" s="186"/>
      <c r="BU184" s="186"/>
      <c r="BV184" s="186"/>
      <c r="BW184" s="186"/>
      <c r="BX184" s="186"/>
      <c r="BY184" s="186"/>
      <c r="BZ184" s="186"/>
      <c r="CA184" s="186"/>
      <c r="CB184" s="186"/>
      <c r="CC184" s="186"/>
      <c r="CD184" s="186"/>
      <c r="CE184" s="186"/>
      <c r="CF184" s="186"/>
      <c r="CG184" s="186"/>
    </row>
    <row r="185" spans="1:85" ht="15.75">
      <c r="A185" s="185"/>
      <c r="B185" s="866"/>
      <c r="C185" s="866"/>
      <c r="D185" s="866"/>
      <c r="E185" s="866"/>
      <c r="F185" s="866"/>
      <c r="G185" s="866"/>
      <c r="H185" s="866"/>
      <c r="I185" s="866"/>
      <c r="J185" s="866"/>
      <c r="K185" s="185"/>
      <c r="L185" s="185"/>
      <c r="M185" s="185"/>
      <c r="N185" s="185"/>
      <c r="O185" s="866"/>
      <c r="P185" s="866"/>
      <c r="Q185" s="866"/>
      <c r="R185" s="866"/>
      <c r="S185" s="866"/>
      <c r="T185" s="866"/>
      <c r="U185" s="866"/>
      <c r="V185" s="866"/>
      <c r="W185" s="866"/>
      <c r="X185" s="866"/>
      <c r="Y185" s="866"/>
      <c r="Z185" s="866"/>
      <c r="AA185" s="866"/>
      <c r="AB185" s="866"/>
      <c r="AC185" s="866"/>
      <c r="AD185" s="866"/>
      <c r="AE185" s="866"/>
      <c r="AF185" s="866"/>
      <c r="AG185" s="866"/>
      <c r="AH185" s="185"/>
      <c r="AI185" s="185"/>
      <c r="AJ185" s="866"/>
      <c r="AK185" s="866"/>
      <c r="AL185" s="866"/>
      <c r="AM185" s="866"/>
      <c r="AN185" s="866"/>
      <c r="AO185" s="866"/>
      <c r="AP185" s="866"/>
      <c r="AQ185" s="866"/>
      <c r="AR185" s="866"/>
      <c r="AS185" s="866"/>
      <c r="AT185" s="185"/>
      <c r="AU185" s="185"/>
      <c r="AV185" s="185"/>
      <c r="AW185" s="185"/>
      <c r="AX185" s="185"/>
      <c r="AY185" s="185"/>
      <c r="AZ185" s="185"/>
      <c r="BA185" s="185"/>
      <c r="BB185" s="185"/>
      <c r="BC185" s="185"/>
      <c r="BD185" s="185"/>
      <c r="BE185" s="185"/>
      <c r="BF185" s="185"/>
      <c r="BG185" s="185"/>
      <c r="BH185" s="185"/>
      <c r="BI185" s="185"/>
      <c r="BJ185" s="185"/>
      <c r="BK185" s="185"/>
      <c r="BL185" s="186"/>
      <c r="BM185" s="186"/>
      <c r="BN185" s="186"/>
      <c r="BO185" s="186"/>
      <c r="BP185" s="186"/>
      <c r="BQ185" s="186"/>
      <c r="BR185" s="186"/>
      <c r="BS185" s="186"/>
      <c r="BT185" s="186"/>
      <c r="BU185" s="186"/>
      <c r="BV185" s="186"/>
      <c r="BW185" s="186"/>
      <c r="BX185" s="186"/>
      <c r="BY185" s="186"/>
      <c r="BZ185" s="186"/>
      <c r="CA185" s="186"/>
      <c r="CB185" s="186"/>
      <c r="CC185" s="186"/>
      <c r="CD185" s="186"/>
      <c r="CE185" s="186"/>
      <c r="CF185" s="186"/>
      <c r="CG185" s="186"/>
    </row>
    <row r="186" spans="1:85" ht="15.75">
      <c r="A186" s="185"/>
      <c r="B186" s="866"/>
      <c r="C186" s="866"/>
      <c r="D186" s="866"/>
      <c r="E186" s="866"/>
      <c r="F186" s="866"/>
      <c r="G186" s="866"/>
      <c r="H186" s="866"/>
      <c r="I186" s="866"/>
      <c r="J186" s="866"/>
      <c r="K186" s="185"/>
      <c r="L186" s="185"/>
      <c r="M186" s="185"/>
      <c r="N186" s="185"/>
      <c r="O186" s="866"/>
      <c r="P186" s="866"/>
      <c r="Q186" s="866"/>
      <c r="R186" s="866"/>
      <c r="S186" s="866"/>
      <c r="T186" s="866"/>
      <c r="U186" s="866"/>
      <c r="V186" s="866"/>
      <c r="W186" s="866"/>
      <c r="X186" s="866"/>
      <c r="Y186" s="866"/>
      <c r="Z186" s="866"/>
      <c r="AA186" s="866"/>
      <c r="AB186" s="866"/>
      <c r="AC186" s="866"/>
      <c r="AD186" s="866"/>
      <c r="AE186" s="866"/>
      <c r="AF186" s="866"/>
      <c r="AG186" s="866"/>
      <c r="AH186" s="185"/>
      <c r="AI186" s="185"/>
      <c r="AJ186" s="866"/>
      <c r="AK186" s="866"/>
      <c r="AL186" s="866"/>
      <c r="AM186" s="866"/>
      <c r="AN186" s="866"/>
      <c r="AO186" s="866"/>
      <c r="AP186" s="866"/>
      <c r="AQ186" s="866"/>
      <c r="AR186" s="866"/>
      <c r="AS186" s="866"/>
      <c r="AT186" s="185"/>
      <c r="AU186" s="185"/>
      <c r="AV186" s="185"/>
      <c r="AW186" s="185"/>
      <c r="AX186" s="185"/>
      <c r="AY186" s="185"/>
      <c r="AZ186" s="185"/>
      <c r="BA186" s="185"/>
      <c r="BB186" s="185"/>
      <c r="BC186" s="185"/>
      <c r="BD186" s="185"/>
      <c r="BE186" s="185"/>
      <c r="BF186" s="185"/>
      <c r="BG186" s="185"/>
      <c r="BH186" s="185"/>
      <c r="BI186" s="185"/>
      <c r="BJ186" s="185"/>
      <c r="BK186" s="185"/>
      <c r="BL186" s="186"/>
      <c r="BM186" s="186"/>
      <c r="BN186" s="186"/>
      <c r="BO186" s="186"/>
      <c r="BP186" s="186"/>
      <c r="BQ186" s="186"/>
      <c r="BR186" s="186"/>
      <c r="BS186" s="186"/>
      <c r="BT186" s="186"/>
      <c r="BU186" s="186"/>
      <c r="BV186" s="186"/>
      <c r="BW186" s="186"/>
      <c r="BX186" s="186"/>
      <c r="BY186" s="186"/>
      <c r="BZ186" s="186"/>
      <c r="CA186" s="186"/>
      <c r="CB186" s="186"/>
      <c r="CC186" s="186"/>
      <c r="CD186" s="186"/>
      <c r="CE186" s="186"/>
      <c r="CF186" s="186"/>
      <c r="CG186" s="186"/>
    </row>
    <row r="187" spans="1:85" ht="15.75">
      <c r="A187" s="185"/>
      <c r="B187" s="866"/>
      <c r="C187" s="866"/>
      <c r="D187" s="866"/>
      <c r="E187" s="866"/>
      <c r="F187" s="866"/>
      <c r="G187" s="866"/>
      <c r="H187" s="866"/>
      <c r="I187" s="866"/>
      <c r="J187" s="866"/>
      <c r="K187" s="185"/>
      <c r="L187" s="185"/>
      <c r="M187" s="185"/>
      <c r="N187" s="185"/>
      <c r="O187" s="866"/>
      <c r="P187" s="866"/>
      <c r="Q187" s="866"/>
      <c r="R187" s="866"/>
      <c r="S187" s="866"/>
      <c r="T187" s="866"/>
      <c r="U187" s="866"/>
      <c r="V187" s="866"/>
      <c r="W187" s="866"/>
      <c r="X187" s="866"/>
      <c r="Y187" s="866"/>
      <c r="Z187" s="866"/>
      <c r="AA187" s="866"/>
      <c r="AB187" s="866"/>
      <c r="AC187" s="866"/>
      <c r="AD187" s="866"/>
      <c r="AE187" s="866"/>
      <c r="AF187" s="866"/>
      <c r="AG187" s="866"/>
      <c r="AH187" s="185"/>
      <c r="AI187" s="185"/>
      <c r="AJ187" s="866"/>
      <c r="AK187" s="866"/>
      <c r="AL187" s="866"/>
      <c r="AM187" s="866"/>
      <c r="AN187" s="866"/>
      <c r="AO187" s="866"/>
      <c r="AP187" s="866"/>
      <c r="AQ187" s="866"/>
      <c r="AR187" s="866"/>
      <c r="AS187" s="866"/>
      <c r="AT187" s="185"/>
      <c r="AU187" s="185"/>
      <c r="AV187" s="185"/>
      <c r="AW187" s="185"/>
      <c r="AX187" s="185"/>
      <c r="AY187" s="185"/>
      <c r="AZ187" s="185"/>
      <c r="BA187" s="185"/>
      <c r="BB187" s="185"/>
      <c r="BC187" s="185"/>
      <c r="BD187" s="185"/>
      <c r="BE187" s="185"/>
      <c r="BF187" s="185"/>
      <c r="BG187" s="185"/>
      <c r="BH187" s="185"/>
      <c r="BI187" s="185"/>
      <c r="BJ187" s="185"/>
      <c r="BK187" s="185"/>
      <c r="BL187" s="186"/>
      <c r="BM187" s="186"/>
      <c r="BN187" s="186"/>
      <c r="BO187" s="186"/>
      <c r="BP187" s="186"/>
      <c r="BQ187" s="186"/>
      <c r="BR187" s="186"/>
      <c r="BS187" s="186"/>
      <c r="BT187" s="186"/>
      <c r="BU187" s="186"/>
      <c r="BV187" s="186"/>
      <c r="BW187" s="186"/>
      <c r="BX187" s="186"/>
      <c r="BY187" s="186"/>
      <c r="BZ187" s="186"/>
      <c r="CA187" s="186"/>
      <c r="CB187" s="186"/>
      <c r="CC187" s="186"/>
      <c r="CD187" s="186"/>
      <c r="CE187" s="186"/>
      <c r="CF187" s="186"/>
      <c r="CG187" s="186"/>
    </row>
    <row r="188" spans="1:85" ht="15.75">
      <c r="A188" s="185"/>
      <c r="B188" s="866"/>
      <c r="C188" s="866"/>
      <c r="D188" s="866"/>
      <c r="E188" s="866"/>
      <c r="F188" s="866"/>
      <c r="G188" s="866"/>
      <c r="H188" s="866"/>
      <c r="I188" s="866"/>
      <c r="J188" s="866"/>
      <c r="K188" s="185"/>
      <c r="L188" s="185"/>
      <c r="M188" s="185"/>
      <c r="N188" s="185"/>
      <c r="O188" s="866"/>
      <c r="P188" s="866"/>
      <c r="Q188" s="866"/>
      <c r="R188" s="866"/>
      <c r="S188" s="866"/>
      <c r="T188" s="866"/>
      <c r="U188" s="866"/>
      <c r="V188" s="866"/>
      <c r="W188" s="866"/>
      <c r="X188" s="866"/>
      <c r="Y188" s="866"/>
      <c r="Z188" s="866"/>
      <c r="AA188" s="866"/>
      <c r="AB188" s="866"/>
      <c r="AC188" s="866"/>
      <c r="AD188" s="866"/>
      <c r="AE188" s="866"/>
      <c r="AF188" s="866"/>
      <c r="AG188" s="866"/>
      <c r="AH188" s="185"/>
      <c r="AI188" s="185"/>
      <c r="AJ188" s="866"/>
      <c r="AK188" s="866"/>
      <c r="AL188" s="866"/>
      <c r="AM188" s="866"/>
      <c r="AN188" s="866"/>
      <c r="AO188" s="866"/>
      <c r="AP188" s="866"/>
      <c r="AQ188" s="866"/>
      <c r="AR188" s="866"/>
      <c r="AS188" s="866"/>
      <c r="AT188" s="185"/>
      <c r="AU188" s="185"/>
      <c r="AV188" s="185"/>
      <c r="AW188" s="185"/>
      <c r="AX188" s="185"/>
      <c r="AY188" s="185"/>
      <c r="AZ188" s="185"/>
      <c r="BA188" s="185"/>
      <c r="BB188" s="185"/>
      <c r="BC188" s="185"/>
      <c r="BD188" s="185"/>
      <c r="BE188" s="185"/>
      <c r="BF188" s="185"/>
      <c r="BG188" s="185"/>
      <c r="BH188" s="185"/>
      <c r="BI188" s="185"/>
      <c r="BJ188" s="185"/>
      <c r="BK188" s="185"/>
      <c r="BL188" s="186"/>
      <c r="BM188" s="186"/>
      <c r="BN188" s="186"/>
      <c r="BO188" s="186"/>
      <c r="BP188" s="186"/>
      <c r="BQ188" s="186"/>
      <c r="BR188" s="186"/>
      <c r="BS188" s="186"/>
      <c r="BT188" s="186"/>
      <c r="BU188" s="186"/>
      <c r="BV188" s="186"/>
      <c r="BW188" s="186"/>
      <c r="BX188" s="186"/>
      <c r="BY188" s="186"/>
      <c r="BZ188" s="186"/>
      <c r="CA188" s="186"/>
      <c r="CB188" s="186"/>
      <c r="CC188" s="186"/>
      <c r="CD188" s="186"/>
      <c r="CE188" s="186"/>
      <c r="CF188" s="186"/>
      <c r="CG188" s="186"/>
    </row>
    <row r="189" spans="1:85" ht="15.75">
      <c r="A189" s="185"/>
      <c r="B189" s="866"/>
      <c r="C189" s="866"/>
      <c r="D189" s="866"/>
      <c r="E189" s="866"/>
      <c r="F189" s="866"/>
      <c r="G189" s="866"/>
      <c r="H189" s="866"/>
      <c r="I189" s="866"/>
      <c r="J189" s="866"/>
      <c r="K189" s="185"/>
      <c r="L189" s="185"/>
      <c r="M189" s="185"/>
      <c r="N189" s="185"/>
      <c r="O189" s="866"/>
      <c r="P189" s="866"/>
      <c r="Q189" s="866"/>
      <c r="R189" s="866"/>
      <c r="S189" s="866"/>
      <c r="T189" s="866"/>
      <c r="U189" s="866"/>
      <c r="V189" s="866"/>
      <c r="W189" s="866"/>
      <c r="X189" s="866"/>
      <c r="Y189" s="866"/>
      <c r="Z189" s="866"/>
      <c r="AA189" s="866"/>
      <c r="AB189" s="866"/>
      <c r="AC189" s="866"/>
      <c r="AD189" s="866"/>
      <c r="AE189" s="866"/>
      <c r="AF189" s="866"/>
      <c r="AG189" s="866"/>
      <c r="AH189" s="185"/>
      <c r="AI189" s="185"/>
      <c r="AJ189" s="866"/>
      <c r="AK189" s="866"/>
      <c r="AL189" s="866"/>
      <c r="AM189" s="866"/>
      <c r="AN189" s="866"/>
      <c r="AO189" s="866"/>
      <c r="AP189" s="866"/>
      <c r="AQ189" s="866"/>
      <c r="AR189" s="866"/>
      <c r="AS189" s="866"/>
      <c r="AT189" s="185"/>
      <c r="AU189" s="185"/>
      <c r="AV189" s="185"/>
      <c r="AW189" s="185"/>
      <c r="AX189" s="185"/>
      <c r="AY189" s="185"/>
      <c r="AZ189" s="185"/>
      <c r="BA189" s="185"/>
      <c r="BB189" s="185"/>
      <c r="BC189" s="185"/>
      <c r="BD189" s="185"/>
      <c r="BE189" s="185"/>
      <c r="BF189" s="185"/>
      <c r="BG189" s="185"/>
      <c r="BH189" s="185"/>
      <c r="BI189" s="185"/>
      <c r="BJ189" s="185"/>
      <c r="BK189" s="185"/>
      <c r="BL189" s="186"/>
      <c r="BM189" s="186"/>
      <c r="BN189" s="186"/>
      <c r="BO189" s="186"/>
      <c r="BP189" s="186"/>
      <c r="BQ189" s="186"/>
      <c r="BR189" s="186"/>
      <c r="BS189" s="186"/>
      <c r="BT189" s="186"/>
      <c r="BU189" s="186"/>
      <c r="BV189" s="186"/>
      <c r="BW189" s="186"/>
      <c r="BX189" s="186"/>
      <c r="BY189" s="186"/>
      <c r="BZ189" s="186"/>
      <c r="CA189" s="186"/>
      <c r="CB189" s="186"/>
      <c r="CC189" s="186"/>
      <c r="CD189" s="186"/>
      <c r="CE189" s="186"/>
      <c r="CF189" s="186"/>
      <c r="CG189" s="186"/>
    </row>
    <row r="190" spans="1:85" ht="15.75">
      <c r="A190" s="185"/>
      <c r="B190" s="866"/>
      <c r="C190" s="866"/>
      <c r="D190" s="866"/>
      <c r="E190" s="866"/>
      <c r="F190" s="866"/>
      <c r="G190" s="866"/>
      <c r="H190" s="866"/>
      <c r="I190" s="866"/>
      <c r="J190" s="866"/>
      <c r="K190" s="185"/>
      <c r="L190" s="185"/>
      <c r="M190" s="185"/>
      <c r="N190" s="185"/>
      <c r="O190" s="866"/>
      <c r="P190" s="866"/>
      <c r="Q190" s="866"/>
      <c r="R190" s="866"/>
      <c r="S190" s="866"/>
      <c r="T190" s="866"/>
      <c r="U190" s="866"/>
      <c r="V190" s="866"/>
      <c r="W190" s="866"/>
      <c r="X190" s="866"/>
      <c r="Y190" s="866"/>
      <c r="Z190" s="866"/>
      <c r="AA190" s="866"/>
      <c r="AB190" s="866"/>
      <c r="AC190" s="866"/>
      <c r="AD190" s="866"/>
      <c r="AE190" s="866"/>
      <c r="AF190" s="866"/>
      <c r="AG190" s="866"/>
      <c r="AH190" s="185"/>
      <c r="AI190" s="185"/>
      <c r="AJ190" s="866"/>
      <c r="AK190" s="866"/>
      <c r="AL190" s="866"/>
      <c r="AM190" s="866"/>
      <c r="AN190" s="866"/>
      <c r="AO190" s="866"/>
      <c r="AP190" s="866"/>
      <c r="AQ190" s="866"/>
      <c r="AR190" s="866"/>
      <c r="AS190" s="866"/>
      <c r="AT190" s="185"/>
      <c r="AU190" s="185"/>
      <c r="AV190" s="185"/>
      <c r="AW190" s="185"/>
      <c r="AX190" s="185"/>
      <c r="AY190" s="185"/>
      <c r="AZ190" s="185"/>
      <c r="BA190" s="185"/>
      <c r="BB190" s="185"/>
      <c r="BC190" s="185"/>
      <c r="BD190" s="185"/>
      <c r="BE190" s="185"/>
      <c r="BF190" s="185"/>
      <c r="BG190" s="185"/>
      <c r="BH190" s="185"/>
      <c r="BI190" s="185"/>
      <c r="BJ190" s="185"/>
      <c r="BK190" s="185"/>
      <c r="BL190" s="186"/>
      <c r="BM190" s="186"/>
      <c r="BN190" s="186"/>
      <c r="BO190" s="186"/>
      <c r="BP190" s="186"/>
      <c r="BQ190" s="186"/>
      <c r="BR190" s="186"/>
      <c r="BS190" s="186"/>
      <c r="BT190" s="186"/>
      <c r="BU190" s="186"/>
      <c r="BV190" s="186"/>
      <c r="BW190" s="186"/>
      <c r="BX190" s="186"/>
      <c r="BY190" s="186"/>
      <c r="BZ190" s="186"/>
      <c r="CA190" s="186"/>
      <c r="CB190" s="186"/>
      <c r="CC190" s="186"/>
      <c r="CD190" s="186"/>
      <c r="CE190" s="186"/>
      <c r="CF190" s="186"/>
      <c r="CG190" s="186"/>
    </row>
    <row r="191" spans="1:85" ht="15.75">
      <c r="A191" s="185"/>
      <c r="B191" s="866"/>
      <c r="C191" s="866"/>
      <c r="D191" s="866"/>
      <c r="E191" s="866"/>
      <c r="F191" s="866"/>
      <c r="G191" s="866"/>
      <c r="H191" s="866"/>
      <c r="I191" s="866"/>
      <c r="J191" s="866"/>
      <c r="K191" s="185"/>
      <c r="L191" s="185"/>
      <c r="M191" s="185"/>
      <c r="N191" s="185"/>
      <c r="O191" s="866"/>
      <c r="P191" s="866"/>
      <c r="Q191" s="866"/>
      <c r="R191" s="866"/>
      <c r="S191" s="866"/>
      <c r="T191" s="866"/>
      <c r="U191" s="866"/>
      <c r="V191" s="866"/>
      <c r="W191" s="866"/>
      <c r="X191" s="866"/>
      <c r="Y191" s="866"/>
      <c r="Z191" s="866"/>
      <c r="AA191" s="866"/>
      <c r="AB191" s="866"/>
      <c r="AC191" s="866"/>
      <c r="AD191" s="866"/>
      <c r="AE191" s="866"/>
      <c r="AF191" s="866"/>
      <c r="AG191" s="866"/>
      <c r="AH191" s="185"/>
      <c r="AI191" s="185"/>
      <c r="AJ191" s="866"/>
      <c r="AK191" s="866"/>
      <c r="AL191" s="866"/>
      <c r="AM191" s="866"/>
      <c r="AN191" s="866"/>
      <c r="AO191" s="866"/>
      <c r="AP191" s="866"/>
      <c r="AQ191" s="866"/>
      <c r="AR191" s="866"/>
      <c r="AS191" s="866"/>
      <c r="AT191" s="185"/>
      <c r="AU191" s="185"/>
      <c r="AV191" s="185"/>
      <c r="AW191" s="185"/>
      <c r="AX191" s="185"/>
      <c r="AY191" s="185"/>
      <c r="AZ191" s="185"/>
      <c r="BA191" s="185"/>
      <c r="BB191" s="185"/>
      <c r="BC191" s="185"/>
      <c r="BD191" s="185"/>
      <c r="BE191" s="185"/>
      <c r="BF191" s="185"/>
      <c r="BG191" s="185"/>
      <c r="BH191" s="185"/>
      <c r="BI191" s="185"/>
      <c r="BJ191" s="185"/>
      <c r="BK191" s="185"/>
      <c r="BL191" s="186"/>
      <c r="BM191" s="186"/>
      <c r="BN191" s="186"/>
      <c r="BO191" s="186"/>
      <c r="BP191" s="186"/>
      <c r="BQ191" s="186"/>
      <c r="BR191" s="186"/>
      <c r="BS191" s="186"/>
      <c r="BT191" s="186"/>
      <c r="BU191" s="186"/>
      <c r="BV191" s="186"/>
      <c r="BW191" s="186"/>
      <c r="BX191" s="186"/>
      <c r="BY191" s="186"/>
      <c r="BZ191" s="186"/>
      <c r="CA191" s="186"/>
      <c r="CB191" s="186"/>
      <c r="CC191" s="186"/>
      <c r="CD191" s="186"/>
      <c r="CE191" s="186"/>
      <c r="CF191" s="186"/>
      <c r="CG191" s="186"/>
    </row>
    <row r="192" spans="1:85" ht="15.75">
      <c r="A192" s="185"/>
      <c r="B192" s="866"/>
      <c r="C192" s="866"/>
      <c r="D192" s="866"/>
      <c r="E192" s="866"/>
      <c r="F192" s="866"/>
      <c r="G192" s="866"/>
      <c r="H192" s="866"/>
      <c r="I192" s="866"/>
      <c r="J192" s="866"/>
      <c r="K192" s="185"/>
      <c r="L192" s="185"/>
      <c r="M192" s="185"/>
      <c r="N192" s="185"/>
      <c r="O192" s="866"/>
      <c r="P192" s="866"/>
      <c r="Q192" s="866"/>
      <c r="R192" s="866"/>
      <c r="S192" s="866"/>
      <c r="T192" s="866"/>
      <c r="U192" s="866"/>
      <c r="V192" s="866"/>
      <c r="W192" s="866"/>
      <c r="X192" s="866"/>
      <c r="Y192" s="866"/>
      <c r="Z192" s="866"/>
      <c r="AA192" s="866"/>
      <c r="AB192" s="866"/>
      <c r="AC192" s="866"/>
      <c r="AD192" s="866"/>
      <c r="AE192" s="866"/>
      <c r="AF192" s="866"/>
      <c r="AG192" s="866"/>
      <c r="AH192" s="185"/>
      <c r="AI192" s="185"/>
      <c r="AJ192" s="866"/>
      <c r="AK192" s="866"/>
      <c r="AL192" s="866"/>
      <c r="AM192" s="866"/>
      <c r="AN192" s="866"/>
      <c r="AO192" s="866"/>
      <c r="AP192" s="866"/>
      <c r="AQ192" s="866"/>
      <c r="AR192" s="866"/>
      <c r="AS192" s="866"/>
      <c r="AT192" s="185"/>
      <c r="AU192" s="185"/>
      <c r="AV192" s="185"/>
      <c r="AW192" s="185"/>
      <c r="AX192" s="185"/>
      <c r="AY192" s="185"/>
      <c r="AZ192" s="185"/>
      <c r="BA192" s="185"/>
      <c r="BB192" s="185"/>
      <c r="BC192" s="185"/>
      <c r="BD192" s="185"/>
      <c r="BE192" s="185"/>
      <c r="BF192" s="185"/>
      <c r="BG192" s="185"/>
      <c r="BH192" s="185"/>
      <c r="BI192" s="185"/>
      <c r="BJ192" s="185"/>
      <c r="BK192" s="185"/>
      <c r="BL192" s="186"/>
      <c r="BM192" s="186"/>
      <c r="BN192" s="186"/>
      <c r="BO192" s="186"/>
      <c r="BP192" s="186"/>
      <c r="BQ192" s="186"/>
      <c r="BR192" s="186"/>
      <c r="BS192" s="186"/>
      <c r="BT192" s="186"/>
      <c r="BU192" s="186"/>
      <c r="BV192" s="186"/>
      <c r="BW192" s="186"/>
      <c r="BX192" s="186"/>
      <c r="BY192" s="186"/>
      <c r="BZ192" s="186"/>
      <c r="CA192" s="186"/>
      <c r="CB192" s="186"/>
      <c r="CC192" s="186"/>
      <c r="CD192" s="186"/>
      <c r="CE192" s="186"/>
      <c r="CF192" s="186"/>
      <c r="CG192" s="186"/>
    </row>
    <row r="193" spans="1:85" ht="15.75">
      <c r="A193" s="185"/>
      <c r="B193" s="866"/>
      <c r="C193" s="866"/>
      <c r="D193" s="866"/>
      <c r="E193" s="866"/>
      <c r="F193" s="866"/>
      <c r="G193" s="866"/>
      <c r="H193" s="866"/>
      <c r="I193" s="866"/>
      <c r="J193" s="866"/>
      <c r="K193" s="185"/>
      <c r="L193" s="185"/>
      <c r="M193" s="185"/>
      <c r="N193" s="185"/>
      <c r="O193" s="866"/>
      <c r="P193" s="866"/>
      <c r="Q193" s="866"/>
      <c r="R193" s="866"/>
      <c r="S193" s="866"/>
      <c r="T193" s="866"/>
      <c r="U193" s="866"/>
      <c r="V193" s="866"/>
      <c r="W193" s="866"/>
      <c r="X193" s="866"/>
      <c r="Y193" s="866"/>
      <c r="Z193" s="866"/>
      <c r="AA193" s="866"/>
      <c r="AB193" s="866"/>
      <c r="AC193" s="866"/>
      <c r="AD193" s="866"/>
      <c r="AE193" s="866"/>
      <c r="AF193" s="866"/>
      <c r="AG193" s="866"/>
      <c r="AH193" s="185"/>
      <c r="AI193" s="185"/>
      <c r="AJ193" s="866"/>
      <c r="AK193" s="866"/>
      <c r="AL193" s="866"/>
      <c r="AM193" s="866"/>
      <c r="AN193" s="866"/>
      <c r="AO193" s="866"/>
      <c r="AP193" s="866"/>
      <c r="AQ193" s="866"/>
      <c r="AR193" s="866"/>
      <c r="AS193" s="866"/>
      <c r="AT193" s="185"/>
      <c r="AU193" s="185"/>
      <c r="AV193" s="185"/>
      <c r="AW193" s="185"/>
      <c r="AX193" s="185"/>
      <c r="AY193" s="185"/>
      <c r="AZ193" s="185"/>
      <c r="BA193" s="185"/>
      <c r="BB193" s="185"/>
      <c r="BC193" s="185"/>
      <c r="BD193" s="185"/>
      <c r="BE193" s="185"/>
      <c r="BF193" s="185"/>
      <c r="BG193" s="185"/>
      <c r="BH193" s="185"/>
      <c r="BI193" s="185"/>
      <c r="BJ193" s="185"/>
      <c r="BK193" s="185"/>
      <c r="BL193" s="186"/>
      <c r="BM193" s="186"/>
      <c r="BN193" s="186"/>
      <c r="BO193" s="186"/>
      <c r="BP193" s="186"/>
      <c r="BQ193" s="186"/>
      <c r="BR193" s="186"/>
      <c r="BS193" s="186"/>
      <c r="BT193" s="186"/>
      <c r="BU193" s="186"/>
      <c r="BV193" s="186"/>
      <c r="BW193" s="186"/>
      <c r="BX193" s="186"/>
      <c r="BY193" s="186"/>
      <c r="BZ193" s="186"/>
      <c r="CA193" s="186"/>
      <c r="CB193" s="186"/>
      <c r="CC193" s="186"/>
      <c r="CD193" s="186"/>
      <c r="CE193" s="186"/>
      <c r="CF193" s="186"/>
      <c r="CG193" s="186"/>
    </row>
    <row r="194" spans="1:85" ht="15.75">
      <c r="A194" s="185"/>
      <c r="B194" s="866"/>
      <c r="C194" s="866"/>
      <c r="D194" s="866"/>
      <c r="E194" s="866"/>
      <c r="F194" s="866"/>
      <c r="G194" s="866"/>
      <c r="H194" s="866"/>
      <c r="I194" s="866"/>
      <c r="J194" s="866"/>
      <c r="K194" s="185"/>
      <c r="L194" s="185"/>
      <c r="M194" s="185"/>
      <c r="N194" s="185"/>
      <c r="O194" s="866"/>
      <c r="P194" s="866"/>
      <c r="Q194" s="866"/>
      <c r="R194" s="866"/>
      <c r="S194" s="866"/>
      <c r="T194" s="866"/>
      <c r="U194" s="866"/>
      <c r="V194" s="866"/>
      <c r="W194" s="866"/>
      <c r="X194" s="866"/>
      <c r="Y194" s="866"/>
      <c r="Z194" s="866"/>
      <c r="AA194" s="866"/>
      <c r="AB194" s="866"/>
      <c r="AC194" s="866"/>
      <c r="AD194" s="866"/>
      <c r="AE194" s="866"/>
      <c r="AF194" s="866"/>
      <c r="AG194" s="866"/>
      <c r="AH194" s="185"/>
      <c r="AI194" s="185"/>
      <c r="AJ194" s="866"/>
      <c r="AK194" s="866"/>
      <c r="AL194" s="866"/>
      <c r="AM194" s="866"/>
      <c r="AN194" s="866"/>
      <c r="AO194" s="866"/>
      <c r="AP194" s="866"/>
      <c r="AQ194" s="866"/>
      <c r="AR194" s="866"/>
      <c r="AS194" s="866"/>
      <c r="AT194" s="185"/>
      <c r="AU194" s="185"/>
      <c r="AV194" s="185"/>
      <c r="AW194" s="185"/>
      <c r="AX194" s="185"/>
      <c r="AY194" s="185"/>
      <c r="AZ194" s="185"/>
      <c r="BA194" s="185"/>
      <c r="BB194" s="185"/>
      <c r="BC194" s="185"/>
      <c r="BD194" s="185"/>
      <c r="BE194" s="185"/>
      <c r="BF194" s="185"/>
      <c r="BG194" s="185"/>
      <c r="BH194" s="185"/>
      <c r="BI194" s="185"/>
      <c r="BJ194" s="185"/>
      <c r="BK194" s="185"/>
      <c r="BL194" s="186"/>
      <c r="BM194" s="186"/>
      <c r="BN194" s="186"/>
      <c r="BO194" s="186"/>
      <c r="BP194" s="186"/>
      <c r="BQ194" s="186"/>
      <c r="BR194" s="186"/>
      <c r="BS194" s="186"/>
      <c r="BT194" s="186"/>
      <c r="BU194" s="186"/>
      <c r="BV194" s="186"/>
      <c r="BW194" s="186"/>
      <c r="BX194" s="186"/>
      <c r="BY194" s="186"/>
      <c r="BZ194" s="186"/>
      <c r="CA194" s="186"/>
      <c r="CB194" s="186"/>
      <c r="CC194" s="186"/>
      <c r="CD194" s="186"/>
      <c r="CE194" s="186"/>
      <c r="CF194" s="186"/>
      <c r="CG194" s="186"/>
    </row>
    <row r="195" spans="1:85" ht="15.75">
      <c r="A195" s="185"/>
      <c r="B195" s="866"/>
      <c r="C195" s="866"/>
      <c r="D195" s="866"/>
      <c r="E195" s="866"/>
      <c r="F195" s="866"/>
      <c r="G195" s="866"/>
      <c r="H195" s="866"/>
      <c r="I195" s="866"/>
      <c r="J195" s="866"/>
      <c r="K195" s="185"/>
      <c r="L195" s="185"/>
      <c r="M195" s="185"/>
      <c r="N195" s="185"/>
      <c r="O195" s="866"/>
      <c r="P195" s="866"/>
      <c r="Q195" s="866"/>
      <c r="R195" s="866"/>
      <c r="S195" s="866"/>
      <c r="T195" s="866"/>
      <c r="U195" s="866"/>
      <c r="V195" s="866"/>
      <c r="W195" s="866"/>
      <c r="X195" s="866"/>
      <c r="Y195" s="866"/>
      <c r="Z195" s="866"/>
      <c r="AA195" s="866"/>
      <c r="AB195" s="866"/>
      <c r="AC195" s="866"/>
      <c r="AD195" s="866"/>
      <c r="AE195" s="866"/>
      <c r="AF195" s="866"/>
      <c r="AG195" s="866"/>
      <c r="AH195" s="185"/>
      <c r="AI195" s="185"/>
      <c r="AJ195" s="866"/>
      <c r="AK195" s="866"/>
      <c r="AL195" s="866"/>
      <c r="AM195" s="866"/>
      <c r="AN195" s="866"/>
      <c r="AO195" s="866"/>
      <c r="AP195" s="866"/>
      <c r="AQ195" s="866"/>
      <c r="AR195" s="866"/>
      <c r="AS195" s="866"/>
      <c r="AT195" s="185"/>
      <c r="AU195" s="185"/>
      <c r="AV195" s="185"/>
      <c r="AW195" s="185"/>
      <c r="AX195" s="185"/>
      <c r="AY195" s="185"/>
      <c r="AZ195" s="185"/>
      <c r="BA195" s="185"/>
      <c r="BB195" s="185"/>
      <c r="BC195" s="185"/>
      <c r="BD195" s="185"/>
      <c r="BE195" s="185"/>
      <c r="BF195" s="185"/>
      <c r="BG195" s="185"/>
      <c r="BH195" s="185"/>
      <c r="BI195" s="185"/>
      <c r="BJ195" s="185"/>
      <c r="BK195" s="185"/>
      <c r="BL195" s="186"/>
      <c r="BM195" s="186"/>
      <c r="BN195" s="186"/>
      <c r="BO195" s="186"/>
      <c r="BP195" s="186"/>
      <c r="BQ195" s="186"/>
      <c r="BR195" s="186"/>
      <c r="BS195" s="186"/>
      <c r="BT195" s="186"/>
      <c r="BU195" s="186"/>
      <c r="BV195" s="186"/>
      <c r="BW195" s="186"/>
      <c r="BX195" s="186"/>
      <c r="BY195" s="186"/>
      <c r="BZ195" s="186"/>
      <c r="CA195" s="186"/>
      <c r="CB195" s="186"/>
      <c r="CC195" s="186"/>
      <c r="CD195" s="186"/>
      <c r="CE195" s="186"/>
      <c r="CF195" s="186"/>
      <c r="CG195" s="186"/>
    </row>
    <row r="196" spans="1:85" ht="15.75">
      <c r="A196" s="185"/>
      <c r="B196" s="866"/>
      <c r="C196" s="866"/>
      <c r="D196" s="866"/>
      <c r="E196" s="866"/>
      <c r="F196" s="866"/>
      <c r="G196" s="866"/>
      <c r="H196" s="866"/>
      <c r="I196" s="866"/>
      <c r="J196" s="866"/>
      <c r="K196" s="185"/>
      <c r="L196" s="185"/>
      <c r="M196" s="185"/>
      <c r="N196" s="185"/>
      <c r="O196" s="866"/>
      <c r="P196" s="866"/>
      <c r="Q196" s="866"/>
      <c r="R196" s="866"/>
      <c r="S196" s="866"/>
      <c r="T196" s="866"/>
      <c r="U196" s="866"/>
      <c r="V196" s="866"/>
      <c r="W196" s="866"/>
      <c r="X196" s="866"/>
      <c r="Y196" s="866"/>
      <c r="Z196" s="866"/>
      <c r="AA196" s="866"/>
      <c r="AB196" s="866"/>
      <c r="AC196" s="866"/>
      <c r="AD196" s="866"/>
      <c r="AE196" s="866"/>
      <c r="AF196" s="866"/>
      <c r="AG196" s="866"/>
      <c r="AH196" s="185"/>
      <c r="AI196" s="185"/>
      <c r="AJ196" s="866"/>
      <c r="AK196" s="866"/>
      <c r="AL196" s="866"/>
      <c r="AM196" s="866"/>
      <c r="AN196" s="866"/>
      <c r="AO196" s="866"/>
      <c r="AP196" s="866"/>
      <c r="AQ196" s="866"/>
      <c r="AR196" s="866"/>
      <c r="AS196" s="866"/>
      <c r="AT196" s="185"/>
      <c r="AU196" s="185"/>
      <c r="AV196" s="185"/>
      <c r="AW196" s="185"/>
      <c r="AX196" s="185"/>
      <c r="AY196" s="185"/>
      <c r="AZ196" s="185"/>
      <c r="BA196" s="185"/>
      <c r="BB196" s="185"/>
      <c r="BC196" s="185"/>
      <c r="BD196" s="185"/>
      <c r="BE196" s="185"/>
      <c r="BF196" s="185"/>
      <c r="BG196" s="185"/>
      <c r="BH196" s="185"/>
      <c r="BI196" s="185"/>
      <c r="BJ196" s="185"/>
      <c r="BK196" s="185"/>
      <c r="BL196" s="186"/>
      <c r="BM196" s="186"/>
      <c r="BN196" s="186"/>
      <c r="BO196" s="186"/>
      <c r="BP196" s="186"/>
      <c r="BQ196" s="186"/>
      <c r="BR196" s="186"/>
      <c r="BS196" s="186"/>
      <c r="BT196" s="186"/>
      <c r="BU196" s="186"/>
      <c r="BV196" s="186"/>
      <c r="BW196" s="186"/>
      <c r="BX196" s="186"/>
      <c r="BY196" s="186"/>
      <c r="BZ196" s="186"/>
      <c r="CA196" s="186"/>
      <c r="CB196" s="186"/>
      <c r="CC196" s="186"/>
      <c r="CD196" s="186"/>
      <c r="CE196" s="186"/>
      <c r="CF196" s="186"/>
      <c r="CG196" s="186"/>
    </row>
    <row r="197" spans="1:85" ht="15.75">
      <c r="A197" s="185"/>
      <c r="B197" s="866"/>
      <c r="C197" s="866"/>
      <c r="D197" s="866"/>
      <c r="E197" s="866"/>
      <c r="F197" s="866"/>
      <c r="G197" s="866"/>
      <c r="H197" s="866"/>
      <c r="I197" s="866"/>
      <c r="J197" s="866"/>
      <c r="K197" s="185"/>
      <c r="L197" s="185"/>
      <c r="M197" s="185"/>
      <c r="N197" s="185"/>
      <c r="O197" s="866"/>
      <c r="P197" s="866"/>
      <c r="Q197" s="866"/>
      <c r="R197" s="866"/>
      <c r="S197" s="866"/>
      <c r="T197" s="866"/>
      <c r="U197" s="866"/>
      <c r="V197" s="866"/>
      <c r="W197" s="866"/>
      <c r="X197" s="866"/>
      <c r="Y197" s="866"/>
      <c r="Z197" s="866"/>
      <c r="AA197" s="866"/>
      <c r="AB197" s="866"/>
      <c r="AC197" s="866"/>
      <c r="AD197" s="866"/>
      <c r="AE197" s="866"/>
      <c r="AF197" s="866"/>
      <c r="AG197" s="866"/>
      <c r="AH197" s="185"/>
      <c r="AI197" s="185"/>
      <c r="AJ197" s="866"/>
      <c r="AK197" s="866"/>
      <c r="AL197" s="866"/>
      <c r="AM197" s="866"/>
      <c r="AN197" s="866"/>
      <c r="AO197" s="866"/>
      <c r="AP197" s="866"/>
      <c r="AQ197" s="866"/>
      <c r="AR197" s="866"/>
      <c r="AS197" s="866"/>
      <c r="AT197" s="185"/>
      <c r="AU197" s="185"/>
      <c r="AV197" s="185"/>
      <c r="AW197" s="185"/>
      <c r="AX197" s="185"/>
      <c r="AY197" s="185"/>
      <c r="AZ197" s="185"/>
      <c r="BA197" s="185"/>
      <c r="BB197" s="185"/>
      <c r="BC197" s="185"/>
      <c r="BD197" s="185"/>
      <c r="BE197" s="185"/>
      <c r="BF197" s="185"/>
      <c r="BG197" s="185"/>
      <c r="BH197" s="185"/>
      <c r="BI197" s="185"/>
      <c r="BJ197" s="185"/>
      <c r="BK197" s="185"/>
      <c r="BL197" s="186"/>
      <c r="BM197" s="186"/>
      <c r="BN197" s="186"/>
      <c r="BO197" s="186"/>
      <c r="BP197" s="186"/>
      <c r="BQ197" s="186"/>
      <c r="BR197" s="186"/>
      <c r="BS197" s="186"/>
      <c r="BT197" s="186"/>
      <c r="BU197" s="186"/>
      <c r="BV197" s="186"/>
      <c r="BW197" s="186"/>
      <c r="BX197" s="186"/>
      <c r="BY197" s="186"/>
      <c r="BZ197" s="186"/>
      <c r="CA197" s="186"/>
      <c r="CB197" s="186"/>
      <c r="CC197" s="186"/>
      <c r="CD197" s="186"/>
      <c r="CE197" s="186"/>
      <c r="CF197" s="186"/>
      <c r="CG197" s="186"/>
    </row>
    <row r="198" spans="1:85" ht="15.75">
      <c r="A198" s="185"/>
      <c r="B198" s="866"/>
      <c r="C198" s="866"/>
      <c r="D198" s="866"/>
      <c r="E198" s="866"/>
      <c r="F198" s="866"/>
      <c r="G198" s="866"/>
      <c r="H198" s="866"/>
      <c r="I198" s="866"/>
      <c r="J198" s="866"/>
      <c r="K198" s="185"/>
      <c r="L198" s="185"/>
      <c r="M198" s="185"/>
      <c r="N198" s="185"/>
      <c r="O198" s="866"/>
      <c r="P198" s="866"/>
      <c r="Q198" s="866"/>
      <c r="R198" s="866"/>
      <c r="S198" s="866"/>
      <c r="T198" s="866"/>
      <c r="U198" s="866"/>
      <c r="V198" s="866"/>
      <c r="W198" s="866"/>
      <c r="X198" s="866"/>
      <c r="Y198" s="866"/>
      <c r="Z198" s="866"/>
      <c r="AA198" s="866"/>
      <c r="AB198" s="866"/>
      <c r="AC198" s="866"/>
      <c r="AD198" s="866"/>
      <c r="AE198" s="866"/>
      <c r="AF198" s="866"/>
      <c r="AG198" s="866"/>
      <c r="AH198" s="185"/>
      <c r="AI198" s="185"/>
      <c r="AJ198" s="866"/>
      <c r="AK198" s="866"/>
      <c r="AL198" s="866"/>
      <c r="AM198" s="866"/>
      <c r="AN198" s="866"/>
      <c r="AO198" s="866"/>
      <c r="AP198" s="866"/>
      <c r="AQ198" s="866"/>
      <c r="AR198" s="866"/>
      <c r="AS198" s="866"/>
      <c r="AT198" s="185"/>
      <c r="AU198" s="185"/>
      <c r="AV198" s="185"/>
      <c r="AW198" s="185"/>
      <c r="AX198" s="185"/>
      <c r="AY198" s="185"/>
      <c r="AZ198" s="185"/>
      <c r="BA198" s="185"/>
      <c r="BB198" s="185"/>
      <c r="BC198" s="185"/>
      <c r="BD198" s="185"/>
      <c r="BE198" s="185"/>
      <c r="BF198" s="185"/>
      <c r="BG198" s="185"/>
      <c r="BH198" s="185"/>
      <c r="BI198" s="185"/>
      <c r="BJ198" s="185"/>
      <c r="BK198" s="185"/>
      <c r="BL198" s="186"/>
      <c r="BM198" s="186"/>
      <c r="BN198" s="186"/>
      <c r="BO198" s="186"/>
      <c r="BP198" s="186"/>
      <c r="BQ198" s="186"/>
      <c r="BR198" s="186"/>
      <c r="BS198" s="186"/>
      <c r="BT198" s="186"/>
      <c r="BU198" s="186"/>
      <c r="BV198" s="186"/>
      <c r="BW198" s="186"/>
      <c r="BX198" s="186"/>
      <c r="BY198" s="186"/>
      <c r="BZ198" s="186"/>
      <c r="CA198" s="186"/>
      <c r="CB198" s="186"/>
      <c r="CC198" s="186"/>
      <c r="CD198" s="186"/>
      <c r="CE198" s="186"/>
      <c r="CF198" s="186"/>
      <c r="CG198" s="186"/>
    </row>
    <row r="199" spans="1:85" ht="15.75">
      <c r="A199" s="185"/>
      <c r="B199" s="866"/>
      <c r="C199" s="866"/>
      <c r="D199" s="866"/>
      <c r="E199" s="866"/>
      <c r="F199" s="866"/>
      <c r="G199" s="866"/>
      <c r="H199" s="866"/>
      <c r="I199" s="866"/>
      <c r="J199" s="866"/>
      <c r="K199" s="185"/>
      <c r="L199" s="185"/>
      <c r="M199" s="185"/>
      <c r="N199" s="185"/>
      <c r="O199" s="866"/>
      <c r="P199" s="866"/>
      <c r="Q199" s="866"/>
      <c r="R199" s="866"/>
      <c r="S199" s="866"/>
      <c r="T199" s="866"/>
      <c r="U199" s="866"/>
      <c r="V199" s="866"/>
      <c r="W199" s="866"/>
      <c r="X199" s="866"/>
      <c r="Y199" s="866"/>
      <c r="Z199" s="866"/>
      <c r="AA199" s="866"/>
      <c r="AB199" s="866"/>
      <c r="AC199" s="866"/>
      <c r="AD199" s="866"/>
      <c r="AE199" s="866"/>
      <c r="AF199" s="866"/>
      <c r="AG199" s="866"/>
      <c r="AH199" s="185"/>
      <c r="AI199" s="185"/>
      <c r="AJ199" s="866"/>
      <c r="AK199" s="866"/>
      <c r="AL199" s="866"/>
      <c r="AM199" s="866"/>
      <c r="AN199" s="866"/>
      <c r="AO199" s="866"/>
      <c r="AP199" s="866"/>
      <c r="AQ199" s="866"/>
      <c r="AR199" s="866"/>
      <c r="AS199" s="866"/>
      <c r="AT199" s="185"/>
      <c r="AU199" s="185"/>
      <c r="AV199" s="185"/>
      <c r="AW199" s="185"/>
      <c r="AX199" s="185"/>
      <c r="AY199" s="185"/>
      <c r="AZ199" s="185"/>
      <c r="BA199" s="185"/>
      <c r="BB199" s="185"/>
      <c r="BC199" s="185"/>
      <c r="BD199" s="185"/>
      <c r="BE199" s="185"/>
      <c r="BF199" s="185"/>
      <c r="BG199" s="185"/>
      <c r="BH199" s="185"/>
      <c r="BI199" s="185"/>
      <c r="BJ199" s="185"/>
      <c r="BK199" s="185"/>
      <c r="BL199" s="186"/>
      <c r="BM199" s="186"/>
      <c r="BN199" s="186"/>
      <c r="BO199" s="186"/>
      <c r="BP199" s="186"/>
      <c r="BQ199" s="186"/>
      <c r="BR199" s="186"/>
      <c r="BS199" s="186"/>
      <c r="BT199" s="186"/>
      <c r="BU199" s="186"/>
      <c r="BV199" s="186"/>
      <c r="BW199" s="186"/>
      <c r="BX199" s="186"/>
      <c r="BY199" s="186"/>
      <c r="BZ199" s="186"/>
      <c r="CA199" s="186"/>
      <c r="CB199" s="186"/>
      <c r="CC199" s="186"/>
      <c r="CD199" s="186"/>
      <c r="CE199" s="186"/>
      <c r="CF199" s="186"/>
      <c r="CG199" s="186"/>
    </row>
    <row r="200" spans="1:85" ht="15.75">
      <c r="A200" s="185"/>
      <c r="B200" s="866"/>
      <c r="C200" s="866"/>
      <c r="D200" s="866"/>
      <c r="E200" s="866"/>
      <c r="F200" s="866"/>
      <c r="G200" s="866"/>
      <c r="H200" s="866"/>
      <c r="I200" s="866"/>
      <c r="J200" s="866"/>
      <c r="K200" s="185"/>
      <c r="L200" s="185"/>
      <c r="M200" s="185"/>
      <c r="N200" s="185"/>
      <c r="O200" s="866"/>
      <c r="P200" s="866"/>
      <c r="Q200" s="866"/>
      <c r="R200" s="866"/>
      <c r="S200" s="866"/>
      <c r="T200" s="866"/>
      <c r="U200" s="866"/>
      <c r="V200" s="866"/>
      <c r="W200" s="866"/>
      <c r="X200" s="866"/>
      <c r="Y200" s="866"/>
      <c r="Z200" s="866"/>
      <c r="AA200" s="866"/>
      <c r="AB200" s="866"/>
      <c r="AC200" s="866"/>
      <c r="AD200" s="866"/>
      <c r="AE200" s="866"/>
      <c r="AF200" s="866"/>
      <c r="AG200" s="866"/>
      <c r="AH200" s="185"/>
      <c r="AI200" s="185"/>
      <c r="AJ200" s="866"/>
      <c r="AK200" s="866"/>
      <c r="AL200" s="866"/>
      <c r="AM200" s="866"/>
      <c r="AN200" s="866"/>
      <c r="AO200" s="866"/>
      <c r="AP200" s="866"/>
      <c r="AQ200" s="866"/>
      <c r="AR200" s="866"/>
      <c r="AS200" s="866"/>
      <c r="AT200" s="185"/>
      <c r="AU200" s="185"/>
      <c r="AV200" s="185"/>
      <c r="AW200" s="185"/>
      <c r="AX200" s="185"/>
      <c r="AY200" s="185"/>
      <c r="AZ200" s="185"/>
      <c r="BA200" s="185"/>
      <c r="BB200" s="185"/>
      <c r="BC200" s="185"/>
      <c r="BD200" s="185"/>
      <c r="BE200" s="185"/>
      <c r="BF200" s="185"/>
      <c r="BG200" s="185"/>
      <c r="BH200" s="185"/>
      <c r="BI200" s="185"/>
      <c r="BJ200" s="185"/>
      <c r="BK200" s="185"/>
      <c r="BL200" s="186"/>
      <c r="BM200" s="186"/>
      <c r="BN200" s="186"/>
      <c r="BO200" s="186"/>
      <c r="BP200" s="186"/>
      <c r="BQ200" s="186"/>
      <c r="BR200" s="186"/>
      <c r="BS200" s="186"/>
      <c r="BT200" s="186"/>
      <c r="BU200" s="186"/>
      <c r="BV200" s="186"/>
      <c r="BW200" s="186"/>
      <c r="BX200" s="186"/>
      <c r="BY200" s="186"/>
      <c r="BZ200" s="186"/>
      <c r="CA200" s="186"/>
      <c r="CB200" s="186"/>
      <c r="CC200" s="186"/>
      <c r="CD200" s="186"/>
      <c r="CE200" s="186"/>
      <c r="CF200" s="186"/>
      <c r="CG200" s="186"/>
    </row>
    <row r="201" spans="1:85" ht="15.75">
      <c r="A201" s="185"/>
      <c r="B201" s="866"/>
      <c r="C201" s="866"/>
      <c r="D201" s="866"/>
      <c r="E201" s="866"/>
      <c r="F201" s="866"/>
      <c r="G201" s="866"/>
      <c r="H201" s="866"/>
      <c r="I201" s="866"/>
      <c r="J201" s="866"/>
      <c r="K201" s="185"/>
      <c r="L201" s="185"/>
      <c r="M201" s="185"/>
      <c r="N201" s="185"/>
      <c r="O201" s="866"/>
      <c r="P201" s="866"/>
      <c r="Q201" s="866"/>
      <c r="R201" s="866"/>
      <c r="S201" s="866"/>
      <c r="T201" s="866"/>
      <c r="U201" s="866"/>
      <c r="V201" s="866"/>
      <c r="W201" s="866"/>
      <c r="X201" s="866"/>
      <c r="Y201" s="866"/>
      <c r="Z201" s="866"/>
      <c r="AA201" s="866"/>
      <c r="AB201" s="866"/>
      <c r="AC201" s="866"/>
      <c r="AD201" s="866"/>
      <c r="AE201" s="866"/>
      <c r="AF201" s="866"/>
      <c r="AG201" s="866"/>
      <c r="AH201" s="185"/>
      <c r="AI201" s="185"/>
      <c r="AJ201" s="866"/>
      <c r="AK201" s="866"/>
      <c r="AL201" s="866"/>
      <c r="AM201" s="866"/>
      <c r="AN201" s="866"/>
      <c r="AO201" s="866"/>
      <c r="AP201" s="866"/>
      <c r="AQ201" s="866"/>
      <c r="AR201" s="866"/>
      <c r="AS201" s="866"/>
      <c r="AT201" s="185"/>
      <c r="AU201" s="185"/>
      <c r="AV201" s="185"/>
      <c r="AW201" s="185"/>
      <c r="AX201" s="185"/>
      <c r="AY201" s="185"/>
      <c r="AZ201" s="185"/>
      <c r="BA201" s="185"/>
      <c r="BB201" s="185"/>
      <c r="BC201" s="185"/>
      <c r="BD201" s="185"/>
      <c r="BE201" s="185"/>
      <c r="BF201" s="185"/>
      <c r="BG201" s="185"/>
      <c r="BH201" s="185"/>
      <c r="BI201" s="185"/>
      <c r="BJ201" s="185"/>
      <c r="BK201" s="185"/>
      <c r="BL201" s="186"/>
      <c r="BM201" s="186"/>
      <c r="BN201" s="186"/>
      <c r="BO201" s="186"/>
      <c r="BP201" s="186"/>
      <c r="BQ201" s="186"/>
      <c r="BR201" s="186"/>
      <c r="BS201" s="186"/>
      <c r="BT201" s="186"/>
      <c r="BU201" s="186"/>
      <c r="BV201" s="186"/>
      <c r="BW201" s="186"/>
      <c r="BX201" s="186"/>
      <c r="BY201" s="186"/>
      <c r="BZ201" s="186"/>
      <c r="CA201" s="186"/>
      <c r="CB201" s="186"/>
      <c r="CC201" s="186"/>
      <c r="CD201" s="186"/>
      <c r="CE201" s="186"/>
      <c r="CF201" s="186"/>
      <c r="CG201" s="186"/>
    </row>
    <row r="202" spans="1:85" ht="15.75">
      <c r="A202" s="185"/>
      <c r="B202" s="866"/>
      <c r="C202" s="866"/>
      <c r="D202" s="866"/>
      <c r="E202" s="866"/>
      <c r="F202" s="866"/>
      <c r="G202" s="866"/>
      <c r="H202" s="866"/>
      <c r="I202" s="866"/>
      <c r="J202" s="866"/>
      <c r="K202" s="185"/>
      <c r="L202" s="185"/>
      <c r="M202" s="185"/>
      <c r="N202" s="185"/>
      <c r="O202" s="866"/>
      <c r="P202" s="866"/>
      <c r="Q202" s="866"/>
      <c r="R202" s="866"/>
      <c r="S202" s="866"/>
      <c r="T202" s="866"/>
      <c r="U202" s="866"/>
      <c r="V202" s="866"/>
      <c r="W202" s="866"/>
      <c r="X202" s="866"/>
      <c r="Y202" s="866"/>
      <c r="Z202" s="866"/>
      <c r="AA202" s="866"/>
      <c r="AB202" s="866"/>
      <c r="AC202" s="866"/>
      <c r="AD202" s="866"/>
      <c r="AE202" s="866"/>
      <c r="AF202" s="866"/>
      <c r="AG202" s="866"/>
      <c r="AH202" s="185"/>
      <c r="AI202" s="185"/>
      <c r="AJ202" s="866"/>
      <c r="AK202" s="866"/>
      <c r="AL202" s="866"/>
      <c r="AM202" s="866"/>
      <c r="AN202" s="866"/>
      <c r="AO202" s="866"/>
      <c r="AP202" s="866"/>
      <c r="AQ202" s="866"/>
      <c r="AR202" s="866"/>
      <c r="AS202" s="866"/>
      <c r="AT202" s="185"/>
      <c r="AU202" s="185"/>
      <c r="AV202" s="185"/>
      <c r="AW202" s="185"/>
      <c r="AX202" s="185"/>
      <c r="AY202" s="185"/>
      <c r="AZ202" s="185"/>
      <c r="BA202" s="185"/>
      <c r="BB202" s="185"/>
      <c r="BC202" s="185"/>
      <c r="BD202" s="185"/>
      <c r="BE202" s="185"/>
      <c r="BF202" s="185"/>
      <c r="BG202" s="185"/>
      <c r="BH202" s="185"/>
      <c r="BI202" s="185"/>
      <c r="BJ202" s="185"/>
      <c r="BK202" s="185"/>
      <c r="BL202" s="186"/>
      <c r="BM202" s="186"/>
      <c r="BN202" s="186"/>
      <c r="BO202" s="186"/>
      <c r="BP202" s="186"/>
      <c r="BQ202" s="186"/>
      <c r="BR202" s="186"/>
      <c r="BS202" s="186"/>
      <c r="BT202" s="186"/>
      <c r="BU202" s="186"/>
      <c r="BV202" s="186"/>
      <c r="BW202" s="186"/>
      <c r="BX202" s="186"/>
      <c r="BY202" s="186"/>
      <c r="BZ202" s="186"/>
      <c r="CA202" s="186"/>
      <c r="CB202" s="186"/>
      <c r="CC202" s="186"/>
      <c r="CD202" s="186"/>
      <c r="CE202" s="186"/>
      <c r="CF202" s="186"/>
      <c r="CG202" s="186"/>
    </row>
    <row r="203" spans="1:85" ht="15.75">
      <c r="A203" s="185"/>
      <c r="B203" s="866"/>
      <c r="C203" s="866"/>
      <c r="D203" s="866"/>
      <c r="E203" s="866"/>
      <c r="F203" s="866"/>
      <c r="G203" s="866"/>
      <c r="H203" s="866"/>
      <c r="I203" s="866"/>
      <c r="J203" s="866"/>
      <c r="K203" s="185"/>
      <c r="L203" s="185"/>
      <c r="M203" s="185"/>
      <c r="N203" s="185"/>
      <c r="O203" s="866"/>
      <c r="P203" s="866"/>
      <c r="Q203" s="866"/>
      <c r="R203" s="866"/>
      <c r="S203" s="866"/>
      <c r="T203" s="866"/>
      <c r="U203" s="866"/>
      <c r="V203" s="866"/>
      <c r="W203" s="866"/>
      <c r="X203" s="866"/>
      <c r="Y203" s="866"/>
      <c r="Z203" s="866"/>
      <c r="AA203" s="866"/>
      <c r="AB203" s="866"/>
      <c r="AC203" s="866"/>
      <c r="AD203" s="866"/>
      <c r="AE203" s="866"/>
      <c r="AF203" s="866"/>
      <c r="AG203" s="866"/>
      <c r="AH203" s="185"/>
      <c r="AI203" s="185"/>
      <c r="AJ203" s="866"/>
      <c r="AK203" s="866"/>
      <c r="AL203" s="866"/>
      <c r="AM203" s="866"/>
      <c r="AN203" s="866"/>
      <c r="AO203" s="866"/>
      <c r="AP203" s="866"/>
      <c r="AQ203" s="866"/>
      <c r="AR203" s="866"/>
      <c r="AS203" s="866"/>
      <c r="AT203" s="185"/>
      <c r="AU203" s="185"/>
      <c r="AV203" s="185"/>
      <c r="AW203" s="185"/>
      <c r="AX203" s="185"/>
      <c r="AY203" s="185"/>
      <c r="AZ203" s="185"/>
      <c r="BA203" s="185"/>
      <c r="BB203" s="185"/>
      <c r="BC203" s="185"/>
      <c r="BD203" s="185"/>
      <c r="BE203" s="185"/>
      <c r="BF203" s="185"/>
      <c r="BG203" s="185"/>
      <c r="BH203" s="185"/>
      <c r="BI203" s="185"/>
      <c r="BJ203" s="185"/>
      <c r="BK203" s="185"/>
      <c r="BL203" s="186"/>
      <c r="BM203" s="186"/>
      <c r="BN203" s="186"/>
      <c r="BO203" s="186"/>
      <c r="BP203" s="186"/>
      <c r="BQ203" s="186"/>
      <c r="BR203" s="186"/>
      <c r="BS203" s="186"/>
      <c r="BT203" s="186"/>
      <c r="BU203" s="186"/>
      <c r="BV203" s="186"/>
      <c r="BW203" s="186"/>
      <c r="BX203" s="186"/>
      <c r="BY203" s="186"/>
      <c r="BZ203" s="186"/>
      <c r="CA203" s="186"/>
      <c r="CB203" s="186"/>
      <c r="CC203" s="186"/>
      <c r="CD203" s="186"/>
      <c r="CE203" s="186"/>
      <c r="CF203" s="186"/>
      <c r="CG203" s="186"/>
    </row>
    <row r="204" spans="1:85" ht="15.75">
      <c r="A204" s="185"/>
      <c r="B204" s="866"/>
      <c r="C204" s="866"/>
      <c r="D204" s="866"/>
      <c r="E204" s="866"/>
      <c r="F204" s="866"/>
      <c r="G204" s="866"/>
      <c r="H204" s="866"/>
      <c r="I204" s="866"/>
      <c r="J204" s="866"/>
      <c r="K204" s="185"/>
      <c r="L204" s="185"/>
      <c r="M204" s="185"/>
      <c r="N204" s="185"/>
      <c r="O204" s="866"/>
      <c r="P204" s="866"/>
      <c r="Q204" s="866"/>
      <c r="R204" s="866"/>
      <c r="S204" s="866"/>
      <c r="T204" s="866"/>
      <c r="U204" s="866"/>
      <c r="V204" s="866"/>
      <c r="W204" s="866"/>
      <c r="X204" s="866"/>
      <c r="Y204" s="866"/>
      <c r="Z204" s="866"/>
      <c r="AA204" s="866"/>
      <c r="AB204" s="866"/>
      <c r="AC204" s="866"/>
      <c r="AD204" s="866"/>
      <c r="AE204" s="866"/>
      <c r="AF204" s="866"/>
      <c r="AG204" s="866"/>
      <c r="AH204" s="185"/>
      <c r="AI204" s="185"/>
      <c r="AJ204" s="866"/>
      <c r="AK204" s="866"/>
      <c r="AL204" s="866"/>
      <c r="AM204" s="866"/>
      <c r="AN204" s="866"/>
      <c r="AO204" s="866"/>
      <c r="AP204" s="866"/>
      <c r="AQ204" s="866"/>
      <c r="AR204" s="866"/>
      <c r="AS204" s="866"/>
      <c r="AT204" s="185"/>
      <c r="AU204" s="185"/>
      <c r="AV204" s="185"/>
      <c r="AW204" s="185"/>
      <c r="AX204" s="185"/>
      <c r="AY204" s="185"/>
      <c r="AZ204" s="185"/>
      <c r="BA204" s="185"/>
      <c r="BB204" s="185"/>
      <c r="BC204" s="185"/>
      <c r="BD204" s="185"/>
      <c r="BE204" s="185"/>
      <c r="BF204" s="185"/>
      <c r="BG204" s="185"/>
      <c r="BH204" s="185"/>
      <c r="BI204" s="185"/>
      <c r="BJ204" s="185"/>
      <c r="BK204" s="185"/>
      <c r="BL204" s="186"/>
      <c r="BM204" s="186"/>
      <c r="BN204" s="186"/>
      <c r="BO204" s="186"/>
      <c r="BP204" s="186"/>
      <c r="BQ204" s="186"/>
      <c r="BR204" s="186"/>
      <c r="BS204" s="186"/>
      <c r="BT204" s="186"/>
      <c r="BU204" s="186"/>
      <c r="BV204" s="186"/>
      <c r="BW204" s="186"/>
      <c r="BX204" s="186"/>
      <c r="BY204" s="186"/>
      <c r="BZ204" s="186"/>
      <c r="CA204" s="186"/>
      <c r="CB204" s="186"/>
      <c r="CC204" s="186"/>
      <c r="CD204" s="186"/>
      <c r="CE204" s="186"/>
      <c r="CF204" s="186"/>
      <c r="CG204" s="186"/>
    </row>
    <row r="205" spans="1:85" ht="15.75">
      <c r="A205" s="185"/>
      <c r="B205" s="866"/>
      <c r="C205" s="866"/>
      <c r="D205" s="866"/>
      <c r="E205" s="866"/>
      <c r="F205" s="866"/>
      <c r="G205" s="866"/>
      <c r="H205" s="866"/>
      <c r="I205" s="866"/>
      <c r="J205" s="866"/>
      <c r="K205" s="185"/>
      <c r="L205" s="185"/>
      <c r="M205" s="185"/>
      <c r="N205" s="185"/>
      <c r="O205" s="866"/>
      <c r="P205" s="866"/>
      <c r="Q205" s="866"/>
      <c r="R205" s="866"/>
      <c r="S205" s="866"/>
      <c r="T205" s="866"/>
      <c r="U205" s="866"/>
      <c r="V205" s="866"/>
      <c r="W205" s="866"/>
      <c r="X205" s="866"/>
      <c r="Y205" s="866"/>
      <c r="Z205" s="866"/>
      <c r="AA205" s="866"/>
      <c r="AB205" s="866"/>
      <c r="AC205" s="866"/>
      <c r="AD205" s="866"/>
      <c r="AE205" s="866"/>
      <c r="AF205" s="866"/>
      <c r="AG205" s="866"/>
      <c r="AH205" s="185"/>
      <c r="AI205" s="185"/>
      <c r="AJ205" s="866"/>
      <c r="AK205" s="866"/>
      <c r="AL205" s="866"/>
      <c r="AM205" s="866"/>
      <c r="AN205" s="866"/>
      <c r="AO205" s="866"/>
      <c r="AP205" s="866"/>
      <c r="AQ205" s="866"/>
      <c r="AR205" s="866"/>
      <c r="AS205" s="866"/>
      <c r="AT205" s="185"/>
      <c r="AU205" s="185"/>
      <c r="AV205" s="185"/>
      <c r="AW205" s="185"/>
      <c r="AX205" s="185"/>
      <c r="AY205" s="185"/>
      <c r="AZ205" s="185"/>
      <c r="BA205" s="185"/>
      <c r="BB205" s="185"/>
      <c r="BC205" s="185"/>
      <c r="BD205" s="185"/>
      <c r="BE205" s="185"/>
      <c r="BF205" s="185"/>
      <c r="BG205" s="185"/>
      <c r="BH205" s="185"/>
      <c r="BI205" s="185"/>
      <c r="BJ205" s="185"/>
      <c r="BK205" s="185"/>
      <c r="BL205" s="186"/>
      <c r="BM205" s="186"/>
      <c r="BN205" s="186"/>
      <c r="BO205" s="186"/>
      <c r="BP205" s="186"/>
      <c r="BQ205" s="186"/>
      <c r="BR205" s="186"/>
      <c r="BS205" s="186"/>
      <c r="BT205" s="186"/>
      <c r="BU205" s="186"/>
      <c r="BV205" s="186"/>
      <c r="BW205" s="186"/>
      <c r="BX205" s="186"/>
      <c r="BY205" s="186"/>
      <c r="BZ205" s="186"/>
      <c r="CA205" s="186"/>
      <c r="CB205" s="186"/>
      <c r="CC205" s="186"/>
      <c r="CD205" s="186"/>
      <c r="CE205" s="186"/>
      <c r="CF205" s="186"/>
      <c r="CG205" s="186"/>
    </row>
    <row r="206" spans="1:85" ht="15.75">
      <c r="A206" s="185"/>
      <c r="B206" s="866"/>
      <c r="C206" s="866"/>
      <c r="D206" s="866"/>
      <c r="E206" s="866"/>
      <c r="F206" s="866"/>
      <c r="G206" s="866"/>
      <c r="H206" s="866"/>
      <c r="I206" s="866"/>
      <c r="J206" s="866"/>
      <c r="K206" s="185"/>
      <c r="L206" s="185"/>
      <c r="M206" s="185"/>
      <c r="N206" s="185"/>
      <c r="O206" s="866"/>
      <c r="P206" s="866"/>
      <c r="Q206" s="866"/>
      <c r="R206" s="866"/>
      <c r="S206" s="866"/>
      <c r="T206" s="866"/>
      <c r="U206" s="866"/>
      <c r="V206" s="866"/>
      <c r="W206" s="866"/>
      <c r="X206" s="866"/>
      <c r="Y206" s="866"/>
      <c r="Z206" s="866"/>
      <c r="AA206" s="866"/>
      <c r="AB206" s="866"/>
      <c r="AC206" s="866"/>
      <c r="AD206" s="866"/>
      <c r="AE206" s="866"/>
      <c r="AF206" s="866"/>
      <c r="AG206" s="866"/>
      <c r="AH206" s="185"/>
      <c r="AI206" s="185"/>
      <c r="AJ206" s="866"/>
      <c r="AK206" s="866"/>
      <c r="AL206" s="866"/>
      <c r="AM206" s="866"/>
      <c r="AN206" s="866"/>
      <c r="AO206" s="866"/>
      <c r="AP206" s="866"/>
      <c r="AQ206" s="866"/>
      <c r="AR206" s="866"/>
      <c r="AS206" s="866"/>
      <c r="AT206" s="185"/>
      <c r="AU206" s="185"/>
      <c r="AV206" s="185"/>
      <c r="AW206" s="185"/>
      <c r="AX206" s="185"/>
      <c r="AY206" s="185"/>
      <c r="AZ206" s="185"/>
      <c r="BA206" s="185"/>
      <c r="BB206" s="185"/>
      <c r="BC206" s="185"/>
      <c r="BD206" s="185"/>
      <c r="BE206" s="185"/>
      <c r="BF206" s="185"/>
      <c r="BG206" s="185"/>
      <c r="BH206" s="185"/>
      <c r="BI206" s="185"/>
      <c r="BJ206" s="185"/>
      <c r="BK206" s="185"/>
      <c r="BL206" s="186"/>
      <c r="BM206" s="186"/>
      <c r="BN206" s="186"/>
      <c r="BO206" s="186"/>
      <c r="BP206" s="186"/>
      <c r="BQ206" s="186"/>
      <c r="BR206" s="186"/>
      <c r="BS206" s="186"/>
      <c r="BT206" s="186"/>
      <c r="BU206" s="186"/>
      <c r="BV206" s="186"/>
      <c r="BW206" s="186"/>
      <c r="BX206" s="186"/>
      <c r="BY206" s="186"/>
      <c r="BZ206" s="186"/>
      <c r="CA206" s="186"/>
      <c r="CB206" s="186"/>
      <c r="CC206" s="186"/>
      <c r="CD206" s="186"/>
      <c r="CE206" s="186"/>
      <c r="CF206" s="186"/>
      <c r="CG206" s="186"/>
    </row>
    <row r="207" spans="1:85" ht="15.75">
      <c r="A207" s="185"/>
      <c r="B207" s="866"/>
      <c r="C207" s="866"/>
      <c r="D207" s="866"/>
      <c r="E207" s="866"/>
      <c r="F207" s="866"/>
      <c r="G207" s="866"/>
      <c r="H207" s="866"/>
      <c r="I207" s="866"/>
      <c r="J207" s="866"/>
      <c r="K207" s="185"/>
      <c r="L207" s="185"/>
      <c r="M207" s="185"/>
      <c r="N207" s="185"/>
      <c r="O207" s="866"/>
      <c r="P207" s="866"/>
      <c r="Q207" s="866"/>
      <c r="R207" s="866"/>
      <c r="S207" s="866"/>
      <c r="T207" s="866"/>
      <c r="U207" s="866"/>
      <c r="V207" s="866"/>
      <c r="W207" s="866"/>
      <c r="X207" s="866"/>
      <c r="Y207" s="866"/>
      <c r="Z207" s="866"/>
      <c r="AA207" s="866"/>
      <c r="AB207" s="866"/>
      <c r="AC207" s="866"/>
      <c r="AD207" s="866"/>
      <c r="AE207" s="866"/>
      <c r="AF207" s="866"/>
      <c r="AG207" s="866"/>
      <c r="AH207" s="185"/>
      <c r="AI207" s="185"/>
      <c r="AJ207" s="866"/>
      <c r="AK207" s="866"/>
      <c r="AL207" s="866"/>
      <c r="AM207" s="866"/>
      <c r="AN207" s="866"/>
      <c r="AO207" s="866"/>
      <c r="AP207" s="866"/>
      <c r="AQ207" s="866"/>
      <c r="AR207" s="866"/>
      <c r="AS207" s="866"/>
      <c r="AT207" s="185"/>
      <c r="AU207" s="185"/>
      <c r="AV207" s="185"/>
      <c r="AW207" s="185"/>
      <c r="AX207" s="185"/>
      <c r="AY207" s="185"/>
      <c r="AZ207" s="185"/>
      <c r="BA207" s="185"/>
      <c r="BB207" s="185"/>
      <c r="BC207" s="185"/>
      <c r="BD207" s="185"/>
      <c r="BE207" s="185"/>
      <c r="BF207" s="185"/>
      <c r="BG207" s="185"/>
      <c r="BH207" s="185"/>
      <c r="BI207" s="185"/>
      <c r="BJ207" s="185"/>
      <c r="BK207" s="185"/>
      <c r="BL207" s="186"/>
      <c r="BM207" s="186"/>
      <c r="BN207" s="186"/>
      <c r="BO207" s="186"/>
      <c r="BP207" s="186"/>
      <c r="BQ207" s="186"/>
      <c r="BR207" s="186"/>
      <c r="BS207" s="186"/>
      <c r="BT207" s="186"/>
      <c r="BU207" s="186"/>
      <c r="BV207" s="186"/>
      <c r="BW207" s="186"/>
      <c r="BX207" s="186"/>
      <c r="BY207" s="186"/>
      <c r="BZ207" s="186"/>
      <c r="CA207" s="186"/>
      <c r="CB207" s="186"/>
      <c r="CC207" s="186"/>
      <c r="CD207" s="186"/>
      <c r="CE207" s="186"/>
      <c r="CF207" s="186"/>
      <c r="CG207" s="186"/>
    </row>
    <row r="208" spans="1:85" ht="15.75">
      <c r="A208" s="185"/>
      <c r="B208" s="866"/>
      <c r="C208" s="866"/>
      <c r="D208" s="866"/>
      <c r="E208" s="866"/>
      <c r="F208" s="866"/>
      <c r="G208" s="866"/>
      <c r="H208" s="866"/>
      <c r="I208" s="866"/>
      <c r="J208" s="866"/>
      <c r="K208" s="185"/>
      <c r="L208" s="185"/>
      <c r="M208" s="185"/>
      <c r="N208" s="185"/>
      <c r="O208" s="866"/>
      <c r="P208" s="866"/>
      <c r="Q208" s="866"/>
      <c r="R208" s="866"/>
      <c r="S208" s="866"/>
      <c r="T208" s="866"/>
      <c r="U208" s="866"/>
      <c r="V208" s="866"/>
      <c r="W208" s="866"/>
      <c r="X208" s="866"/>
      <c r="Y208" s="866"/>
      <c r="Z208" s="866"/>
      <c r="AA208" s="866"/>
      <c r="AB208" s="866"/>
      <c r="AC208" s="866"/>
      <c r="AD208" s="866"/>
      <c r="AE208" s="866"/>
      <c r="AF208" s="866"/>
      <c r="AG208" s="866"/>
      <c r="AH208" s="185"/>
      <c r="AI208" s="185"/>
      <c r="AJ208" s="866"/>
      <c r="AK208" s="866"/>
      <c r="AL208" s="866"/>
      <c r="AM208" s="866"/>
      <c r="AN208" s="866"/>
      <c r="AO208" s="866"/>
      <c r="AP208" s="866"/>
      <c r="AQ208" s="866"/>
      <c r="AR208" s="866"/>
      <c r="AS208" s="866"/>
      <c r="AT208" s="185"/>
      <c r="AU208" s="185"/>
      <c r="AV208" s="185"/>
      <c r="AW208" s="185"/>
      <c r="AX208" s="185"/>
      <c r="AY208" s="185"/>
      <c r="AZ208" s="185"/>
      <c r="BA208" s="185"/>
      <c r="BB208" s="185"/>
      <c r="BC208" s="185"/>
      <c r="BD208" s="185"/>
      <c r="BE208" s="185"/>
      <c r="BF208" s="185"/>
      <c r="BG208" s="185"/>
      <c r="BH208" s="185"/>
      <c r="BI208" s="185"/>
      <c r="BJ208" s="185"/>
      <c r="BK208" s="185"/>
      <c r="BL208" s="186"/>
      <c r="BM208" s="186"/>
      <c r="BN208" s="186"/>
      <c r="BO208" s="186"/>
      <c r="BP208" s="186"/>
      <c r="BQ208" s="186"/>
      <c r="BR208" s="186"/>
      <c r="BS208" s="186"/>
      <c r="BT208" s="186"/>
      <c r="BU208" s="186"/>
      <c r="BV208" s="186"/>
      <c r="BW208" s="186"/>
      <c r="BX208" s="186"/>
      <c r="BY208" s="186"/>
      <c r="BZ208" s="186"/>
      <c r="CA208" s="186"/>
      <c r="CB208" s="186"/>
      <c r="CC208" s="186"/>
      <c r="CD208" s="186"/>
      <c r="CE208" s="186"/>
      <c r="CF208" s="186"/>
      <c r="CG208" s="186"/>
    </row>
    <row r="209" spans="1:85" ht="15.75">
      <c r="A209" s="185"/>
      <c r="B209" s="866"/>
      <c r="C209" s="866"/>
      <c r="D209" s="866"/>
      <c r="E209" s="866"/>
      <c r="F209" s="866"/>
      <c r="G209" s="866"/>
      <c r="H209" s="866"/>
      <c r="I209" s="866"/>
      <c r="J209" s="866"/>
      <c r="K209" s="185"/>
      <c r="L209" s="185"/>
      <c r="M209" s="185"/>
      <c r="N209" s="185"/>
      <c r="O209" s="866"/>
      <c r="P209" s="866"/>
      <c r="Q209" s="866"/>
      <c r="R209" s="866"/>
      <c r="S209" s="866"/>
      <c r="T209" s="866"/>
      <c r="U209" s="866"/>
      <c r="V209" s="866"/>
      <c r="W209" s="866"/>
      <c r="X209" s="866"/>
      <c r="Y209" s="866"/>
      <c r="Z209" s="866"/>
      <c r="AA209" s="866"/>
      <c r="AB209" s="866"/>
      <c r="AC209" s="866"/>
      <c r="AD209" s="866"/>
      <c r="AE209" s="866"/>
      <c r="AF209" s="866"/>
      <c r="AG209" s="866"/>
      <c r="AH209" s="185"/>
      <c r="AI209" s="185"/>
      <c r="AJ209" s="866"/>
      <c r="AK209" s="866"/>
      <c r="AL209" s="866"/>
      <c r="AM209" s="866"/>
      <c r="AN209" s="866"/>
      <c r="AO209" s="866"/>
      <c r="AP209" s="866"/>
      <c r="AQ209" s="866"/>
      <c r="AR209" s="866"/>
      <c r="AS209" s="866"/>
      <c r="AT209" s="185"/>
      <c r="AU209" s="185"/>
      <c r="AV209" s="185"/>
      <c r="AW209" s="185"/>
      <c r="AX209" s="185"/>
      <c r="AY209" s="185"/>
      <c r="AZ209" s="185"/>
      <c r="BA209" s="185"/>
      <c r="BB209" s="185"/>
      <c r="BC209" s="185"/>
      <c r="BD209" s="185"/>
      <c r="BE209" s="185"/>
      <c r="BF209" s="185"/>
      <c r="BG209" s="185"/>
      <c r="BH209" s="185"/>
      <c r="BI209" s="185"/>
      <c r="BJ209" s="185"/>
      <c r="BK209" s="185"/>
      <c r="BL209" s="186"/>
      <c r="BM209" s="186"/>
      <c r="BN209" s="186"/>
      <c r="BO209" s="186"/>
      <c r="BP209" s="186"/>
      <c r="BQ209" s="186"/>
      <c r="BR209" s="186"/>
      <c r="BS209" s="186"/>
      <c r="BT209" s="186"/>
      <c r="BU209" s="186"/>
      <c r="BV209" s="186"/>
      <c r="BW209" s="186"/>
      <c r="BX209" s="186"/>
      <c r="BY209" s="186"/>
      <c r="BZ209" s="186"/>
      <c r="CA209" s="186"/>
      <c r="CB209" s="186"/>
      <c r="CC209" s="186"/>
      <c r="CD209" s="186"/>
      <c r="CE209" s="186"/>
      <c r="CF209" s="186"/>
      <c r="CG209" s="186"/>
    </row>
    <row r="210" spans="1:85" ht="15.75">
      <c r="A210" s="185"/>
      <c r="B210" s="866"/>
      <c r="C210" s="866"/>
      <c r="D210" s="866"/>
      <c r="E210" s="866"/>
      <c r="F210" s="866"/>
      <c r="G210" s="866"/>
      <c r="H210" s="866"/>
      <c r="I210" s="866"/>
      <c r="J210" s="866"/>
      <c r="K210" s="185"/>
      <c r="L210" s="185"/>
      <c r="M210" s="185"/>
      <c r="N210" s="185"/>
      <c r="O210" s="866"/>
      <c r="P210" s="866"/>
      <c r="Q210" s="866"/>
      <c r="R210" s="866"/>
      <c r="S210" s="866"/>
      <c r="T210" s="866"/>
      <c r="U210" s="866"/>
      <c r="V210" s="866"/>
      <c r="W210" s="866"/>
      <c r="X210" s="866"/>
      <c r="Y210" s="866"/>
      <c r="Z210" s="866"/>
      <c r="AA210" s="866"/>
      <c r="AB210" s="866"/>
      <c r="AC210" s="866"/>
      <c r="AD210" s="866"/>
      <c r="AE210" s="866"/>
      <c r="AF210" s="866"/>
      <c r="AG210" s="866"/>
      <c r="AH210" s="185"/>
      <c r="AI210" s="185"/>
      <c r="AJ210" s="866"/>
      <c r="AK210" s="866"/>
      <c r="AL210" s="866"/>
      <c r="AM210" s="866"/>
      <c r="AN210" s="866"/>
      <c r="AO210" s="866"/>
      <c r="AP210" s="866"/>
      <c r="AQ210" s="866"/>
      <c r="AR210" s="866"/>
      <c r="AS210" s="866"/>
      <c r="AT210" s="185"/>
      <c r="AU210" s="185"/>
      <c r="AV210" s="185"/>
      <c r="AW210" s="185"/>
      <c r="AX210" s="185"/>
      <c r="AY210" s="185"/>
      <c r="AZ210" s="185"/>
      <c r="BA210" s="185"/>
      <c r="BB210" s="185"/>
      <c r="BC210" s="185"/>
      <c r="BD210" s="185"/>
      <c r="BE210" s="185"/>
      <c r="BF210" s="185"/>
      <c r="BG210" s="185"/>
      <c r="BH210" s="185"/>
      <c r="BI210" s="185"/>
      <c r="BJ210" s="185"/>
      <c r="BK210" s="185"/>
      <c r="BL210" s="186"/>
      <c r="BM210" s="186"/>
      <c r="BN210" s="186"/>
      <c r="BO210" s="186"/>
      <c r="BP210" s="186"/>
      <c r="BQ210" s="186"/>
      <c r="BR210" s="186"/>
      <c r="BS210" s="186"/>
      <c r="BT210" s="186"/>
      <c r="BU210" s="186"/>
      <c r="BV210" s="186"/>
      <c r="BW210" s="186"/>
      <c r="BX210" s="186"/>
      <c r="BY210" s="186"/>
      <c r="BZ210" s="186"/>
      <c r="CA210" s="186"/>
      <c r="CB210" s="186"/>
      <c r="CC210" s="186"/>
      <c r="CD210" s="186"/>
      <c r="CE210" s="186"/>
      <c r="CF210" s="186"/>
      <c r="CG210" s="186"/>
    </row>
    <row r="211" spans="1:85" ht="15.75">
      <c r="A211" s="185"/>
      <c r="B211" s="866"/>
      <c r="C211" s="866"/>
      <c r="D211" s="866"/>
      <c r="E211" s="866"/>
      <c r="F211" s="866"/>
      <c r="G211" s="866"/>
      <c r="H211" s="866"/>
      <c r="I211" s="866"/>
      <c r="J211" s="866"/>
      <c r="K211" s="185"/>
      <c r="L211" s="185"/>
      <c r="M211" s="185"/>
      <c r="N211" s="185"/>
      <c r="O211" s="866"/>
      <c r="P211" s="866"/>
      <c r="Q211" s="866"/>
      <c r="R211" s="866"/>
      <c r="S211" s="866"/>
      <c r="T211" s="866"/>
      <c r="U211" s="866"/>
      <c r="V211" s="866"/>
      <c r="W211" s="866"/>
      <c r="X211" s="866"/>
      <c r="Y211" s="866"/>
      <c r="Z211" s="866"/>
      <c r="AA211" s="866"/>
      <c r="AB211" s="866"/>
      <c r="AC211" s="866"/>
      <c r="AD211" s="866"/>
      <c r="AE211" s="866"/>
      <c r="AF211" s="866"/>
      <c r="AG211" s="866"/>
      <c r="AH211" s="185"/>
      <c r="AI211" s="185"/>
      <c r="AJ211" s="866"/>
      <c r="AK211" s="866"/>
      <c r="AL211" s="866"/>
      <c r="AM211" s="866"/>
      <c r="AN211" s="866"/>
      <c r="AO211" s="866"/>
      <c r="AP211" s="866"/>
      <c r="AQ211" s="866"/>
      <c r="AR211" s="866"/>
      <c r="AS211" s="866"/>
      <c r="AT211" s="185"/>
      <c r="AU211" s="185"/>
      <c r="AV211" s="185"/>
      <c r="AW211" s="185"/>
      <c r="AX211" s="185"/>
      <c r="AY211" s="185"/>
      <c r="AZ211" s="185"/>
      <c r="BA211" s="185"/>
      <c r="BB211" s="185"/>
      <c r="BC211" s="185"/>
      <c r="BD211" s="185"/>
      <c r="BE211" s="185"/>
      <c r="BF211" s="185"/>
      <c r="BG211" s="185"/>
      <c r="BH211" s="185"/>
      <c r="BI211" s="185"/>
      <c r="BJ211" s="185"/>
      <c r="BK211" s="185"/>
      <c r="BL211" s="186"/>
      <c r="BM211" s="186"/>
      <c r="BN211" s="186"/>
      <c r="BO211" s="186"/>
      <c r="BP211" s="186"/>
      <c r="BQ211" s="186"/>
      <c r="BR211" s="186"/>
      <c r="BS211" s="186"/>
      <c r="BT211" s="186"/>
      <c r="BU211" s="186"/>
      <c r="BV211" s="186"/>
      <c r="BW211" s="186"/>
      <c r="BX211" s="186"/>
      <c r="BY211" s="186"/>
      <c r="BZ211" s="186"/>
      <c r="CA211" s="186"/>
      <c r="CB211" s="186"/>
      <c r="CC211" s="186"/>
      <c r="CD211" s="186"/>
      <c r="CE211" s="186"/>
      <c r="CF211" s="186"/>
      <c r="CG211" s="186"/>
    </row>
    <row r="212" spans="1:85" ht="15.75">
      <c r="A212" s="185"/>
      <c r="B212" s="866"/>
      <c r="C212" s="866"/>
      <c r="D212" s="866"/>
      <c r="E212" s="866"/>
      <c r="F212" s="866"/>
      <c r="G212" s="866"/>
      <c r="H212" s="866"/>
      <c r="I212" s="866"/>
      <c r="J212" s="866"/>
      <c r="K212" s="185"/>
      <c r="L212" s="185"/>
      <c r="M212" s="185"/>
      <c r="N212" s="185"/>
      <c r="O212" s="866"/>
      <c r="P212" s="866"/>
      <c r="Q212" s="866"/>
      <c r="R212" s="866"/>
      <c r="S212" s="866"/>
      <c r="T212" s="866"/>
      <c r="U212" s="866"/>
      <c r="V212" s="866"/>
      <c r="W212" s="866"/>
      <c r="X212" s="866"/>
      <c r="Y212" s="866"/>
      <c r="Z212" s="866"/>
      <c r="AA212" s="866"/>
      <c r="AB212" s="866"/>
      <c r="AC212" s="866"/>
      <c r="AD212" s="866"/>
      <c r="AE212" s="866"/>
      <c r="AF212" s="866"/>
      <c r="AG212" s="866"/>
      <c r="AH212" s="185"/>
      <c r="AI212" s="185"/>
      <c r="AJ212" s="866"/>
      <c r="AK212" s="866"/>
      <c r="AL212" s="866"/>
      <c r="AM212" s="866"/>
      <c r="AN212" s="866"/>
      <c r="AO212" s="866"/>
      <c r="AP212" s="866"/>
      <c r="AQ212" s="866"/>
      <c r="AR212" s="866"/>
      <c r="AS212" s="866"/>
      <c r="AT212" s="185"/>
      <c r="AU212" s="185"/>
      <c r="AV212" s="185"/>
      <c r="AW212" s="185"/>
      <c r="AX212" s="185"/>
      <c r="AY212" s="185"/>
      <c r="AZ212" s="185"/>
      <c r="BA212" s="185"/>
      <c r="BB212" s="185"/>
      <c r="BC212" s="185"/>
      <c r="BD212" s="185"/>
      <c r="BE212" s="185"/>
      <c r="BF212" s="185"/>
      <c r="BG212" s="185"/>
      <c r="BH212" s="185"/>
      <c r="BI212" s="185"/>
      <c r="BJ212" s="185"/>
      <c r="BK212" s="185"/>
      <c r="BL212" s="186"/>
      <c r="BM212" s="186"/>
      <c r="BN212" s="186"/>
      <c r="BO212" s="186"/>
      <c r="BP212" s="186"/>
      <c r="BQ212" s="186"/>
      <c r="BR212" s="186"/>
      <c r="BS212" s="186"/>
      <c r="BT212" s="186"/>
      <c r="BU212" s="186"/>
      <c r="BV212" s="186"/>
      <c r="BW212" s="186"/>
      <c r="BX212" s="186"/>
      <c r="BY212" s="186"/>
      <c r="BZ212" s="186"/>
      <c r="CA212" s="186"/>
      <c r="CB212" s="186"/>
      <c r="CC212" s="186"/>
      <c r="CD212" s="186"/>
      <c r="CE212" s="186"/>
      <c r="CF212" s="186"/>
      <c r="CG212" s="186"/>
    </row>
    <row r="213" spans="1:85" ht="15.75">
      <c r="A213" s="185"/>
      <c r="B213" s="866"/>
      <c r="C213" s="866"/>
      <c r="D213" s="866"/>
      <c r="E213" s="866"/>
      <c r="F213" s="866"/>
      <c r="G213" s="866"/>
      <c r="H213" s="866"/>
      <c r="I213" s="866"/>
      <c r="J213" s="866"/>
      <c r="K213" s="185"/>
      <c r="L213" s="185"/>
      <c r="M213" s="185"/>
      <c r="N213" s="185"/>
      <c r="O213" s="866"/>
      <c r="P213" s="866"/>
      <c r="Q213" s="866"/>
      <c r="R213" s="866"/>
      <c r="S213" s="866"/>
      <c r="T213" s="866"/>
      <c r="U213" s="866"/>
      <c r="V213" s="866"/>
      <c r="W213" s="866"/>
      <c r="X213" s="866"/>
      <c r="Y213" s="866"/>
      <c r="Z213" s="866"/>
      <c r="AA213" s="866"/>
      <c r="AB213" s="866"/>
      <c r="AC213" s="866"/>
      <c r="AD213" s="866"/>
      <c r="AE213" s="866"/>
      <c r="AF213" s="866"/>
      <c r="AG213" s="866"/>
      <c r="AH213" s="185"/>
      <c r="AI213" s="185"/>
      <c r="AJ213" s="866"/>
      <c r="AK213" s="866"/>
      <c r="AL213" s="866"/>
      <c r="AM213" s="866"/>
      <c r="AN213" s="866"/>
      <c r="AO213" s="866"/>
      <c r="AP213" s="866"/>
      <c r="AQ213" s="866"/>
      <c r="AR213" s="866"/>
      <c r="AS213" s="866"/>
      <c r="AT213" s="185"/>
      <c r="AU213" s="185"/>
      <c r="AV213" s="185"/>
      <c r="AW213" s="185"/>
      <c r="AX213" s="185"/>
      <c r="AY213" s="185"/>
      <c r="AZ213" s="185"/>
      <c r="BA213" s="185"/>
      <c r="BB213" s="185"/>
      <c r="BC213" s="185"/>
      <c r="BD213" s="185"/>
      <c r="BE213" s="185"/>
      <c r="BF213" s="185"/>
      <c r="BG213" s="185"/>
      <c r="BH213" s="185"/>
      <c r="BI213" s="185"/>
      <c r="BJ213" s="185"/>
      <c r="BK213" s="185"/>
      <c r="BL213" s="186"/>
      <c r="BM213" s="186"/>
      <c r="BN213" s="186"/>
      <c r="BO213" s="186"/>
      <c r="BP213" s="186"/>
      <c r="BQ213" s="186"/>
      <c r="BR213" s="186"/>
      <c r="BS213" s="186"/>
      <c r="BT213" s="186"/>
      <c r="BU213" s="186"/>
      <c r="BV213" s="186"/>
      <c r="BW213" s="186"/>
      <c r="BX213" s="186"/>
      <c r="BY213" s="186"/>
      <c r="BZ213" s="186"/>
      <c r="CA213" s="186"/>
      <c r="CB213" s="186"/>
      <c r="CC213" s="186"/>
      <c r="CD213" s="186"/>
      <c r="CE213" s="186"/>
      <c r="CF213" s="186"/>
      <c r="CG213" s="186"/>
    </row>
    <row r="214" spans="1:85" ht="15.75">
      <c r="A214" s="185"/>
      <c r="B214" s="866"/>
      <c r="C214" s="866"/>
      <c r="D214" s="866"/>
      <c r="E214" s="866"/>
      <c r="F214" s="866"/>
      <c r="G214" s="866"/>
      <c r="H214" s="866"/>
      <c r="I214" s="866"/>
      <c r="J214" s="866"/>
      <c r="K214" s="185"/>
      <c r="L214" s="185"/>
      <c r="M214" s="185"/>
      <c r="N214" s="185"/>
      <c r="O214" s="866"/>
      <c r="P214" s="866"/>
      <c r="Q214" s="866"/>
      <c r="R214" s="866"/>
      <c r="S214" s="866"/>
      <c r="T214" s="866"/>
      <c r="U214" s="866"/>
      <c r="V214" s="866"/>
      <c r="W214" s="866"/>
      <c r="X214" s="866"/>
      <c r="Y214" s="866"/>
      <c r="Z214" s="866"/>
      <c r="AA214" s="866"/>
      <c r="AB214" s="866"/>
      <c r="AC214" s="866"/>
      <c r="AD214" s="866"/>
      <c r="AE214" s="866"/>
      <c r="AF214" s="866"/>
      <c r="AG214" s="866"/>
      <c r="AH214" s="185"/>
      <c r="AI214" s="185"/>
      <c r="AJ214" s="866"/>
      <c r="AK214" s="866"/>
      <c r="AL214" s="866"/>
      <c r="AM214" s="866"/>
      <c r="AN214" s="866"/>
      <c r="AO214" s="866"/>
      <c r="AP214" s="866"/>
      <c r="AQ214" s="866"/>
      <c r="AR214" s="866"/>
      <c r="AS214" s="866"/>
      <c r="AT214" s="185"/>
      <c r="AU214" s="185"/>
      <c r="AV214" s="185"/>
      <c r="AW214" s="185"/>
      <c r="AX214" s="185"/>
      <c r="AY214" s="185"/>
      <c r="AZ214" s="185"/>
      <c r="BA214" s="185"/>
      <c r="BB214" s="185"/>
      <c r="BC214" s="185"/>
      <c r="BD214" s="185"/>
      <c r="BE214" s="185"/>
      <c r="BF214" s="185"/>
      <c r="BG214" s="185"/>
      <c r="BH214" s="185"/>
      <c r="BI214" s="185"/>
      <c r="BJ214" s="185"/>
      <c r="BK214" s="185"/>
      <c r="BL214" s="186"/>
      <c r="BM214" s="186"/>
      <c r="BN214" s="186"/>
      <c r="BO214" s="186"/>
      <c r="BP214" s="186"/>
      <c r="BQ214" s="186"/>
      <c r="BR214" s="186"/>
      <c r="BS214" s="186"/>
      <c r="BT214" s="186"/>
      <c r="BU214" s="186"/>
      <c r="BV214" s="186"/>
      <c r="BW214" s="186"/>
      <c r="BX214" s="186"/>
      <c r="BY214" s="186"/>
      <c r="BZ214" s="186"/>
      <c r="CA214" s="186"/>
      <c r="CB214" s="186"/>
      <c r="CC214" s="186"/>
      <c r="CD214" s="186"/>
      <c r="CE214" s="186"/>
      <c r="CF214" s="186"/>
      <c r="CG214" s="186"/>
    </row>
    <row r="215" spans="1:85" ht="15.75">
      <c r="A215" s="185"/>
      <c r="B215" s="866"/>
      <c r="C215" s="866"/>
      <c r="D215" s="866"/>
      <c r="E215" s="866"/>
      <c r="F215" s="866"/>
      <c r="G215" s="866"/>
      <c r="H215" s="866"/>
      <c r="I215" s="866"/>
      <c r="J215" s="866"/>
      <c r="K215" s="185"/>
      <c r="L215" s="185"/>
      <c r="M215" s="185"/>
      <c r="N215" s="185"/>
      <c r="O215" s="866"/>
      <c r="P215" s="866"/>
      <c r="Q215" s="866"/>
      <c r="R215" s="866"/>
      <c r="S215" s="866"/>
      <c r="T215" s="866"/>
      <c r="U215" s="866"/>
      <c r="V215" s="866"/>
      <c r="W215" s="866"/>
      <c r="X215" s="866"/>
      <c r="Y215" s="866"/>
      <c r="Z215" s="866"/>
      <c r="AA215" s="866"/>
      <c r="AB215" s="866"/>
      <c r="AC215" s="866"/>
      <c r="AD215" s="866"/>
      <c r="AE215" s="866"/>
      <c r="AF215" s="866"/>
      <c r="AG215" s="866"/>
      <c r="AH215" s="185"/>
      <c r="AI215" s="185"/>
      <c r="AJ215" s="866"/>
      <c r="AK215" s="866"/>
      <c r="AL215" s="866"/>
      <c r="AM215" s="866"/>
      <c r="AN215" s="866"/>
      <c r="AO215" s="866"/>
      <c r="AP215" s="866"/>
      <c r="AQ215" s="866"/>
      <c r="AR215" s="866"/>
      <c r="AS215" s="866"/>
      <c r="AT215" s="185"/>
      <c r="AU215" s="185"/>
      <c r="AV215" s="185"/>
      <c r="AW215" s="185"/>
      <c r="AX215" s="185"/>
      <c r="AY215" s="185"/>
      <c r="AZ215" s="185"/>
      <c r="BA215" s="185"/>
      <c r="BB215" s="185"/>
      <c r="BC215" s="185"/>
      <c r="BD215" s="185"/>
      <c r="BE215" s="185"/>
      <c r="BF215" s="185"/>
      <c r="BG215" s="185"/>
      <c r="BH215" s="185"/>
      <c r="BI215" s="185"/>
      <c r="BJ215" s="185"/>
      <c r="BK215" s="185"/>
      <c r="BL215" s="186"/>
      <c r="BM215" s="186"/>
      <c r="BN215" s="186"/>
      <c r="BO215" s="186"/>
      <c r="BP215" s="186"/>
      <c r="BQ215" s="186"/>
      <c r="BR215" s="186"/>
      <c r="BS215" s="186"/>
      <c r="BT215" s="186"/>
      <c r="BU215" s="186"/>
      <c r="BV215" s="186"/>
      <c r="BW215" s="186"/>
      <c r="BX215" s="186"/>
      <c r="BY215" s="186"/>
      <c r="BZ215" s="186"/>
      <c r="CA215" s="186"/>
      <c r="CB215" s="186"/>
      <c r="CC215" s="186"/>
      <c r="CD215" s="186"/>
      <c r="CE215" s="186"/>
      <c r="CF215" s="186"/>
      <c r="CG215" s="186"/>
    </row>
    <row r="216" spans="1:85" ht="15.75">
      <c r="A216" s="185"/>
      <c r="B216" s="866"/>
      <c r="C216" s="866"/>
      <c r="D216" s="866"/>
      <c r="E216" s="866"/>
      <c r="F216" s="866"/>
      <c r="G216" s="866"/>
      <c r="H216" s="866"/>
      <c r="I216" s="866"/>
      <c r="J216" s="866"/>
      <c r="K216" s="185"/>
      <c r="L216" s="185"/>
      <c r="M216" s="185"/>
      <c r="N216" s="185"/>
      <c r="O216" s="866"/>
      <c r="P216" s="866"/>
      <c r="Q216" s="866"/>
      <c r="R216" s="866"/>
      <c r="S216" s="866"/>
      <c r="T216" s="866"/>
      <c r="U216" s="866"/>
      <c r="V216" s="866"/>
      <c r="W216" s="866"/>
      <c r="X216" s="866"/>
      <c r="Y216" s="866"/>
      <c r="Z216" s="866"/>
      <c r="AA216" s="866"/>
      <c r="AB216" s="866"/>
      <c r="AC216" s="866"/>
      <c r="AD216" s="866"/>
      <c r="AE216" s="866"/>
      <c r="AF216" s="866"/>
      <c r="AG216" s="866"/>
      <c r="AH216" s="185"/>
      <c r="AI216" s="185"/>
      <c r="AJ216" s="866"/>
      <c r="AK216" s="866"/>
      <c r="AL216" s="866"/>
      <c r="AM216" s="866"/>
      <c r="AN216" s="866"/>
      <c r="AO216" s="866"/>
      <c r="AP216" s="866"/>
      <c r="AQ216" s="866"/>
      <c r="AR216" s="866"/>
      <c r="AS216" s="866"/>
      <c r="AT216" s="185"/>
      <c r="AU216" s="185"/>
      <c r="AV216" s="185"/>
      <c r="AW216" s="185"/>
      <c r="AX216" s="185"/>
      <c r="AY216" s="185"/>
      <c r="AZ216" s="185"/>
      <c r="BA216" s="185"/>
      <c r="BB216" s="185"/>
      <c r="BC216" s="185"/>
      <c r="BD216" s="185"/>
      <c r="BE216" s="185"/>
      <c r="BF216" s="185"/>
      <c r="BG216" s="185"/>
      <c r="BH216" s="185"/>
      <c r="BI216" s="185"/>
      <c r="BJ216" s="185"/>
      <c r="BK216" s="185"/>
      <c r="BL216" s="186"/>
      <c r="BM216" s="186"/>
      <c r="BN216" s="186"/>
      <c r="BO216" s="186"/>
      <c r="BP216" s="186"/>
      <c r="BQ216" s="186"/>
      <c r="BR216" s="186"/>
      <c r="BS216" s="186"/>
      <c r="BT216" s="186"/>
      <c r="BU216" s="186"/>
      <c r="BV216" s="186"/>
      <c r="BW216" s="186"/>
      <c r="BX216" s="186"/>
      <c r="BY216" s="186"/>
      <c r="BZ216" s="186"/>
      <c r="CA216" s="186"/>
      <c r="CB216" s="186"/>
      <c r="CC216" s="186"/>
      <c r="CD216" s="186"/>
      <c r="CE216" s="186"/>
      <c r="CF216" s="186"/>
      <c r="CG216" s="186"/>
    </row>
    <row r="217" spans="1:85" ht="15.75">
      <c r="A217" s="185"/>
      <c r="B217" s="866"/>
      <c r="C217" s="866"/>
      <c r="D217" s="866"/>
      <c r="E217" s="866"/>
      <c r="F217" s="866"/>
      <c r="G217" s="866"/>
      <c r="H217" s="866"/>
      <c r="I217" s="866"/>
      <c r="J217" s="866"/>
      <c r="K217" s="185"/>
      <c r="L217" s="185"/>
      <c r="M217" s="185"/>
      <c r="N217" s="185"/>
      <c r="O217" s="866"/>
      <c r="P217" s="866"/>
      <c r="Q217" s="866"/>
      <c r="R217" s="866"/>
      <c r="S217" s="866"/>
      <c r="T217" s="866"/>
      <c r="U217" s="866"/>
      <c r="V217" s="866"/>
      <c r="W217" s="866"/>
      <c r="X217" s="866"/>
      <c r="Y217" s="866"/>
      <c r="Z217" s="866"/>
      <c r="AA217" s="866"/>
      <c r="AB217" s="866"/>
      <c r="AC217" s="866"/>
      <c r="AD217" s="866"/>
      <c r="AE217" s="866"/>
      <c r="AF217" s="866"/>
      <c r="AG217" s="866"/>
      <c r="AH217" s="185"/>
      <c r="AI217" s="185"/>
      <c r="AJ217" s="866"/>
      <c r="AK217" s="866"/>
      <c r="AL217" s="866"/>
      <c r="AM217" s="866"/>
      <c r="AN217" s="866"/>
      <c r="AO217" s="866"/>
      <c r="AP217" s="866"/>
      <c r="AQ217" s="866"/>
      <c r="AR217" s="866"/>
      <c r="AS217" s="866"/>
      <c r="AT217" s="185"/>
      <c r="AU217" s="185"/>
      <c r="AV217" s="185"/>
      <c r="AW217" s="185"/>
      <c r="AX217" s="185"/>
      <c r="AY217" s="185"/>
      <c r="AZ217" s="185"/>
      <c r="BA217" s="185"/>
      <c r="BB217" s="185"/>
      <c r="BC217" s="185"/>
      <c r="BD217" s="185"/>
      <c r="BE217" s="185"/>
      <c r="BF217" s="185"/>
      <c r="BG217" s="185"/>
      <c r="BH217" s="185"/>
      <c r="BI217" s="185"/>
      <c r="BJ217" s="185"/>
      <c r="BK217" s="185"/>
      <c r="BL217" s="186"/>
      <c r="BM217" s="186"/>
      <c r="BN217" s="186"/>
      <c r="BO217" s="186"/>
      <c r="BP217" s="186"/>
      <c r="BQ217" s="186"/>
      <c r="BR217" s="186"/>
      <c r="BS217" s="186"/>
      <c r="BT217" s="186"/>
      <c r="BU217" s="186"/>
      <c r="BV217" s="186"/>
      <c r="BW217" s="186"/>
      <c r="BX217" s="186"/>
      <c r="BY217" s="186"/>
      <c r="BZ217" s="186"/>
      <c r="CA217" s="186"/>
      <c r="CB217" s="186"/>
      <c r="CC217" s="186"/>
      <c r="CD217" s="186"/>
      <c r="CE217" s="186"/>
      <c r="CF217" s="186"/>
      <c r="CG217" s="186"/>
    </row>
    <row r="218" spans="1:85" ht="15.75">
      <c r="A218" s="185"/>
      <c r="B218" s="866"/>
      <c r="C218" s="866"/>
      <c r="D218" s="866"/>
      <c r="E218" s="866"/>
      <c r="F218" s="866"/>
      <c r="G218" s="866"/>
      <c r="H218" s="866"/>
      <c r="I218" s="866"/>
      <c r="J218" s="866"/>
      <c r="K218" s="185"/>
      <c r="L218" s="185"/>
      <c r="M218" s="185"/>
      <c r="N218" s="185"/>
      <c r="O218" s="866"/>
      <c r="P218" s="866"/>
      <c r="Q218" s="866"/>
      <c r="R218" s="866"/>
      <c r="S218" s="866"/>
      <c r="T218" s="866"/>
      <c r="U218" s="866"/>
      <c r="V218" s="866"/>
      <c r="W218" s="866"/>
      <c r="X218" s="866"/>
      <c r="Y218" s="866"/>
      <c r="Z218" s="866"/>
      <c r="AA218" s="866"/>
      <c r="AB218" s="866"/>
      <c r="AC218" s="866"/>
      <c r="AD218" s="866"/>
      <c r="AE218" s="866"/>
      <c r="AF218" s="866"/>
      <c r="AG218" s="866"/>
      <c r="AH218" s="185"/>
      <c r="AI218" s="185"/>
      <c r="AJ218" s="866"/>
      <c r="AK218" s="866"/>
      <c r="AL218" s="866"/>
      <c r="AM218" s="866"/>
      <c r="AN218" s="866"/>
      <c r="AO218" s="866"/>
      <c r="AP218" s="866"/>
      <c r="AQ218" s="866"/>
      <c r="AR218" s="866"/>
      <c r="AS218" s="866"/>
      <c r="AT218" s="185"/>
      <c r="AU218" s="185"/>
      <c r="AV218" s="185"/>
      <c r="AW218" s="185"/>
      <c r="AX218" s="185"/>
      <c r="AY218" s="185"/>
      <c r="AZ218" s="185"/>
      <c r="BA218" s="185"/>
      <c r="BB218" s="185"/>
      <c r="BC218" s="185"/>
      <c r="BD218" s="185"/>
      <c r="BE218" s="185"/>
      <c r="BF218" s="185"/>
      <c r="BG218" s="185"/>
      <c r="BH218" s="185"/>
      <c r="BI218" s="185"/>
      <c r="BJ218" s="185"/>
      <c r="BK218" s="185"/>
      <c r="BL218" s="186"/>
      <c r="BM218" s="186"/>
      <c r="BN218" s="186"/>
      <c r="BO218" s="186"/>
      <c r="BP218" s="186"/>
      <c r="BQ218" s="186"/>
      <c r="BR218" s="186"/>
      <c r="BS218" s="186"/>
      <c r="BT218" s="186"/>
      <c r="BU218" s="186"/>
      <c r="BV218" s="186"/>
      <c r="BW218" s="186"/>
      <c r="BX218" s="186"/>
      <c r="BY218" s="186"/>
      <c r="BZ218" s="186"/>
      <c r="CA218" s="186"/>
      <c r="CB218" s="186"/>
      <c r="CC218" s="186"/>
      <c r="CD218" s="186"/>
      <c r="CE218" s="186"/>
      <c r="CF218" s="186"/>
      <c r="CG218" s="186"/>
    </row>
    <row r="219" spans="1:85" ht="15.75">
      <c r="A219" s="185"/>
      <c r="B219" s="866"/>
      <c r="C219" s="866"/>
      <c r="D219" s="866"/>
      <c r="E219" s="866"/>
      <c r="F219" s="866"/>
      <c r="G219" s="866"/>
      <c r="H219" s="866"/>
      <c r="I219" s="866"/>
      <c r="J219" s="866"/>
      <c r="K219" s="185"/>
      <c r="L219" s="185"/>
      <c r="M219" s="185"/>
      <c r="N219" s="185"/>
      <c r="O219" s="866"/>
      <c r="P219" s="866"/>
      <c r="Q219" s="866"/>
      <c r="R219" s="866"/>
      <c r="S219" s="866"/>
      <c r="T219" s="866"/>
      <c r="U219" s="866"/>
      <c r="V219" s="866"/>
      <c r="W219" s="866"/>
      <c r="X219" s="866"/>
      <c r="Y219" s="866"/>
      <c r="Z219" s="866"/>
      <c r="AA219" s="866"/>
      <c r="AB219" s="866"/>
      <c r="AC219" s="866"/>
      <c r="AD219" s="866"/>
      <c r="AE219" s="866"/>
      <c r="AF219" s="866"/>
      <c r="AG219" s="866"/>
      <c r="AH219" s="185"/>
      <c r="AI219" s="185"/>
      <c r="AJ219" s="866"/>
      <c r="AK219" s="866"/>
      <c r="AL219" s="866"/>
      <c r="AM219" s="866"/>
      <c r="AN219" s="866"/>
      <c r="AO219" s="866"/>
      <c r="AP219" s="866"/>
      <c r="AQ219" s="866"/>
      <c r="AR219" s="866"/>
      <c r="AS219" s="866"/>
      <c r="AT219" s="185"/>
      <c r="AU219" s="185"/>
      <c r="AV219" s="185"/>
      <c r="AW219" s="185"/>
      <c r="AX219" s="185"/>
      <c r="AY219" s="185"/>
      <c r="AZ219" s="185"/>
      <c r="BA219" s="185"/>
      <c r="BB219" s="185"/>
      <c r="BC219" s="185"/>
      <c r="BD219" s="185"/>
      <c r="BE219" s="185"/>
      <c r="BF219" s="185"/>
      <c r="BG219" s="185"/>
      <c r="BH219" s="185"/>
      <c r="BI219" s="185"/>
      <c r="BJ219" s="185"/>
      <c r="BK219" s="185"/>
      <c r="BL219" s="186"/>
      <c r="BM219" s="186"/>
      <c r="BN219" s="186"/>
      <c r="BO219" s="186"/>
      <c r="BP219" s="186"/>
      <c r="BQ219" s="186"/>
      <c r="BR219" s="186"/>
      <c r="BS219" s="186"/>
      <c r="BT219" s="186"/>
      <c r="BU219" s="186"/>
      <c r="BV219" s="186"/>
      <c r="BW219" s="186"/>
      <c r="BX219" s="186"/>
      <c r="BY219" s="186"/>
      <c r="BZ219" s="186"/>
      <c r="CA219" s="186"/>
      <c r="CB219" s="186"/>
      <c r="CC219" s="186"/>
      <c r="CD219" s="186"/>
      <c r="CE219" s="186"/>
      <c r="CF219" s="186"/>
      <c r="CG219" s="186"/>
    </row>
    <row r="220" spans="1:85" ht="15.75">
      <c r="A220" s="185"/>
      <c r="B220" s="866"/>
      <c r="C220" s="866"/>
      <c r="D220" s="866"/>
      <c r="E220" s="866"/>
      <c r="F220" s="866"/>
      <c r="G220" s="866"/>
      <c r="H220" s="866"/>
      <c r="I220" s="866"/>
      <c r="J220" s="866"/>
      <c r="K220" s="185"/>
      <c r="L220" s="185"/>
      <c r="M220" s="185"/>
      <c r="N220" s="185"/>
      <c r="O220" s="866"/>
      <c r="P220" s="866"/>
      <c r="Q220" s="866"/>
      <c r="R220" s="866"/>
      <c r="S220" s="866"/>
      <c r="T220" s="866"/>
      <c r="U220" s="866"/>
      <c r="V220" s="866"/>
      <c r="W220" s="866"/>
      <c r="X220" s="866"/>
      <c r="Y220" s="866"/>
      <c r="Z220" s="866"/>
      <c r="AA220" s="866"/>
      <c r="AB220" s="866"/>
      <c r="AC220" s="866"/>
      <c r="AD220" s="866"/>
      <c r="AE220" s="866"/>
      <c r="AF220" s="866"/>
      <c r="AG220" s="866"/>
      <c r="AH220" s="185"/>
      <c r="AI220" s="185"/>
      <c r="AJ220" s="866"/>
      <c r="AK220" s="866"/>
      <c r="AL220" s="866"/>
      <c r="AM220" s="866"/>
      <c r="AN220" s="866"/>
      <c r="AO220" s="866"/>
      <c r="AP220" s="866"/>
      <c r="AQ220" s="866"/>
      <c r="AR220" s="866"/>
      <c r="AS220" s="866"/>
      <c r="AT220" s="185"/>
      <c r="AU220" s="185"/>
      <c r="AV220" s="185"/>
      <c r="AW220" s="185"/>
      <c r="AX220" s="185"/>
      <c r="AY220" s="185"/>
      <c r="AZ220" s="185"/>
      <c r="BA220" s="185"/>
      <c r="BB220" s="185"/>
      <c r="BC220" s="185"/>
      <c r="BD220" s="185"/>
      <c r="BE220" s="185"/>
      <c r="BF220" s="185"/>
      <c r="BG220" s="185"/>
      <c r="BH220" s="185"/>
      <c r="BI220" s="185"/>
      <c r="BJ220" s="185"/>
      <c r="BK220" s="185"/>
      <c r="BL220" s="186"/>
      <c r="BM220" s="186"/>
      <c r="BN220" s="186"/>
      <c r="BO220" s="186"/>
      <c r="BP220" s="186"/>
      <c r="BQ220" s="186"/>
      <c r="BR220" s="186"/>
      <c r="BS220" s="186"/>
      <c r="BT220" s="186"/>
      <c r="BU220" s="186"/>
      <c r="BV220" s="186"/>
      <c r="BW220" s="186"/>
      <c r="BX220" s="186"/>
      <c r="BY220" s="186"/>
      <c r="BZ220" s="186"/>
      <c r="CA220" s="186"/>
      <c r="CB220" s="186"/>
      <c r="CC220" s="186"/>
      <c r="CD220" s="186"/>
      <c r="CE220" s="186"/>
      <c r="CF220" s="186"/>
      <c r="CG220" s="186"/>
    </row>
    <row r="221" spans="1:85" ht="15.75">
      <c r="A221" s="185"/>
      <c r="B221" s="866"/>
      <c r="C221" s="866"/>
      <c r="D221" s="866"/>
      <c r="E221" s="866"/>
      <c r="F221" s="866"/>
      <c r="G221" s="866"/>
      <c r="H221" s="866"/>
      <c r="I221" s="866"/>
      <c r="J221" s="866"/>
      <c r="K221" s="185"/>
      <c r="L221" s="185"/>
      <c r="M221" s="185"/>
      <c r="N221" s="185"/>
      <c r="O221" s="866"/>
      <c r="P221" s="866"/>
      <c r="Q221" s="866"/>
      <c r="R221" s="866"/>
      <c r="S221" s="866"/>
      <c r="T221" s="866"/>
      <c r="U221" s="866"/>
      <c r="V221" s="866"/>
      <c r="W221" s="866"/>
      <c r="X221" s="866"/>
      <c r="Y221" s="866"/>
      <c r="Z221" s="866"/>
      <c r="AA221" s="866"/>
      <c r="AB221" s="866"/>
      <c r="AC221" s="866"/>
      <c r="AD221" s="866"/>
      <c r="AE221" s="866"/>
      <c r="AF221" s="866"/>
      <c r="AG221" s="866"/>
      <c r="AH221" s="185"/>
      <c r="AI221" s="185"/>
      <c r="AJ221" s="866"/>
      <c r="AK221" s="866"/>
      <c r="AL221" s="866"/>
      <c r="AM221" s="866"/>
      <c r="AN221" s="866"/>
      <c r="AO221" s="866"/>
      <c r="AP221" s="866"/>
      <c r="AQ221" s="866"/>
      <c r="AR221" s="866"/>
      <c r="AS221" s="866"/>
      <c r="AT221" s="185"/>
      <c r="AU221" s="185"/>
      <c r="AV221" s="185"/>
      <c r="AW221" s="185"/>
      <c r="AX221" s="185"/>
      <c r="AY221" s="185"/>
      <c r="AZ221" s="185"/>
      <c r="BA221" s="185"/>
      <c r="BB221" s="185"/>
      <c r="BC221" s="185"/>
      <c r="BD221" s="185"/>
      <c r="BE221" s="185"/>
      <c r="BF221" s="185"/>
      <c r="BG221" s="185"/>
      <c r="BH221" s="185"/>
      <c r="BI221" s="185"/>
      <c r="BJ221" s="185"/>
      <c r="BK221" s="185"/>
      <c r="BL221" s="186"/>
      <c r="BM221" s="186"/>
      <c r="BN221" s="186"/>
      <c r="BO221" s="186"/>
      <c r="BP221" s="186"/>
      <c r="BQ221" s="186"/>
      <c r="BR221" s="186"/>
      <c r="BS221" s="186"/>
      <c r="BT221" s="186"/>
      <c r="BU221" s="186"/>
      <c r="BV221" s="186"/>
      <c r="BW221" s="186"/>
      <c r="BX221" s="186"/>
      <c r="BY221" s="186"/>
      <c r="BZ221" s="186"/>
      <c r="CA221" s="186"/>
      <c r="CB221" s="186"/>
      <c r="CC221" s="186"/>
      <c r="CD221" s="186"/>
      <c r="CE221" s="186"/>
      <c r="CF221" s="186"/>
      <c r="CG221" s="186"/>
    </row>
    <row r="222" spans="1:85" ht="15.75">
      <c r="A222" s="185"/>
      <c r="B222" s="866"/>
      <c r="C222" s="866"/>
      <c r="D222" s="866"/>
      <c r="E222" s="866"/>
      <c r="F222" s="866"/>
      <c r="G222" s="866"/>
      <c r="H222" s="866"/>
      <c r="I222" s="866"/>
      <c r="J222" s="866"/>
      <c r="K222" s="185"/>
      <c r="L222" s="185"/>
      <c r="M222" s="185"/>
      <c r="N222" s="185"/>
      <c r="O222" s="866"/>
      <c r="P222" s="866"/>
      <c r="Q222" s="866"/>
      <c r="R222" s="866"/>
      <c r="S222" s="866"/>
      <c r="T222" s="866"/>
      <c r="U222" s="866"/>
      <c r="V222" s="866"/>
      <c r="W222" s="866"/>
      <c r="X222" s="866"/>
      <c r="Y222" s="866"/>
      <c r="Z222" s="866"/>
      <c r="AA222" s="866"/>
      <c r="AB222" s="866"/>
      <c r="AC222" s="866"/>
      <c r="AD222" s="866"/>
      <c r="AE222" s="866"/>
      <c r="AF222" s="866"/>
      <c r="AG222" s="866"/>
      <c r="AH222" s="185"/>
      <c r="AI222" s="185"/>
      <c r="AJ222" s="866"/>
      <c r="AK222" s="866"/>
      <c r="AL222" s="866"/>
      <c r="AM222" s="866"/>
      <c r="AN222" s="866"/>
      <c r="AO222" s="866"/>
      <c r="AP222" s="866"/>
      <c r="AQ222" s="866"/>
      <c r="AR222" s="866"/>
      <c r="AS222" s="866"/>
      <c r="AT222" s="185"/>
      <c r="AU222" s="185"/>
      <c r="AV222" s="185"/>
      <c r="AW222" s="185"/>
      <c r="AX222" s="185"/>
      <c r="AY222" s="185"/>
      <c r="AZ222" s="185"/>
      <c r="BA222" s="185"/>
      <c r="BB222" s="185"/>
      <c r="BC222" s="185"/>
      <c r="BD222" s="185"/>
      <c r="BE222" s="185"/>
      <c r="BF222" s="185"/>
      <c r="BG222" s="185"/>
      <c r="BH222" s="185"/>
      <c r="BI222" s="185"/>
      <c r="BJ222" s="185"/>
      <c r="BK222" s="185"/>
      <c r="BL222" s="186"/>
      <c r="BM222" s="186"/>
      <c r="BN222" s="186"/>
      <c r="BO222" s="186"/>
      <c r="BP222" s="186"/>
      <c r="BQ222" s="186"/>
      <c r="BR222" s="186"/>
      <c r="BS222" s="186"/>
      <c r="BT222" s="186"/>
      <c r="BU222" s="186"/>
      <c r="BV222" s="186"/>
      <c r="BW222" s="186"/>
      <c r="BX222" s="186"/>
      <c r="BY222" s="186"/>
      <c r="BZ222" s="186"/>
      <c r="CA222" s="186"/>
      <c r="CB222" s="186"/>
      <c r="CC222" s="186"/>
      <c r="CD222" s="186"/>
      <c r="CE222" s="186"/>
      <c r="CF222" s="186"/>
      <c r="CG222" s="186"/>
    </row>
    <row r="223" spans="1:85" ht="15.75">
      <c r="A223" s="185"/>
      <c r="B223" s="866"/>
      <c r="C223" s="866"/>
      <c r="D223" s="866"/>
      <c r="E223" s="866"/>
      <c r="F223" s="866"/>
      <c r="G223" s="866"/>
      <c r="H223" s="866"/>
      <c r="I223" s="866"/>
      <c r="J223" s="866"/>
      <c r="K223" s="185"/>
      <c r="L223" s="185"/>
      <c r="M223" s="185"/>
      <c r="N223" s="185"/>
      <c r="O223" s="866"/>
      <c r="P223" s="866"/>
      <c r="Q223" s="866"/>
      <c r="R223" s="866"/>
      <c r="S223" s="866"/>
      <c r="T223" s="866"/>
      <c r="U223" s="866"/>
      <c r="V223" s="866"/>
      <c r="W223" s="866"/>
      <c r="X223" s="866"/>
      <c r="Y223" s="866"/>
      <c r="Z223" s="866"/>
      <c r="AA223" s="866"/>
      <c r="AB223" s="866"/>
      <c r="AC223" s="866"/>
      <c r="AD223" s="866"/>
      <c r="AE223" s="866"/>
      <c r="AF223" s="866"/>
      <c r="AG223" s="866"/>
      <c r="AH223" s="185"/>
      <c r="AI223" s="185"/>
      <c r="AJ223" s="866"/>
      <c r="AK223" s="866"/>
      <c r="AL223" s="866"/>
      <c r="AM223" s="866"/>
      <c r="AN223" s="866"/>
      <c r="AO223" s="866"/>
      <c r="AP223" s="866"/>
      <c r="AQ223" s="866"/>
      <c r="AR223" s="866"/>
      <c r="AS223" s="866"/>
      <c r="AT223" s="185"/>
      <c r="AU223" s="185"/>
      <c r="AV223" s="185"/>
      <c r="AW223" s="185"/>
      <c r="AX223" s="185"/>
      <c r="AY223" s="185"/>
      <c r="AZ223" s="185"/>
      <c r="BA223" s="185"/>
      <c r="BB223" s="185"/>
      <c r="BC223" s="185"/>
      <c r="BD223" s="185"/>
      <c r="BE223" s="185"/>
      <c r="BF223" s="185"/>
      <c r="BG223" s="185"/>
      <c r="BH223" s="185"/>
      <c r="BI223" s="185"/>
      <c r="BJ223" s="185"/>
      <c r="BK223" s="185"/>
      <c r="BL223" s="186"/>
      <c r="BM223" s="186"/>
      <c r="BN223" s="186"/>
      <c r="BO223" s="186"/>
      <c r="BP223" s="186"/>
      <c r="BQ223" s="186"/>
      <c r="BR223" s="186"/>
      <c r="BS223" s="186"/>
      <c r="BT223" s="186"/>
      <c r="BU223" s="186"/>
      <c r="BV223" s="186"/>
      <c r="BW223" s="186"/>
      <c r="BX223" s="186"/>
      <c r="BY223" s="186"/>
      <c r="BZ223" s="186"/>
      <c r="CA223" s="186"/>
      <c r="CB223" s="186"/>
      <c r="CC223" s="186"/>
      <c r="CD223" s="186"/>
      <c r="CE223" s="186"/>
      <c r="CF223" s="186"/>
      <c r="CG223" s="186"/>
    </row>
    <row r="224" spans="1:85" ht="15.75">
      <c r="A224" s="185"/>
      <c r="B224" s="866"/>
      <c r="C224" s="866"/>
      <c r="D224" s="866"/>
      <c r="E224" s="866"/>
      <c r="F224" s="866"/>
      <c r="G224" s="866"/>
      <c r="H224" s="866"/>
      <c r="I224" s="866"/>
      <c r="J224" s="866"/>
      <c r="K224" s="185"/>
      <c r="L224" s="185"/>
      <c r="M224" s="185"/>
      <c r="N224" s="185"/>
      <c r="O224" s="866"/>
      <c r="P224" s="866"/>
      <c r="Q224" s="866"/>
      <c r="R224" s="866"/>
      <c r="S224" s="866"/>
      <c r="T224" s="866"/>
      <c r="U224" s="866"/>
      <c r="V224" s="866"/>
      <c r="W224" s="866"/>
      <c r="X224" s="866"/>
      <c r="Y224" s="866"/>
      <c r="Z224" s="866"/>
      <c r="AA224" s="866"/>
      <c r="AB224" s="866"/>
      <c r="AC224" s="866"/>
      <c r="AD224" s="866"/>
      <c r="AE224" s="866"/>
      <c r="AF224" s="866"/>
      <c r="AG224" s="866"/>
      <c r="AH224" s="185"/>
      <c r="AI224" s="185"/>
      <c r="AJ224" s="866"/>
      <c r="AK224" s="866"/>
      <c r="AL224" s="866"/>
      <c r="AM224" s="866"/>
      <c r="AN224" s="866"/>
      <c r="AO224" s="866"/>
      <c r="AP224" s="866"/>
      <c r="AQ224" s="866"/>
      <c r="AR224" s="866"/>
      <c r="AS224" s="866"/>
      <c r="AT224" s="185"/>
      <c r="AU224" s="185"/>
      <c r="AV224" s="185"/>
      <c r="AW224" s="185"/>
      <c r="AX224" s="185"/>
      <c r="AY224" s="185"/>
      <c r="AZ224" s="185"/>
      <c r="BA224" s="185"/>
      <c r="BB224" s="185"/>
      <c r="BC224" s="185"/>
      <c r="BD224" s="185"/>
      <c r="BE224" s="185"/>
      <c r="BF224" s="185"/>
      <c r="BG224" s="185"/>
      <c r="BH224" s="185"/>
      <c r="BI224" s="185"/>
      <c r="BJ224" s="185"/>
      <c r="BK224" s="185"/>
      <c r="BL224" s="186"/>
      <c r="BM224" s="186"/>
      <c r="BN224" s="186"/>
      <c r="BO224" s="186"/>
      <c r="BP224" s="186"/>
      <c r="BQ224" s="186"/>
      <c r="BR224" s="186"/>
      <c r="BS224" s="186"/>
      <c r="BT224" s="186"/>
      <c r="BU224" s="186"/>
      <c r="BV224" s="186"/>
      <c r="BW224" s="186"/>
      <c r="BX224" s="186"/>
      <c r="BY224" s="186"/>
      <c r="BZ224" s="186"/>
      <c r="CA224" s="186"/>
      <c r="CB224" s="186"/>
      <c r="CC224" s="186"/>
      <c r="CD224" s="186"/>
      <c r="CE224" s="186"/>
      <c r="CF224" s="186"/>
      <c r="CG224" s="186"/>
    </row>
    <row r="225" spans="1:85" ht="15.75">
      <c r="A225" s="185"/>
      <c r="B225" s="866"/>
      <c r="C225" s="866"/>
      <c r="D225" s="866"/>
      <c r="E225" s="866"/>
      <c r="F225" s="866"/>
      <c r="G225" s="866"/>
      <c r="H225" s="866"/>
      <c r="I225" s="866"/>
      <c r="J225" s="866"/>
      <c r="K225" s="185"/>
      <c r="L225" s="185"/>
      <c r="M225" s="185"/>
      <c r="N225" s="185"/>
      <c r="O225" s="866"/>
      <c r="P225" s="866"/>
      <c r="Q225" s="866"/>
      <c r="R225" s="866"/>
      <c r="S225" s="866"/>
      <c r="T225" s="866"/>
      <c r="U225" s="866"/>
      <c r="V225" s="866"/>
      <c r="W225" s="866"/>
      <c r="X225" s="866"/>
      <c r="Y225" s="866"/>
      <c r="Z225" s="866"/>
      <c r="AA225" s="866"/>
      <c r="AB225" s="866"/>
      <c r="AC225" s="866"/>
      <c r="AD225" s="866"/>
      <c r="AE225" s="866"/>
      <c r="AF225" s="866"/>
      <c r="AG225" s="866"/>
      <c r="AH225" s="185"/>
      <c r="AI225" s="185"/>
      <c r="AJ225" s="866"/>
      <c r="AK225" s="866"/>
      <c r="AL225" s="866"/>
      <c r="AM225" s="866"/>
      <c r="AN225" s="866"/>
      <c r="AO225" s="866"/>
      <c r="AP225" s="866"/>
      <c r="AQ225" s="866"/>
      <c r="AR225" s="866"/>
      <c r="AS225" s="866"/>
      <c r="AT225" s="185"/>
      <c r="AU225" s="185"/>
      <c r="AV225" s="185"/>
      <c r="AW225" s="185"/>
      <c r="AX225" s="185"/>
      <c r="AY225" s="185"/>
      <c r="AZ225" s="185"/>
      <c r="BA225" s="185"/>
      <c r="BB225" s="185"/>
      <c r="BC225" s="185"/>
      <c r="BD225" s="185"/>
      <c r="BE225" s="185"/>
      <c r="BF225" s="185"/>
      <c r="BG225" s="185"/>
      <c r="BH225" s="185"/>
      <c r="BI225" s="185"/>
      <c r="BJ225" s="185"/>
      <c r="BK225" s="185"/>
      <c r="BL225" s="186"/>
      <c r="BM225" s="186"/>
      <c r="BN225" s="186"/>
      <c r="BO225" s="186"/>
      <c r="BP225" s="186"/>
      <c r="BQ225" s="186"/>
      <c r="BR225" s="186"/>
      <c r="BS225" s="186"/>
      <c r="BT225" s="186"/>
      <c r="BU225" s="186"/>
      <c r="BV225" s="186"/>
      <c r="BW225" s="186"/>
      <c r="BX225" s="186"/>
      <c r="BY225" s="186"/>
      <c r="BZ225" s="186"/>
      <c r="CA225" s="186"/>
      <c r="CB225" s="186"/>
      <c r="CC225" s="186"/>
      <c r="CD225" s="186"/>
      <c r="CE225" s="186"/>
      <c r="CF225" s="186"/>
      <c r="CG225" s="186"/>
    </row>
    <row r="226" spans="1:85" ht="15.75">
      <c r="A226" s="185"/>
      <c r="B226" s="866"/>
      <c r="C226" s="866"/>
      <c r="D226" s="866"/>
      <c r="E226" s="866"/>
      <c r="F226" s="866"/>
      <c r="G226" s="866"/>
      <c r="H226" s="866"/>
      <c r="I226" s="866"/>
      <c r="J226" s="866"/>
      <c r="K226" s="185"/>
      <c r="L226" s="185"/>
      <c r="M226" s="185"/>
      <c r="N226" s="185"/>
      <c r="O226" s="866"/>
      <c r="P226" s="866"/>
      <c r="Q226" s="866"/>
      <c r="R226" s="866"/>
      <c r="S226" s="866"/>
      <c r="T226" s="866"/>
      <c r="U226" s="866"/>
      <c r="V226" s="866"/>
      <c r="W226" s="866"/>
      <c r="X226" s="866"/>
      <c r="Y226" s="866"/>
      <c r="Z226" s="866"/>
      <c r="AA226" s="866"/>
      <c r="AB226" s="866"/>
      <c r="AC226" s="866"/>
      <c r="AD226" s="866"/>
      <c r="AE226" s="866"/>
      <c r="AF226" s="866"/>
      <c r="AG226" s="866"/>
      <c r="AH226" s="185"/>
      <c r="AI226" s="185"/>
      <c r="AJ226" s="866"/>
      <c r="AK226" s="866"/>
      <c r="AL226" s="866"/>
      <c r="AM226" s="866"/>
      <c r="AN226" s="866"/>
      <c r="AO226" s="866"/>
      <c r="AP226" s="866"/>
      <c r="AQ226" s="866"/>
      <c r="AR226" s="866"/>
      <c r="AS226" s="866"/>
      <c r="AT226" s="185"/>
      <c r="AU226" s="185"/>
      <c r="AV226" s="185"/>
      <c r="AW226" s="185"/>
      <c r="AX226" s="185"/>
      <c r="AY226" s="185"/>
      <c r="AZ226" s="185"/>
      <c r="BA226" s="185"/>
      <c r="BB226" s="185"/>
      <c r="BC226" s="185"/>
      <c r="BD226" s="185"/>
      <c r="BE226" s="185"/>
      <c r="BF226" s="185"/>
      <c r="BG226" s="185"/>
      <c r="BH226" s="185"/>
      <c r="BI226" s="185"/>
      <c r="BJ226" s="185"/>
      <c r="BK226" s="185"/>
      <c r="BL226" s="186"/>
      <c r="BM226" s="186"/>
      <c r="BN226" s="186"/>
      <c r="BO226" s="186"/>
      <c r="BP226" s="186"/>
      <c r="BQ226" s="186"/>
      <c r="BR226" s="186"/>
      <c r="BS226" s="186"/>
      <c r="BT226" s="186"/>
      <c r="BU226" s="186"/>
      <c r="BV226" s="186"/>
      <c r="BW226" s="186"/>
      <c r="BX226" s="186"/>
      <c r="BY226" s="186"/>
      <c r="BZ226" s="186"/>
      <c r="CA226" s="186"/>
      <c r="CB226" s="186"/>
      <c r="CC226" s="186"/>
      <c r="CD226" s="186"/>
      <c r="CE226" s="186"/>
      <c r="CF226" s="186"/>
      <c r="CG226" s="186"/>
    </row>
    <row r="227" spans="1:85" ht="15.75">
      <c r="A227" s="185"/>
      <c r="B227" s="866"/>
      <c r="C227" s="866"/>
      <c r="D227" s="866"/>
      <c r="E227" s="866"/>
      <c r="F227" s="866"/>
      <c r="G227" s="866"/>
      <c r="H227" s="866"/>
      <c r="I227" s="866"/>
      <c r="J227" s="866"/>
      <c r="K227" s="185"/>
      <c r="L227" s="185"/>
      <c r="M227" s="185"/>
      <c r="N227" s="185"/>
      <c r="O227" s="866"/>
      <c r="P227" s="866"/>
      <c r="Q227" s="866"/>
      <c r="R227" s="866"/>
      <c r="S227" s="866"/>
      <c r="T227" s="866"/>
      <c r="U227" s="866"/>
      <c r="V227" s="866"/>
      <c r="W227" s="866"/>
      <c r="X227" s="866"/>
      <c r="Y227" s="866"/>
      <c r="Z227" s="866"/>
      <c r="AA227" s="866"/>
      <c r="AB227" s="866"/>
      <c r="AC227" s="866"/>
      <c r="AD227" s="866"/>
      <c r="AE227" s="866"/>
      <c r="AF227" s="866"/>
      <c r="AG227" s="866"/>
      <c r="AH227" s="185"/>
      <c r="AI227" s="185"/>
      <c r="AJ227" s="866"/>
      <c r="AK227" s="866"/>
      <c r="AL227" s="866"/>
      <c r="AM227" s="866"/>
      <c r="AN227" s="866"/>
      <c r="AO227" s="866"/>
      <c r="AP227" s="866"/>
      <c r="AQ227" s="866"/>
      <c r="AR227" s="866"/>
      <c r="AS227" s="866"/>
      <c r="AT227" s="185"/>
      <c r="AU227" s="185"/>
      <c r="AV227" s="185"/>
      <c r="AW227" s="185"/>
      <c r="AX227" s="185"/>
      <c r="AY227" s="185"/>
      <c r="AZ227" s="185"/>
      <c r="BA227" s="185"/>
      <c r="BB227" s="185"/>
      <c r="BC227" s="185"/>
      <c r="BD227" s="185"/>
      <c r="BE227" s="185"/>
      <c r="BF227" s="185"/>
      <c r="BG227" s="185"/>
      <c r="BH227" s="185"/>
      <c r="BI227" s="185"/>
      <c r="BJ227" s="185"/>
      <c r="BK227" s="185"/>
      <c r="BL227" s="186"/>
      <c r="BM227" s="186"/>
      <c r="BN227" s="186"/>
      <c r="BO227" s="186"/>
      <c r="BP227" s="186"/>
      <c r="BQ227" s="186"/>
      <c r="BR227" s="186"/>
      <c r="BS227" s="186"/>
      <c r="BT227" s="186"/>
      <c r="BU227" s="186"/>
      <c r="BV227" s="186"/>
      <c r="BW227" s="186"/>
      <c r="BX227" s="186"/>
      <c r="BY227" s="186"/>
      <c r="BZ227" s="186"/>
      <c r="CA227" s="186"/>
      <c r="CB227" s="186"/>
      <c r="CC227" s="186"/>
      <c r="CD227" s="186"/>
      <c r="CE227" s="186"/>
      <c r="CF227" s="186"/>
      <c r="CG227" s="186"/>
    </row>
    <row r="228" spans="1:85" ht="15.75">
      <c r="A228" s="185"/>
      <c r="B228" s="866"/>
      <c r="C228" s="866"/>
      <c r="D228" s="866"/>
      <c r="E228" s="866"/>
      <c r="F228" s="866"/>
      <c r="G228" s="866"/>
      <c r="H228" s="866"/>
      <c r="I228" s="866"/>
      <c r="J228" s="866"/>
      <c r="K228" s="185"/>
      <c r="L228" s="185"/>
      <c r="M228" s="185"/>
      <c r="N228" s="185"/>
      <c r="O228" s="866"/>
      <c r="P228" s="866"/>
      <c r="Q228" s="866"/>
      <c r="R228" s="866"/>
      <c r="S228" s="866"/>
      <c r="T228" s="866"/>
      <c r="U228" s="866"/>
      <c r="V228" s="866"/>
      <c r="W228" s="866"/>
      <c r="X228" s="866"/>
      <c r="Y228" s="866"/>
      <c r="Z228" s="866"/>
      <c r="AA228" s="866"/>
      <c r="AB228" s="866"/>
      <c r="AC228" s="866"/>
      <c r="AD228" s="866"/>
      <c r="AE228" s="866"/>
      <c r="AF228" s="866"/>
      <c r="AG228" s="866"/>
      <c r="AH228" s="185"/>
      <c r="AI228" s="185"/>
      <c r="AJ228" s="866"/>
      <c r="AK228" s="866"/>
      <c r="AL228" s="866"/>
      <c r="AM228" s="866"/>
      <c r="AN228" s="866"/>
      <c r="AO228" s="866"/>
      <c r="AP228" s="866"/>
      <c r="AQ228" s="866"/>
      <c r="AR228" s="866"/>
      <c r="AS228" s="866"/>
      <c r="AT228" s="185"/>
      <c r="AU228" s="185"/>
      <c r="AV228" s="185"/>
      <c r="AW228" s="185"/>
      <c r="AX228" s="185"/>
      <c r="AY228" s="185"/>
      <c r="AZ228" s="185"/>
      <c r="BA228" s="185"/>
      <c r="BB228" s="185"/>
      <c r="BC228" s="185"/>
      <c r="BD228" s="185"/>
      <c r="BE228" s="185"/>
      <c r="BF228" s="185"/>
      <c r="BG228" s="185"/>
      <c r="BH228" s="185"/>
      <c r="BI228" s="185"/>
      <c r="BJ228" s="185"/>
      <c r="BK228" s="185"/>
      <c r="BL228" s="186"/>
      <c r="BM228" s="186"/>
      <c r="BN228" s="186"/>
      <c r="BO228" s="186"/>
      <c r="BP228" s="186"/>
      <c r="BQ228" s="186"/>
      <c r="BR228" s="186"/>
      <c r="BS228" s="186"/>
      <c r="BT228" s="186"/>
      <c r="BU228" s="186"/>
      <c r="BV228" s="186"/>
      <c r="BW228" s="186"/>
      <c r="BX228" s="186"/>
      <c r="BY228" s="186"/>
      <c r="BZ228" s="186"/>
      <c r="CA228" s="186"/>
      <c r="CB228" s="186"/>
      <c r="CC228" s="186"/>
      <c r="CD228" s="186"/>
      <c r="CE228" s="186"/>
      <c r="CF228" s="186"/>
      <c r="CG228" s="186"/>
    </row>
    <row r="229" spans="1:85" ht="15.75">
      <c r="A229" s="185"/>
      <c r="B229" s="866"/>
      <c r="C229" s="866"/>
      <c r="D229" s="866"/>
      <c r="E229" s="866"/>
      <c r="F229" s="866"/>
      <c r="G229" s="866"/>
      <c r="H229" s="866"/>
      <c r="I229" s="866"/>
      <c r="J229" s="866"/>
      <c r="K229" s="185"/>
      <c r="L229" s="185"/>
      <c r="M229" s="185"/>
      <c r="N229" s="185"/>
      <c r="O229" s="866"/>
      <c r="P229" s="866"/>
      <c r="Q229" s="866"/>
      <c r="R229" s="866"/>
      <c r="S229" s="866"/>
      <c r="T229" s="866"/>
      <c r="U229" s="866"/>
      <c r="V229" s="866"/>
      <c r="W229" s="866"/>
      <c r="X229" s="866"/>
      <c r="Y229" s="866"/>
      <c r="Z229" s="866"/>
      <c r="AA229" s="866"/>
      <c r="AB229" s="866"/>
      <c r="AC229" s="866"/>
      <c r="AD229" s="866"/>
      <c r="AE229" s="866"/>
      <c r="AF229" s="866"/>
      <c r="AG229" s="866"/>
      <c r="AH229" s="185"/>
      <c r="AI229" s="185"/>
      <c r="AJ229" s="866"/>
      <c r="AK229" s="866"/>
      <c r="AL229" s="866"/>
      <c r="AM229" s="866"/>
      <c r="AN229" s="866"/>
      <c r="AO229" s="866"/>
      <c r="AP229" s="866"/>
      <c r="AQ229" s="866"/>
      <c r="AR229" s="866"/>
      <c r="AS229" s="866"/>
      <c r="AT229" s="185"/>
      <c r="AU229" s="185"/>
      <c r="AV229" s="185"/>
      <c r="AW229" s="185"/>
      <c r="AX229" s="185"/>
      <c r="AY229" s="185"/>
      <c r="AZ229" s="185"/>
      <c r="BA229" s="185"/>
      <c r="BB229" s="185"/>
      <c r="BC229" s="185"/>
      <c r="BD229" s="185"/>
      <c r="BE229" s="185"/>
      <c r="BF229" s="185"/>
      <c r="BG229" s="185"/>
      <c r="BH229" s="185"/>
      <c r="BI229" s="185"/>
      <c r="BJ229" s="185"/>
      <c r="BK229" s="185"/>
      <c r="BL229" s="186"/>
      <c r="BM229" s="186"/>
      <c r="BN229" s="186"/>
      <c r="BO229" s="186"/>
      <c r="BP229" s="186"/>
      <c r="BQ229" s="186"/>
      <c r="BR229" s="186"/>
      <c r="BS229" s="186"/>
      <c r="BT229" s="186"/>
      <c r="BU229" s="186"/>
      <c r="BV229" s="186"/>
      <c r="BW229" s="186"/>
      <c r="BX229" s="186"/>
      <c r="BY229" s="186"/>
      <c r="BZ229" s="186"/>
      <c r="CA229" s="186"/>
      <c r="CB229" s="186"/>
      <c r="CC229" s="186"/>
      <c r="CD229" s="186"/>
      <c r="CE229" s="186"/>
      <c r="CF229" s="186"/>
      <c r="CG229" s="186"/>
    </row>
    <row r="230" spans="1:85" ht="15.75">
      <c r="A230" s="185"/>
      <c r="B230" s="866"/>
      <c r="C230" s="866"/>
      <c r="D230" s="866"/>
      <c r="E230" s="866"/>
      <c r="F230" s="866"/>
      <c r="G230" s="866"/>
      <c r="H230" s="866"/>
      <c r="I230" s="866"/>
      <c r="J230" s="866"/>
      <c r="K230" s="185"/>
      <c r="L230" s="185"/>
      <c r="M230" s="185"/>
      <c r="N230" s="185"/>
      <c r="O230" s="866"/>
      <c r="P230" s="866"/>
      <c r="Q230" s="866"/>
      <c r="R230" s="866"/>
      <c r="S230" s="866"/>
      <c r="T230" s="866"/>
      <c r="U230" s="866"/>
      <c r="V230" s="866"/>
      <c r="W230" s="866"/>
      <c r="X230" s="866"/>
      <c r="Y230" s="866"/>
      <c r="Z230" s="866"/>
      <c r="AA230" s="866"/>
      <c r="AB230" s="866"/>
      <c r="AC230" s="866"/>
      <c r="AD230" s="866"/>
      <c r="AE230" s="866"/>
      <c r="AF230" s="866"/>
      <c r="AG230" s="866"/>
      <c r="AH230" s="185"/>
      <c r="AI230" s="185"/>
      <c r="AJ230" s="866"/>
      <c r="AK230" s="866"/>
      <c r="AL230" s="866"/>
      <c r="AM230" s="866"/>
      <c r="AN230" s="866"/>
      <c r="AO230" s="866"/>
      <c r="AP230" s="866"/>
      <c r="AQ230" s="866"/>
      <c r="AR230" s="866"/>
      <c r="AS230" s="866"/>
      <c r="AT230" s="185"/>
      <c r="AU230" s="185"/>
      <c r="AV230" s="185"/>
      <c r="AW230" s="185"/>
      <c r="AX230" s="185"/>
      <c r="AY230" s="185"/>
      <c r="AZ230" s="185"/>
      <c r="BA230" s="185"/>
      <c r="BB230" s="185"/>
      <c r="BC230" s="185"/>
      <c r="BD230" s="185"/>
      <c r="BE230" s="185"/>
      <c r="BF230" s="185"/>
      <c r="BG230" s="185"/>
      <c r="BH230" s="185"/>
      <c r="BI230" s="185"/>
      <c r="BJ230" s="185"/>
      <c r="BK230" s="185"/>
      <c r="BL230" s="186"/>
      <c r="BM230" s="186"/>
      <c r="BN230" s="186"/>
      <c r="BO230" s="186"/>
      <c r="BP230" s="186"/>
      <c r="BQ230" s="186"/>
      <c r="BR230" s="186"/>
      <c r="BS230" s="186"/>
      <c r="BT230" s="186"/>
      <c r="BU230" s="186"/>
      <c r="BV230" s="186"/>
      <c r="BW230" s="186"/>
      <c r="BX230" s="186"/>
      <c r="BY230" s="186"/>
      <c r="BZ230" s="186"/>
      <c r="CA230" s="186"/>
      <c r="CB230" s="186"/>
      <c r="CC230" s="186"/>
      <c r="CD230" s="186"/>
      <c r="CE230" s="186"/>
      <c r="CF230" s="186"/>
      <c r="CG230" s="186"/>
    </row>
    <row r="231" spans="1:85" ht="15.75">
      <c r="A231" s="185"/>
      <c r="B231" s="866"/>
      <c r="C231" s="866"/>
      <c r="D231" s="866"/>
      <c r="E231" s="866"/>
      <c r="F231" s="866"/>
      <c r="G231" s="866"/>
      <c r="H231" s="866"/>
      <c r="I231" s="866"/>
      <c r="J231" s="866"/>
      <c r="K231" s="185"/>
      <c r="L231" s="185"/>
      <c r="M231" s="185"/>
      <c r="N231" s="185"/>
      <c r="O231" s="866"/>
      <c r="P231" s="866"/>
      <c r="Q231" s="866"/>
      <c r="R231" s="866"/>
      <c r="S231" s="866"/>
      <c r="T231" s="866"/>
      <c r="U231" s="866"/>
      <c r="V231" s="866"/>
      <c r="W231" s="866"/>
      <c r="X231" s="866"/>
      <c r="Y231" s="866"/>
      <c r="Z231" s="866"/>
      <c r="AA231" s="866"/>
      <c r="AB231" s="866"/>
      <c r="AC231" s="866"/>
      <c r="AD231" s="866"/>
      <c r="AE231" s="866"/>
      <c r="AF231" s="866"/>
      <c r="AG231" s="866"/>
      <c r="AH231" s="185"/>
      <c r="AI231" s="185"/>
      <c r="AJ231" s="866"/>
      <c r="AK231" s="866"/>
      <c r="AL231" s="866"/>
      <c r="AM231" s="866"/>
      <c r="AN231" s="866"/>
      <c r="AO231" s="866"/>
      <c r="AP231" s="866"/>
      <c r="AQ231" s="866"/>
      <c r="AR231" s="866"/>
      <c r="AS231" s="866"/>
      <c r="AT231" s="185"/>
      <c r="AU231" s="185"/>
      <c r="AV231" s="185"/>
      <c r="AW231" s="185"/>
      <c r="AX231" s="185"/>
      <c r="AY231" s="185"/>
      <c r="AZ231" s="185"/>
      <c r="BA231" s="185"/>
      <c r="BB231" s="185"/>
      <c r="BC231" s="185"/>
      <c r="BD231" s="185"/>
      <c r="BE231" s="185"/>
      <c r="BF231" s="185"/>
      <c r="BG231" s="185"/>
      <c r="BH231" s="185"/>
      <c r="BI231" s="185"/>
      <c r="BJ231" s="185"/>
      <c r="BK231" s="185"/>
      <c r="BL231" s="186"/>
      <c r="BM231" s="186"/>
      <c r="BN231" s="186"/>
      <c r="BO231" s="186"/>
      <c r="BP231" s="186"/>
      <c r="BQ231" s="186"/>
      <c r="BR231" s="186"/>
      <c r="BS231" s="186"/>
      <c r="BT231" s="186"/>
      <c r="BU231" s="186"/>
      <c r="BV231" s="186"/>
      <c r="BW231" s="186"/>
      <c r="BX231" s="186"/>
      <c r="BY231" s="186"/>
      <c r="BZ231" s="186"/>
      <c r="CA231" s="186"/>
      <c r="CB231" s="186"/>
      <c r="CC231" s="186"/>
      <c r="CD231" s="186"/>
      <c r="CE231" s="186"/>
      <c r="CF231" s="186"/>
      <c r="CG231" s="186"/>
    </row>
    <row r="232" spans="1:85" ht="15.75">
      <c r="A232" s="185"/>
      <c r="B232" s="866"/>
      <c r="C232" s="866"/>
      <c r="D232" s="866"/>
      <c r="E232" s="866"/>
      <c r="F232" s="866"/>
      <c r="G232" s="866"/>
      <c r="H232" s="866"/>
      <c r="I232" s="866"/>
      <c r="J232" s="866"/>
      <c r="K232" s="185"/>
      <c r="L232" s="185"/>
      <c r="M232" s="185"/>
      <c r="N232" s="185"/>
      <c r="O232" s="866"/>
      <c r="P232" s="866"/>
      <c r="Q232" s="866"/>
      <c r="R232" s="866"/>
      <c r="S232" s="866"/>
      <c r="T232" s="866"/>
      <c r="U232" s="866"/>
      <c r="V232" s="866"/>
      <c r="W232" s="866"/>
      <c r="X232" s="866"/>
      <c r="Y232" s="866"/>
      <c r="Z232" s="866"/>
      <c r="AA232" s="866"/>
      <c r="AB232" s="866"/>
      <c r="AC232" s="866"/>
      <c r="AD232" s="866"/>
      <c r="AE232" s="866"/>
      <c r="AF232" s="866"/>
      <c r="AG232" s="866"/>
      <c r="AH232" s="185"/>
      <c r="AI232" s="185"/>
      <c r="AJ232" s="866"/>
      <c r="AK232" s="866"/>
      <c r="AL232" s="866"/>
      <c r="AM232" s="866"/>
      <c r="AN232" s="866"/>
      <c r="AO232" s="866"/>
      <c r="AP232" s="866"/>
      <c r="AQ232" s="866"/>
      <c r="AR232" s="866"/>
      <c r="AS232" s="866"/>
      <c r="AT232" s="185"/>
      <c r="AU232" s="185"/>
      <c r="AV232" s="185"/>
      <c r="AW232" s="185"/>
      <c r="AX232" s="185"/>
      <c r="AY232" s="185"/>
      <c r="AZ232" s="185"/>
      <c r="BA232" s="185"/>
      <c r="BB232" s="185"/>
      <c r="BC232" s="185"/>
      <c r="BD232" s="185"/>
      <c r="BE232" s="185"/>
      <c r="BF232" s="185"/>
      <c r="BG232" s="185"/>
      <c r="BH232" s="185"/>
      <c r="BI232" s="185"/>
      <c r="BJ232" s="185"/>
      <c r="BK232" s="185"/>
      <c r="BL232" s="186"/>
      <c r="BM232" s="186"/>
      <c r="BN232" s="186"/>
      <c r="BO232" s="186"/>
      <c r="BP232" s="186"/>
      <c r="BQ232" s="186"/>
      <c r="BR232" s="186"/>
      <c r="BS232" s="186"/>
      <c r="BT232" s="186"/>
      <c r="BU232" s="186"/>
      <c r="BV232" s="186"/>
      <c r="BW232" s="186"/>
      <c r="BX232" s="186"/>
      <c r="BY232" s="186"/>
      <c r="BZ232" s="186"/>
      <c r="CA232" s="186"/>
      <c r="CB232" s="186"/>
      <c r="CC232" s="186"/>
      <c r="CD232" s="186"/>
      <c r="CE232" s="186"/>
      <c r="CF232" s="186"/>
      <c r="CG232" s="186"/>
    </row>
    <row r="233" spans="1:85" ht="15.75">
      <c r="A233" s="185"/>
      <c r="B233" s="866"/>
      <c r="C233" s="866"/>
      <c r="D233" s="866"/>
      <c r="E233" s="866"/>
      <c r="F233" s="866"/>
      <c r="G233" s="866"/>
      <c r="H233" s="866"/>
      <c r="I233" s="866"/>
      <c r="J233" s="866"/>
      <c r="K233" s="185"/>
      <c r="L233" s="185"/>
      <c r="M233" s="185"/>
      <c r="N233" s="185"/>
      <c r="O233" s="866"/>
      <c r="P233" s="866"/>
      <c r="Q233" s="866"/>
      <c r="R233" s="866"/>
      <c r="S233" s="866"/>
      <c r="T233" s="866"/>
      <c r="U233" s="866"/>
      <c r="V233" s="866"/>
      <c r="W233" s="866"/>
      <c r="X233" s="866"/>
      <c r="Y233" s="866"/>
      <c r="Z233" s="866"/>
      <c r="AA233" s="866"/>
      <c r="AB233" s="866"/>
      <c r="AC233" s="866"/>
      <c r="AD233" s="866"/>
      <c r="AE233" s="866"/>
      <c r="AF233" s="866"/>
      <c r="AG233" s="866"/>
      <c r="AH233" s="185"/>
      <c r="AI233" s="185"/>
      <c r="AJ233" s="866"/>
      <c r="AK233" s="866"/>
      <c r="AL233" s="866"/>
      <c r="AM233" s="866"/>
      <c r="AN233" s="866"/>
      <c r="AO233" s="866"/>
      <c r="AP233" s="866"/>
      <c r="AQ233" s="866"/>
      <c r="AR233" s="866"/>
      <c r="AS233" s="866"/>
      <c r="AT233" s="185"/>
      <c r="AU233" s="185"/>
      <c r="AV233" s="185"/>
      <c r="AW233" s="185"/>
      <c r="AX233" s="185"/>
      <c r="AY233" s="185"/>
      <c r="AZ233" s="185"/>
      <c r="BA233" s="185"/>
      <c r="BB233" s="185"/>
      <c r="BC233" s="185"/>
      <c r="BD233" s="185"/>
      <c r="BE233" s="185"/>
      <c r="BF233" s="185"/>
      <c r="BG233" s="185"/>
      <c r="BH233" s="185"/>
      <c r="BI233" s="185"/>
      <c r="BJ233" s="185"/>
      <c r="BK233" s="185"/>
      <c r="BL233" s="186"/>
      <c r="BM233" s="186"/>
      <c r="BN233" s="186"/>
      <c r="BO233" s="186"/>
      <c r="BP233" s="186"/>
      <c r="BQ233" s="186"/>
      <c r="BR233" s="186"/>
      <c r="BS233" s="186"/>
      <c r="BT233" s="186"/>
      <c r="BU233" s="186"/>
      <c r="BV233" s="186"/>
      <c r="BW233" s="186"/>
      <c r="BX233" s="186"/>
      <c r="BY233" s="186"/>
      <c r="BZ233" s="186"/>
      <c r="CA233" s="186"/>
      <c r="CB233" s="186"/>
      <c r="CC233" s="186"/>
      <c r="CD233" s="186"/>
      <c r="CE233" s="186"/>
      <c r="CF233" s="186"/>
      <c r="CG233" s="186"/>
    </row>
    <row r="234" spans="1:85" ht="15.75">
      <c r="A234" s="185"/>
      <c r="B234" s="866"/>
      <c r="C234" s="866"/>
      <c r="D234" s="866"/>
      <c r="E234" s="866"/>
      <c r="F234" s="866"/>
      <c r="G234" s="866"/>
      <c r="H234" s="866"/>
      <c r="I234" s="866"/>
      <c r="J234" s="866"/>
      <c r="K234" s="185"/>
      <c r="L234" s="185"/>
      <c r="M234" s="185"/>
      <c r="N234" s="185"/>
      <c r="O234" s="866"/>
      <c r="P234" s="866"/>
      <c r="Q234" s="866"/>
      <c r="R234" s="866"/>
      <c r="S234" s="866"/>
      <c r="T234" s="866"/>
      <c r="U234" s="866"/>
      <c r="V234" s="866"/>
      <c r="W234" s="866"/>
      <c r="X234" s="866"/>
      <c r="Y234" s="866"/>
      <c r="Z234" s="866"/>
      <c r="AA234" s="866"/>
      <c r="AB234" s="866"/>
      <c r="AC234" s="866"/>
      <c r="AD234" s="866"/>
      <c r="AE234" s="866"/>
      <c r="AF234" s="866"/>
      <c r="AG234" s="866"/>
      <c r="AH234" s="185"/>
      <c r="AI234" s="185"/>
      <c r="AJ234" s="866"/>
      <c r="AK234" s="866"/>
      <c r="AL234" s="866"/>
      <c r="AM234" s="866"/>
      <c r="AN234" s="866"/>
      <c r="AO234" s="866"/>
      <c r="AP234" s="866"/>
      <c r="AQ234" s="866"/>
      <c r="AR234" s="866"/>
      <c r="AS234" s="866"/>
      <c r="AT234" s="185"/>
      <c r="AU234" s="185"/>
      <c r="AV234" s="185"/>
      <c r="AW234" s="185"/>
      <c r="AX234" s="185"/>
      <c r="AY234" s="185"/>
      <c r="AZ234" s="185"/>
      <c r="BA234" s="185"/>
      <c r="BB234" s="185"/>
      <c r="BC234" s="185"/>
      <c r="BD234" s="185"/>
      <c r="BE234" s="185"/>
      <c r="BF234" s="185"/>
      <c r="BG234" s="185"/>
      <c r="BH234" s="185"/>
      <c r="BI234" s="185"/>
      <c r="BJ234" s="185"/>
      <c r="BK234" s="185"/>
      <c r="BL234" s="186"/>
      <c r="BM234" s="186"/>
      <c r="BN234" s="186"/>
      <c r="BO234" s="186"/>
      <c r="BP234" s="186"/>
      <c r="BQ234" s="186"/>
      <c r="BR234" s="186"/>
      <c r="BS234" s="186"/>
      <c r="BT234" s="186"/>
      <c r="BU234" s="186"/>
      <c r="BV234" s="186"/>
      <c r="BW234" s="186"/>
      <c r="BX234" s="186"/>
      <c r="BY234" s="186"/>
      <c r="BZ234" s="186"/>
      <c r="CA234" s="186"/>
      <c r="CB234" s="186"/>
      <c r="CC234" s="186"/>
      <c r="CD234" s="186"/>
      <c r="CE234" s="186"/>
      <c r="CF234" s="186"/>
      <c r="CG234" s="186"/>
    </row>
    <row r="235" spans="1:85" ht="15.75">
      <c r="A235" s="185"/>
      <c r="B235" s="866"/>
      <c r="C235" s="866"/>
      <c r="D235" s="866"/>
      <c r="E235" s="866"/>
      <c r="F235" s="866"/>
      <c r="G235" s="866"/>
      <c r="H235" s="866"/>
      <c r="I235" s="866"/>
      <c r="J235" s="866"/>
      <c r="K235" s="185"/>
      <c r="L235" s="185"/>
      <c r="M235" s="185"/>
      <c r="N235" s="185"/>
      <c r="O235" s="866"/>
      <c r="P235" s="866"/>
      <c r="Q235" s="866"/>
      <c r="R235" s="866"/>
      <c r="S235" s="866"/>
      <c r="T235" s="866"/>
      <c r="U235" s="866"/>
      <c r="V235" s="866"/>
      <c r="W235" s="866"/>
      <c r="X235" s="866"/>
      <c r="Y235" s="866"/>
      <c r="Z235" s="866"/>
      <c r="AA235" s="866"/>
      <c r="AB235" s="866"/>
      <c r="AC235" s="866"/>
      <c r="AD235" s="866"/>
      <c r="AE235" s="866"/>
      <c r="AF235" s="866"/>
      <c r="AG235" s="866"/>
      <c r="AH235" s="185"/>
      <c r="AI235" s="185"/>
      <c r="AJ235" s="866"/>
      <c r="AK235" s="866"/>
      <c r="AL235" s="866"/>
      <c r="AM235" s="866"/>
      <c r="AN235" s="866"/>
      <c r="AO235" s="866"/>
      <c r="AP235" s="866"/>
      <c r="AQ235" s="866"/>
      <c r="AR235" s="866"/>
      <c r="AS235" s="866"/>
      <c r="AT235" s="185"/>
      <c r="AU235" s="185"/>
      <c r="AV235" s="185"/>
      <c r="AW235" s="185"/>
      <c r="AX235" s="185"/>
      <c r="AY235" s="185"/>
      <c r="AZ235" s="185"/>
      <c r="BA235" s="185"/>
      <c r="BB235" s="185"/>
      <c r="BC235" s="185"/>
      <c r="BD235" s="185"/>
      <c r="BE235" s="185"/>
      <c r="BF235" s="185"/>
      <c r="BG235" s="185"/>
      <c r="BH235" s="185"/>
      <c r="BI235" s="185"/>
      <c r="BJ235" s="185"/>
      <c r="BK235" s="185"/>
      <c r="BL235" s="186"/>
      <c r="BM235" s="186"/>
      <c r="BN235" s="186"/>
      <c r="BO235" s="186"/>
      <c r="BP235" s="186"/>
      <c r="BQ235" s="186"/>
      <c r="BR235" s="186"/>
      <c r="BS235" s="186"/>
      <c r="BT235" s="186"/>
      <c r="BU235" s="186"/>
      <c r="BV235" s="186"/>
      <c r="BW235" s="186"/>
      <c r="BX235" s="186"/>
      <c r="BY235" s="186"/>
      <c r="BZ235" s="186"/>
      <c r="CA235" s="186"/>
      <c r="CB235" s="186"/>
      <c r="CC235" s="186"/>
      <c r="CD235" s="186"/>
      <c r="CE235" s="186"/>
      <c r="CF235" s="186"/>
      <c r="CG235" s="186"/>
    </row>
    <row r="236" spans="1:85" ht="15.75">
      <c r="A236" s="185"/>
      <c r="B236" s="866"/>
      <c r="C236" s="866"/>
      <c r="D236" s="866"/>
      <c r="E236" s="866"/>
      <c r="F236" s="866"/>
      <c r="G236" s="866"/>
      <c r="H236" s="866"/>
      <c r="I236" s="866"/>
      <c r="J236" s="866"/>
      <c r="K236" s="185"/>
      <c r="L236" s="185"/>
      <c r="M236" s="185"/>
      <c r="N236" s="185"/>
      <c r="O236" s="866"/>
      <c r="P236" s="866"/>
      <c r="Q236" s="866"/>
      <c r="R236" s="866"/>
      <c r="S236" s="866"/>
      <c r="T236" s="866"/>
      <c r="U236" s="866"/>
      <c r="V236" s="866"/>
      <c r="W236" s="866"/>
      <c r="X236" s="866"/>
      <c r="Y236" s="866"/>
      <c r="Z236" s="866"/>
      <c r="AA236" s="866"/>
      <c r="AB236" s="866"/>
      <c r="AC236" s="866"/>
      <c r="AD236" s="866"/>
      <c r="AE236" s="866"/>
      <c r="AF236" s="866"/>
      <c r="AG236" s="866"/>
      <c r="AH236" s="185"/>
      <c r="AI236" s="185"/>
      <c r="AJ236" s="866"/>
      <c r="AK236" s="866"/>
      <c r="AL236" s="866"/>
      <c r="AM236" s="866"/>
      <c r="AN236" s="866"/>
      <c r="AO236" s="866"/>
      <c r="AP236" s="866"/>
      <c r="AQ236" s="866"/>
      <c r="AR236" s="866"/>
      <c r="AS236" s="866"/>
      <c r="AT236" s="185"/>
      <c r="AU236" s="185"/>
      <c r="AV236" s="185"/>
      <c r="AW236" s="185"/>
      <c r="AX236" s="185"/>
      <c r="AY236" s="185"/>
      <c r="AZ236" s="185"/>
      <c r="BA236" s="185"/>
      <c r="BB236" s="185"/>
      <c r="BC236" s="185"/>
      <c r="BD236" s="185"/>
      <c r="BE236" s="185"/>
      <c r="BF236" s="185"/>
      <c r="BG236" s="185"/>
      <c r="BH236" s="185"/>
      <c r="BI236" s="185"/>
      <c r="BJ236" s="185"/>
      <c r="BK236" s="185"/>
      <c r="BL236" s="186"/>
      <c r="BM236" s="186"/>
      <c r="BN236" s="186"/>
      <c r="BO236" s="186"/>
      <c r="BP236" s="186"/>
      <c r="BQ236" s="186"/>
      <c r="BR236" s="186"/>
      <c r="BS236" s="186"/>
      <c r="BT236" s="186"/>
      <c r="BU236" s="186"/>
      <c r="BV236" s="186"/>
      <c r="BW236" s="186"/>
      <c r="BX236" s="186"/>
      <c r="BY236" s="186"/>
      <c r="BZ236" s="186"/>
      <c r="CA236" s="186"/>
      <c r="CB236" s="186"/>
      <c r="CC236" s="186"/>
      <c r="CD236" s="186"/>
      <c r="CE236" s="186"/>
      <c r="CF236" s="186"/>
      <c r="CG236" s="186"/>
    </row>
    <row r="237" spans="1:85" ht="15.75">
      <c r="A237" s="185"/>
      <c r="B237" s="866"/>
      <c r="C237" s="866"/>
      <c r="D237" s="866"/>
      <c r="E237" s="866"/>
      <c r="F237" s="866"/>
      <c r="G237" s="866"/>
      <c r="H237" s="866"/>
      <c r="I237" s="866"/>
      <c r="J237" s="866"/>
      <c r="K237" s="185"/>
      <c r="L237" s="185"/>
      <c r="M237" s="185"/>
      <c r="N237" s="185"/>
      <c r="O237" s="866"/>
      <c r="P237" s="866"/>
      <c r="Q237" s="866"/>
      <c r="R237" s="866"/>
      <c r="S237" s="866"/>
      <c r="T237" s="866"/>
      <c r="U237" s="866"/>
      <c r="V237" s="866"/>
      <c r="W237" s="866"/>
      <c r="X237" s="866"/>
      <c r="Y237" s="866"/>
      <c r="Z237" s="866"/>
      <c r="AA237" s="866"/>
      <c r="AB237" s="866"/>
      <c r="AC237" s="866"/>
      <c r="AD237" s="866"/>
      <c r="AE237" s="866"/>
      <c r="AF237" s="866"/>
      <c r="AG237" s="866"/>
      <c r="AH237" s="185"/>
      <c r="AI237" s="185"/>
      <c r="AJ237" s="866"/>
      <c r="AK237" s="866"/>
      <c r="AL237" s="866"/>
      <c r="AM237" s="866"/>
      <c r="AN237" s="866"/>
      <c r="AO237" s="866"/>
      <c r="AP237" s="866"/>
      <c r="AQ237" s="866"/>
      <c r="AR237" s="866"/>
      <c r="AS237" s="866"/>
      <c r="AT237" s="185"/>
      <c r="AU237" s="185"/>
      <c r="AV237" s="185"/>
      <c r="AW237" s="185"/>
      <c r="AX237" s="185"/>
      <c r="AY237" s="185"/>
      <c r="AZ237" s="185"/>
      <c r="BA237" s="185"/>
      <c r="BB237" s="185"/>
      <c r="BC237" s="185"/>
      <c r="BD237" s="185"/>
      <c r="BE237" s="185"/>
      <c r="BF237" s="185"/>
      <c r="BG237" s="185"/>
      <c r="BH237" s="185"/>
      <c r="BI237" s="185"/>
      <c r="BJ237" s="185"/>
      <c r="BK237" s="185"/>
      <c r="BL237" s="186"/>
      <c r="BM237" s="186"/>
      <c r="BN237" s="186"/>
      <c r="BO237" s="186"/>
      <c r="BP237" s="186"/>
      <c r="BQ237" s="186"/>
      <c r="BR237" s="186"/>
      <c r="BS237" s="186"/>
      <c r="BT237" s="186"/>
      <c r="BU237" s="186"/>
      <c r="BV237" s="186"/>
      <c r="BW237" s="186"/>
      <c r="BX237" s="186"/>
      <c r="BY237" s="186"/>
      <c r="BZ237" s="186"/>
      <c r="CA237" s="186"/>
      <c r="CB237" s="186"/>
      <c r="CC237" s="186"/>
      <c r="CD237" s="186"/>
      <c r="CE237" s="186"/>
      <c r="CF237" s="186"/>
      <c r="CG237" s="186"/>
    </row>
    <row r="238" spans="1:85" ht="15.75">
      <c r="A238" s="185"/>
      <c r="B238" s="866"/>
      <c r="C238" s="866"/>
      <c r="D238" s="866"/>
      <c r="E238" s="866"/>
      <c r="F238" s="866"/>
      <c r="G238" s="866"/>
      <c r="H238" s="866"/>
      <c r="I238" s="866"/>
      <c r="J238" s="866"/>
      <c r="K238" s="185"/>
      <c r="L238" s="185"/>
      <c r="M238" s="185"/>
      <c r="N238" s="185"/>
      <c r="O238" s="866"/>
      <c r="P238" s="866"/>
      <c r="Q238" s="866"/>
      <c r="R238" s="866"/>
      <c r="S238" s="866"/>
      <c r="T238" s="866"/>
      <c r="U238" s="866"/>
      <c r="V238" s="866"/>
      <c r="W238" s="866"/>
      <c r="X238" s="866"/>
      <c r="Y238" s="866"/>
      <c r="Z238" s="866"/>
      <c r="AA238" s="866"/>
      <c r="AB238" s="866"/>
      <c r="AC238" s="866"/>
      <c r="AD238" s="866"/>
      <c r="AE238" s="866"/>
      <c r="AF238" s="866"/>
      <c r="AG238" s="866"/>
      <c r="AH238" s="185"/>
      <c r="AI238" s="185"/>
      <c r="AJ238" s="866"/>
      <c r="AK238" s="866"/>
      <c r="AL238" s="866"/>
      <c r="AM238" s="866"/>
      <c r="AN238" s="866"/>
      <c r="AO238" s="866"/>
      <c r="AP238" s="866"/>
      <c r="AQ238" s="866"/>
      <c r="AR238" s="866"/>
      <c r="AS238" s="866"/>
      <c r="AT238" s="185"/>
      <c r="AU238" s="185"/>
      <c r="AV238" s="185"/>
      <c r="AW238" s="185"/>
      <c r="AX238" s="185"/>
      <c r="AY238" s="185"/>
      <c r="AZ238" s="185"/>
      <c r="BA238" s="185"/>
      <c r="BB238" s="185"/>
      <c r="BC238" s="185"/>
      <c r="BD238" s="185"/>
      <c r="BE238" s="185"/>
      <c r="BF238" s="185"/>
      <c r="BG238" s="185"/>
      <c r="BH238" s="185"/>
      <c r="BI238" s="185"/>
      <c r="BJ238" s="185"/>
      <c r="BK238" s="185"/>
      <c r="BL238" s="186"/>
      <c r="BM238" s="186"/>
      <c r="BN238" s="186"/>
      <c r="BO238" s="186"/>
      <c r="BP238" s="186"/>
      <c r="BQ238" s="186"/>
      <c r="BR238" s="186"/>
      <c r="BS238" s="186"/>
      <c r="BT238" s="186"/>
      <c r="BU238" s="186"/>
      <c r="BV238" s="186"/>
      <c r="BW238" s="186"/>
      <c r="BX238" s="186"/>
      <c r="BY238" s="186"/>
      <c r="BZ238" s="186"/>
      <c r="CA238" s="186"/>
      <c r="CB238" s="186"/>
      <c r="CC238" s="186"/>
      <c r="CD238" s="186"/>
      <c r="CE238" s="186"/>
      <c r="CF238" s="186"/>
      <c r="CG238" s="186"/>
    </row>
    <row r="239" spans="1:85" ht="15.75">
      <c r="A239" s="185"/>
      <c r="B239" s="866"/>
      <c r="C239" s="866"/>
      <c r="D239" s="866"/>
      <c r="E239" s="866"/>
      <c r="F239" s="866"/>
      <c r="G239" s="866"/>
      <c r="H239" s="866"/>
      <c r="I239" s="866"/>
      <c r="J239" s="866"/>
      <c r="K239" s="185"/>
      <c r="L239" s="185"/>
      <c r="M239" s="185"/>
      <c r="N239" s="185"/>
      <c r="O239" s="866"/>
      <c r="P239" s="866"/>
      <c r="Q239" s="866"/>
      <c r="R239" s="866"/>
      <c r="S239" s="866"/>
      <c r="T239" s="866"/>
      <c r="U239" s="866"/>
      <c r="V239" s="866"/>
      <c r="W239" s="866"/>
      <c r="X239" s="866"/>
      <c r="Y239" s="866"/>
      <c r="Z239" s="866"/>
      <c r="AA239" s="866"/>
      <c r="AB239" s="866"/>
      <c r="AC239" s="866"/>
      <c r="AD239" s="866"/>
      <c r="AE239" s="866"/>
      <c r="AF239" s="866"/>
      <c r="AG239" s="866"/>
      <c r="AH239" s="185"/>
      <c r="AI239" s="185"/>
      <c r="AJ239" s="866"/>
      <c r="AK239" s="866"/>
      <c r="AL239" s="866"/>
      <c r="AM239" s="866"/>
      <c r="AN239" s="866"/>
      <c r="AO239" s="866"/>
      <c r="AP239" s="866"/>
      <c r="AQ239" s="866"/>
      <c r="AR239" s="866"/>
      <c r="AS239" s="866"/>
      <c r="AT239" s="185"/>
      <c r="AU239" s="185"/>
      <c r="AV239" s="185"/>
      <c r="AW239" s="185"/>
      <c r="AX239" s="185"/>
      <c r="AY239" s="185"/>
      <c r="AZ239" s="185"/>
      <c r="BA239" s="185"/>
      <c r="BB239" s="185"/>
      <c r="BC239" s="185"/>
      <c r="BD239" s="185"/>
      <c r="BE239" s="185"/>
      <c r="BF239" s="185"/>
      <c r="BG239" s="185"/>
      <c r="BH239" s="185"/>
      <c r="BI239" s="185"/>
      <c r="BJ239" s="185"/>
      <c r="BK239" s="185"/>
      <c r="BL239" s="186"/>
      <c r="BM239" s="186"/>
      <c r="BN239" s="186"/>
      <c r="BO239" s="186"/>
      <c r="BP239" s="186"/>
      <c r="BQ239" s="186"/>
      <c r="BR239" s="186"/>
      <c r="BS239" s="186"/>
      <c r="BT239" s="186"/>
      <c r="BU239" s="186"/>
      <c r="BV239" s="186"/>
      <c r="BW239" s="186"/>
      <c r="BX239" s="186"/>
      <c r="BY239" s="186"/>
      <c r="BZ239" s="186"/>
      <c r="CA239" s="186"/>
      <c r="CB239" s="186"/>
      <c r="CC239" s="186"/>
      <c r="CD239" s="186"/>
      <c r="CE239" s="186"/>
      <c r="CF239" s="186"/>
      <c r="CG239" s="186"/>
    </row>
    <row r="240" spans="1:85" ht="15.75">
      <c r="A240" s="185"/>
      <c r="B240" s="866"/>
      <c r="C240" s="866"/>
      <c r="D240" s="866"/>
      <c r="E240" s="866"/>
      <c r="F240" s="866"/>
      <c r="G240" s="866"/>
      <c r="H240" s="866"/>
      <c r="I240" s="866"/>
      <c r="J240" s="866"/>
      <c r="K240" s="185"/>
      <c r="L240" s="185"/>
      <c r="M240" s="185"/>
      <c r="N240" s="185"/>
      <c r="O240" s="866"/>
      <c r="P240" s="866"/>
      <c r="Q240" s="866"/>
      <c r="R240" s="866"/>
      <c r="S240" s="866"/>
      <c r="T240" s="866"/>
      <c r="U240" s="866"/>
      <c r="V240" s="866"/>
      <c r="W240" s="866"/>
      <c r="X240" s="866"/>
      <c r="Y240" s="866"/>
      <c r="Z240" s="866"/>
      <c r="AA240" s="866"/>
      <c r="AB240" s="866"/>
      <c r="AC240" s="866"/>
      <c r="AD240" s="866"/>
      <c r="AE240" s="866"/>
      <c r="AF240" s="866"/>
      <c r="AG240" s="866"/>
      <c r="AH240" s="185"/>
      <c r="AI240" s="185"/>
      <c r="AJ240" s="866"/>
      <c r="AK240" s="866"/>
      <c r="AL240" s="866"/>
      <c r="AM240" s="866"/>
      <c r="AN240" s="866"/>
      <c r="AO240" s="866"/>
      <c r="AP240" s="866"/>
      <c r="AQ240" s="866"/>
      <c r="AR240" s="866"/>
      <c r="AS240" s="866"/>
      <c r="AT240" s="185"/>
      <c r="AU240" s="185"/>
      <c r="AV240" s="185"/>
      <c r="AW240" s="185"/>
      <c r="AX240" s="185"/>
      <c r="AY240" s="185"/>
      <c r="AZ240" s="185"/>
      <c r="BA240" s="185"/>
      <c r="BB240" s="185"/>
      <c r="BC240" s="185"/>
      <c r="BD240" s="185"/>
      <c r="BE240" s="185"/>
      <c r="BF240" s="185"/>
      <c r="BG240" s="185"/>
      <c r="BH240" s="185"/>
      <c r="BI240" s="185"/>
      <c r="BJ240" s="185"/>
      <c r="BK240" s="185"/>
      <c r="BL240" s="186"/>
      <c r="BM240" s="186"/>
      <c r="BN240" s="186"/>
      <c r="BO240" s="186"/>
      <c r="BP240" s="186"/>
      <c r="BQ240" s="186"/>
      <c r="BR240" s="186"/>
      <c r="BS240" s="186"/>
      <c r="BT240" s="186"/>
      <c r="BU240" s="186"/>
      <c r="BV240" s="186"/>
      <c r="BW240" s="186"/>
      <c r="BX240" s="186"/>
      <c r="BY240" s="186"/>
      <c r="BZ240" s="186"/>
      <c r="CA240" s="186"/>
      <c r="CB240" s="186"/>
      <c r="CC240" s="186"/>
      <c r="CD240" s="186"/>
      <c r="CE240" s="186"/>
      <c r="CF240" s="186"/>
      <c r="CG240" s="186"/>
    </row>
    <row r="241" spans="1:85" ht="15.75">
      <c r="A241" s="185"/>
      <c r="B241" s="866"/>
      <c r="C241" s="866"/>
      <c r="D241" s="866"/>
      <c r="E241" s="866"/>
      <c r="F241" s="866"/>
      <c r="G241" s="866"/>
      <c r="H241" s="866"/>
      <c r="I241" s="866"/>
      <c r="J241" s="866"/>
      <c r="K241" s="185"/>
      <c r="L241" s="185"/>
      <c r="M241" s="185"/>
      <c r="N241" s="185"/>
      <c r="O241" s="866"/>
      <c r="P241" s="866"/>
      <c r="Q241" s="866"/>
      <c r="R241" s="866"/>
      <c r="S241" s="866"/>
      <c r="T241" s="866"/>
      <c r="U241" s="866"/>
      <c r="V241" s="866"/>
      <c r="W241" s="866"/>
      <c r="X241" s="866"/>
      <c r="Y241" s="866"/>
      <c r="Z241" s="866"/>
      <c r="AA241" s="866"/>
      <c r="AB241" s="866"/>
      <c r="AC241" s="866"/>
      <c r="AD241" s="866"/>
      <c r="AE241" s="866"/>
      <c r="AF241" s="866"/>
      <c r="AG241" s="866"/>
      <c r="AH241" s="185"/>
      <c r="AI241" s="185"/>
      <c r="AJ241" s="866"/>
      <c r="AK241" s="866"/>
      <c r="AL241" s="866"/>
      <c r="AM241" s="866"/>
      <c r="AN241" s="866"/>
      <c r="AO241" s="866"/>
      <c r="AP241" s="866"/>
      <c r="AQ241" s="866"/>
      <c r="AR241" s="866"/>
      <c r="AS241" s="866"/>
      <c r="AT241" s="185"/>
      <c r="AU241" s="185"/>
      <c r="AV241" s="185"/>
      <c r="AW241" s="185"/>
      <c r="AX241" s="185"/>
      <c r="AY241" s="185"/>
      <c r="AZ241" s="185"/>
      <c r="BA241" s="185"/>
      <c r="BB241" s="185"/>
      <c r="BC241" s="185"/>
      <c r="BD241" s="185"/>
      <c r="BE241" s="185"/>
      <c r="BF241" s="185"/>
      <c r="BG241" s="185"/>
      <c r="BH241" s="185"/>
      <c r="BI241" s="185"/>
      <c r="BJ241" s="185"/>
      <c r="BK241" s="185"/>
      <c r="BL241" s="186"/>
      <c r="BM241" s="186"/>
      <c r="BN241" s="186"/>
      <c r="BO241" s="186"/>
      <c r="BP241" s="186"/>
      <c r="BQ241" s="186"/>
      <c r="BR241" s="186"/>
      <c r="BS241" s="186"/>
      <c r="BT241" s="186"/>
      <c r="BU241" s="186"/>
      <c r="BV241" s="186"/>
      <c r="BW241" s="186"/>
      <c r="BX241" s="186"/>
      <c r="BY241" s="186"/>
      <c r="BZ241" s="186"/>
      <c r="CA241" s="186"/>
      <c r="CB241" s="186"/>
      <c r="CC241" s="186"/>
      <c r="CD241" s="186"/>
      <c r="CE241" s="186"/>
      <c r="CF241" s="186"/>
      <c r="CG241" s="186"/>
    </row>
    <row r="242" spans="1:85" ht="15.75">
      <c r="A242" s="185"/>
      <c r="B242" s="866"/>
      <c r="C242" s="866"/>
      <c r="D242" s="866"/>
      <c r="E242" s="866"/>
      <c r="F242" s="866"/>
      <c r="G242" s="866"/>
      <c r="H242" s="866"/>
      <c r="I242" s="866"/>
      <c r="J242" s="866"/>
      <c r="K242" s="185"/>
      <c r="L242" s="185"/>
      <c r="M242" s="185"/>
      <c r="N242" s="185"/>
      <c r="O242" s="866"/>
      <c r="P242" s="866"/>
      <c r="Q242" s="866"/>
      <c r="R242" s="866"/>
      <c r="S242" s="866"/>
      <c r="T242" s="866"/>
      <c r="U242" s="866"/>
      <c r="V242" s="866"/>
      <c r="W242" s="866"/>
      <c r="X242" s="866"/>
      <c r="Y242" s="866"/>
      <c r="Z242" s="866"/>
      <c r="AA242" s="866"/>
      <c r="AB242" s="866"/>
      <c r="AC242" s="866"/>
      <c r="AD242" s="866"/>
      <c r="AE242" s="866"/>
      <c r="AF242" s="866"/>
      <c r="AG242" s="866"/>
      <c r="AH242" s="185"/>
      <c r="AI242" s="185"/>
      <c r="AJ242" s="866"/>
      <c r="AK242" s="866"/>
      <c r="AL242" s="866"/>
      <c r="AM242" s="866"/>
      <c r="AN242" s="866"/>
      <c r="AO242" s="866"/>
      <c r="AP242" s="866"/>
      <c r="AQ242" s="866"/>
      <c r="AR242" s="866"/>
      <c r="AS242" s="866"/>
      <c r="AT242" s="185"/>
      <c r="AU242" s="185"/>
      <c r="AV242" s="185"/>
      <c r="AW242" s="185"/>
      <c r="AX242" s="185"/>
      <c r="AY242" s="185"/>
      <c r="AZ242" s="185"/>
      <c r="BA242" s="185"/>
      <c r="BB242" s="185"/>
      <c r="BC242" s="185"/>
      <c r="BD242" s="185"/>
      <c r="BE242" s="185"/>
      <c r="BF242" s="185"/>
      <c r="BG242" s="185"/>
      <c r="BH242" s="185"/>
      <c r="BI242" s="185"/>
      <c r="BJ242" s="185"/>
      <c r="BK242" s="185"/>
      <c r="BL242" s="186"/>
      <c r="BM242" s="186"/>
      <c r="BN242" s="186"/>
      <c r="BO242" s="186"/>
      <c r="BP242" s="186"/>
      <c r="BQ242" s="186"/>
      <c r="BR242" s="186"/>
      <c r="BS242" s="186"/>
      <c r="BT242" s="186"/>
      <c r="BU242" s="186"/>
      <c r="BV242" s="186"/>
      <c r="BW242" s="186"/>
      <c r="BX242" s="186"/>
      <c r="BY242" s="186"/>
      <c r="BZ242" s="186"/>
      <c r="CA242" s="186"/>
      <c r="CB242" s="186"/>
      <c r="CC242" s="186"/>
      <c r="CD242" s="186"/>
      <c r="CE242" s="186"/>
      <c r="CF242" s="186"/>
      <c r="CG242" s="186"/>
    </row>
    <row r="243" spans="1:85" ht="15.75">
      <c r="A243" s="185"/>
      <c r="B243" s="866"/>
      <c r="C243" s="866"/>
      <c r="D243" s="866"/>
      <c r="E243" s="866"/>
      <c r="F243" s="866"/>
      <c r="G243" s="866"/>
      <c r="H243" s="866"/>
      <c r="I243" s="866"/>
      <c r="J243" s="866"/>
      <c r="K243" s="185"/>
      <c r="L243" s="185"/>
      <c r="M243" s="185"/>
      <c r="N243" s="185"/>
      <c r="O243" s="866"/>
      <c r="P243" s="866"/>
      <c r="Q243" s="866"/>
      <c r="R243" s="866"/>
      <c r="S243" s="866"/>
      <c r="T243" s="866"/>
      <c r="U243" s="866"/>
      <c r="V243" s="866"/>
      <c r="W243" s="866"/>
      <c r="X243" s="866"/>
      <c r="Y243" s="866"/>
      <c r="Z243" s="866"/>
      <c r="AA243" s="866"/>
      <c r="AB243" s="866"/>
      <c r="AC243" s="866"/>
      <c r="AD243" s="866"/>
      <c r="AE243" s="866"/>
      <c r="AF243" s="866"/>
      <c r="AG243" s="866"/>
      <c r="AH243" s="185"/>
      <c r="AI243" s="185"/>
      <c r="AJ243" s="866"/>
      <c r="AK243" s="866"/>
      <c r="AL243" s="866"/>
      <c r="AM243" s="866"/>
      <c r="AN243" s="866"/>
      <c r="AO243" s="866"/>
      <c r="AP243" s="866"/>
      <c r="AQ243" s="866"/>
      <c r="AR243" s="866"/>
      <c r="AS243" s="866"/>
      <c r="AT243" s="185"/>
      <c r="AU243" s="185"/>
      <c r="AV243" s="185"/>
      <c r="AW243" s="185"/>
      <c r="AX243" s="185"/>
      <c r="AY243" s="185"/>
      <c r="AZ243" s="185"/>
      <c r="BA243" s="185"/>
      <c r="BB243" s="185"/>
      <c r="BC243" s="185"/>
      <c r="BD243" s="185"/>
      <c r="BE243" s="185"/>
      <c r="BF243" s="185"/>
      <c r="BG243" s="185"/>
      <c r="BH243" s="185"/>
      <c r="BI243" s="185"/>
      <c r="BJ243" s="185"/>
      <c r="BK243" s="185"/>
      <c r="BL243" s="186"/>
      <c r="BM243" s="186"/>
      <c r="BN243" s="186"/>
      <c r="BO243" s="186"/>
      <c r="BP243" s="186"/>
      <c r="BQ243" s="186"/>
      <c r="BR243" s="186"/>
      <c r="BS243" s="186"/>
      <c r="BT243" s="186"/>
      <c r="BU243" s="186"/>
      <c r="BV243" s="186"/>
      <c r="BW243" s="186"/>
      <c r="BX243" s="186"/>
      <c r="BY243" s="186"/>
      <c r="BZ243" s="186"/>
      <c r="CA243" s="186"/>
      <c r="CB243" s="186"/>
      <c r="CC243" s="186"/>
      <c r="CD243" s="186"/>
      <c r="CE243" s="186"/>
      <c r="CF243" s="186"/>
      <c r="CG243" s="186"/>
    </row>
    <row r="244" spans="1:85" ht="15.75">
      <c r="A244" s="185"/>
      <c r="B244" s="866"/>
      <c r="C244" s="866"/>
      <c r="D244" s="866"/>
      <c r="E244" s="866"/>
      <c r="F244" s="866"/>
      <c r="G244" s="866"/>
      <c r="H244" s="866"/>
      <c r="I244" s="866"/>
      <c r="J244" s="866"/>
      <c r="K244" s="185"/>
      <c r="L244" s="185"/>
      <c r="M244" s="185"/>
      <c r="N244" s="185"/>
      <c r="O244" s="866"/>
      <c r="P244" s="866"/>
      <c r="Q244" s="866"/>
      <c r="R244" s="866"/>
      <c r="S244" s="866"/>
      <c r="T244" s="866"/>
      <c r="U244" s="866"/>
      <c r="V244" s="866"/>
      <c r="W244" s="866"/>
      <c r="X244" s="866"/>
      <c r="Y244" s="866"/>
      <c r="Z244" s="866"/>
      <c r="AA244" s="866"/>
      <c r="AB244" s="866"/>
      <c r="AC244" s="866"/>
      <c r="AD244" s="866"/>
      <c r="AE244" s="866"/>
      <c r="AF244" s="866"/>
      <c r="AG244" s="866"/>
      <c r="AH244" s="185"/>
      <c r="AI244" s="185"/>
      <c r="AJ244" s="866"/>
      <c r="AK244" s="866"/>
      <c r="AL244" s="866"/>
      <c r="AM244" s="866"/>
      <c r="AN244" s="866"/>
      <c r="AO244" s="866"/>
      <c r="AP244" s="866"/>
      <c r="AQ244" s="866"/>
      <c r="AR244" s="866"/>
      <c r="AS244" s="866"/>
      <c r="AT244" s="185"/>
      <c r="AU244" s="185"/>
      <c r="AV244" s="185"/>
      <c r="AW244" s="185"/>
      <c r="AX244" s="185"/>
      <c r="AY244" s="185"/>
      <c r="AZ244" s="185"/>
      <c r="BA244" s="185"/>
      <c r="BB244" s="185"/>
      <c r="BC244" s="185"/>
      <c r="BD244" s="185"/>
      <c r="BE244" s="185"/>
      <c r="BF244" s="185"/>
      <c r="BG244" s="185"/>
      <c r="BH244" s="185"/>
      <c r="BI244" s="185"/>
      <c r="BJ244" s="185"/>
      <c r="BK244" s="185"/>
      <c r="BL244" s="186"/>
      <c r="BM244" s="186"/>
      <c r="BN244" s="186"/>
      <c r="BO244" s="186"/>
      <c r="BP244" s="186"/>
      <c r="BQ244" s="186"/>
      <c r="BR244" s="186"/>
      <c r="BS244" s="186"/>
      <c r="BT244" s="186"/>
      <c r="BU244" s="186"/>
      <c r="BV244" s="186"/>
      <c r="BW244" s="186"/>
      <c r="BX244" s="186"/>
      <c r="BY244" s="186"/>
      <c r="BZ244" s="186"/>
      <c r="CA244" s="186"/>
      <c r="CB244" s="186"/>
      <c r="CC244" s="186"/>
      <c r="CD244" s="186"/>
      <c r="CE244" s="186"/>
      <c r="CF244" s="186"/>
      <c r="CG244" s="186"/>
    </row>
    <row r="245" spans="1:85" ht="15.75">
      <c r="A245" s="185"/>
      <c r="B245" s="866"/>
      <c r="C245" s="866"/>
      <c r="D245" s="866"/>
      <c r="E245" s="866"/>
      <c r="F245" s="866"/>
      <c r="G245" s="866"/>
      <c r="H245" s="866"/>
      <c r="I245" s="866"/>
      <c r="J245" s="866"/>
      <c r="K245" s="185"/>
      <c r="L245" s="185"/>
      <c r="M245" s="185"/>
      <c r="N245" s="185"/>
      <c r="O245" s="866"/>
      <c r="P245" s="866"/>
      <c r="Q245" s="866"/>
      <c r="R245" s="866"/>
      <c r="S245" s="866"/>
      <c r="T245" s="866"/>
      <c r="U245" s="866"/>
      <c r="V245" s="866"/>
      <c r="W245" s="866"/>
      <c r="X245" s="866"/>
      <c r="Y245" s="866"/>
      <c r="Z245" s="866"/>
      <c r="AA245" s="866"/>
      <c r="AB245" s="866"/>
      <c r="AC245" s="866"/>
      <c r="AD245" s="866"/>
      <c r="AE245" s="866"/>
      <c r="AF245" s="866"/>
      <c r="AG245" s="866"/>
      <c r="AH245" s="185"/>
      <c r="AI245" s="185"/>
      <c r="AJ245" s="866"/>
      <c r="AK245" s="866"/>
      <c r="AL245" s="866"/>
      <c r="AM245" s="866"/>
      <c r="AN245" s="866"/>
      <c r="AO245" s="866"/>
      <c r="AP245" s="866"/>
      <c r="AQ245" s="866"/>
      <c r="AR245" s="866"/>
      <c r="AS245" s="866"/>
      <c r="AT245" s="185"/>
      <c r="AU245" s="185"/>
      <c r="AV245" s="185"/>
      <c r="AW245" s="185"/>
      <c r="AX245" s="185"/>
      <c r="AY245" s="185"/>
      <c r="AZ245" s="185"/>
      <c r="BA245" s="185"/>
      <c r="BB245" s="185"/>
      <c r="BC245" s="185"/>
      <c r="BD245" s="185"/>
      <c r="BE245" s="185"/>
      <c r="BF245" s="185"/>
      <c r="BG245" s="185"/>
      <c r="BH245" s="185"/>
      <c r="BI245" s="185"/>
      <c r="BJ245" s="185"/>
      <c r="BK245" s="185"/>
      <c r="BL245" s="186"/>
      <c r="BM245" s="186"/>
      <c r="BN245" s="186"/>
      <c r="BO245" s="186"/>
      <c r="BP245" s="186"/>
      <c r="BQ245" s="186"/>
      <c r="BR245" s="186"/>
      <c r="BS245" s="186"/>
      <c r="BT245" s="186"/>
      <c r="BU245" s="186"/>
      <c r="BV245" s="186"/>
      <c r="BW245" s="186"/>
      <c r="BX245" s="186"/>
      <c r="BY245" s="186"/>
      <c r="BZ245" s="186"/>
      <c r="CA245" s="186"/>
      <c r="CB245" s="186"/>
      <c r="CC245" s="186"/>
      <c r="CD245" s="186"/>
      <c r="CE245" s="186"/>
      <c r="CF245" s="186"/>
      <c r="CG245" s="186"/>
    </row>
    <row r="246" spans="1:85" ht="15.75">
      <c r="A246" s="185"/>
      <c r="B246" s="866"/>
      <c r="C246" s="866"/>
      <c r="D246" s="866"/>
      <c r="E246" s="866"/>
      <c r="F246" s="866"/>
      <c r="G246" s="866"/>
      <c r="H246" s="866"/>
      <c r="I246" s="866"/>
      <c r="J246" s="866"/>
      <c r="K246" s="185"/>
      <c r="L246" s="185"/>
      <c r="M246" s="185"/>
      <c r="N246" s="185"/>
      <c r="O246" s="866"/>
      <c r="P246" s="866"/>
      <c r="Q246" s="866"/>
      <c r="R246" s="866"/>
      <c r="S246" s="866"/>
      <c r="T246" s="866"/>
      <c r="U246" s="866"/>
      <c r="V246" s="866"/>
      <c r="W246" s="866"/>
      <c r="X246" s="866"/>
      <c r="Y246" s="866"/>
      <c r="Z246" s="866"/>
      <c r="AA246" s="866"/>
      <c r="AB246" s="866"/>
      <c r="AC246" s="866"/>
      <c r="AD246" s="866"/>
      <c r="AE246" s="866"/>
      <c r="AF246" s="866"/>
      <c r="AG246" s="866"/>
      <c r="AH246" s="185"/>
      <c r="AI246" s="185"/>
      <c r="AJ246" s="866"/>
      <c r="AK246" s="866"/>
      <c r="AL246" s="866"/>
      <c r="AM246" s="866"/>
      <c r="AN246" s="866"/>
      <c r="AO246" s="866"/>
      <c r="AP246" s="866"/>
      <c r="AQ246" s="866"/>
      <c r="AR246" s="866"/>
      <c r="AS246" s="866"/>
      <c r="AT246" s="185"/>
      <c r="AU246" s="185"/>
      <c r="AV246" s="185"/>
      <c r="AW246" s="185"/>
      <c r="AX246" s="185"/>
      <c r="AY246" s="185"/>
      <c r="AZ246" s="185"/>
      <c r="BA246" s="185"/>
      <c r="BB246" s="185"/>
      <c r="BC246" s="185"/>
      <c r="BD246" s="185"/>
      <c r="BE246" s="185"/>
      <c r="BF246" s="185"/>
      <c r="BG246" s="185"/>
      <c r="BH246" s="185"/>
      <c r="BI246" s="185"/>
      <c r="BJ246" s="185"/>
      <c r="BK246" s="185"/>
      <c r="BL246" s="186"/>
      <c r="BM246" s="186"/>
      <c r="BN246" s="186"/>
      <c r="BO246" s="186"/>
      <c r="BP246" s="186"/>
      <c r="BQ246" s="186"/>
      <c r="BR246" s="186"/>
      <c r="BS246" s="186"/>
      <c r="BT246" s="186"/>
      <c r="BU246" s="186"/>
      <c r="BV246" s="186"/>
      <c r="BW246" s="186"/>
      <c r="BX246" s="186"/>
      <c r="BY246" s="186"/>
      <c r="BZ246" s="186"/>
      <c r="CA246" s="186"/>
      <c r="CB246" s="186"/>
      <c r="CC246" s="186"/>
      <c r="CD246" s="186"/>
      <c r="CE246" s="186"/>
      <c r="CF246" s="186"/>
      <c r="CG246" s="186"/>
    </row>
    <row r="247" spans="1:85" ht="15.75">
      <c r="A247" s="185"/>
      <c r="B247" s="866"/>
      <c r="C247" s="866"/>
      <c r="D247" s="866"/>
      <c r="E247" s="866"/>
      <c r="F247" s="866"/>
      <c r="G247" s="866"/>
      <c r="H247" s="866"/>
      <c r="I247" s="866"/>
      <c r="J247" s="866"/>
      <c r="K247" s="185"/>
      <c r="L247" s="185"/>
      <c r="M247" s="185"/>
      <c r="N247" s="185"/>
      <c r="O247" s="866"/>
      <c r="P247" s="866"/>
      <c r="Q247" s="866"/>
      <c r="R247" s="866"/>
      <c r="S247" s="866"/>
      <c r="T247" s="866"/>
      <c r="U247" s="866"/>
      <c r="V247" s="866"/>
      <c r="W247" s="866"/>
      <c r="X247" s="866"/>
      <c r="Y247" s="866"/>
      <c r="Z247" s="866"/>
      <c r="AA247" s="866"/>
      <c r="AB247" s="866"/>
      <c r="AC247" s="866"/>
      <c r="AD247" s="866"/>
      <c r="AE247" s="866"/>
      <c r="AF247" s="866"/>
      <c r="AG247" s="866"/>
      <c r="AH247" s="185"/>
      <c r="AI247" s="185"/>
      <c r="AJ247" s="866"/>
      <c r="AK247" s="866"/>
      <c r="AL247" s="866"/>
      <c r="AM247" s="866"/>
      <c r="AN247" s="866"/>
      <c r="AO247" s="866"/>
      <c r="AP247" s="866"/>
      <c r="AQ247" s="866"/>
      <c r="AR247" s="866"/>
      <c r="AS247" s="866"/>
      <c r="AT247" s="185"/>
      <c r="AU247" s="185"/>
      <c r="AV247" s="185"/>
      <c r="AW247" s="185"/>
      <c r="AX247" s="185"/>
      <c r="AY247" s="185"/>
      <c r="AZ247" s="185"/>
      <c r="BA247" s="185"/>
      <c r="BB247" s="185"/>
      <c r="BC247" s="185"/>
      <c r="BD247" s="185"/>
      <c r="BE247" s="185"/>
      <c r="BF247" s="185"/>
      <c r="BG247" s="185"/>
      <c r="BH247" s="185"/>
      <c r="BI247" s="185"/>
      <c r="BJ247" s="185"/>
      <c r="BK247" s="185"/>
      <c r="BL247" s="186"/>
      <c r="BM247" s="186"/>
      <c r="BN247" s="186"/>
      <c r="BO247" s="186"/>
      <c r="BP247" s="186"/>
      <c r="BQ247" s="186"/>
      <c r="BR247" s="186"/>
      <c r="BS247" s="186"/>
      <c r="BT247" s="186"/>
      <c r="BU247" s="186"/>
      <c r="BV247" s="186"/>
      <c r="BW247" s="186"/>
      <c r="BX247" s="186"/>
      <c r="BY247" s="186"/>
      <c r="BZ247" s="186"/>
      <c r="CA247" s="186"/>
      <c r="CB247" s="186"/>
      <c r="CC247" s="186"/>
      <c r="CD247" s="186"/>
      <c r="CE247" s="186"/>
      <c r="CF247" s="186"/>
      <c r="CG247" s="186"/>
    </row>
    <row r="248" spans="1:85" ht="15.75">
      <c r="A248" s="185"/>
      <c r="B248" s="866"/>
      <c r="C248" s="866"/>
      <c r="D248" s="866"/>
      <c r="E248" s="866"/>
      <c r="F248" s="866"/>
      <c r="G248" s="866"/>
      <c r="H248" s="866"/>
      <c r="I248" s="866"/>
      <c r="J248" s="866"/>
      <c r="K248" s="185"/>
      <c r="L248" s="185"/>
      <c r="M248" s="185"/>
      <c r="N248" s="185"/>
      <c r="O248" s="866"/>
      <c r="P248" s="866"/>
      <c r="Q248" s="866"/>
      <c r="R248" s="866"/>
      <c r="S248" s="866"/>
      <c r="T248" s="866"/>
      <c r="U248" s="866"/>
      <c r="V248" s="866"/>
      <c r="W248" s="866"/>
      <c r="X248" s="866"/>
      <c r="Y248" s="866"/>
      <c r="Z248" s="866"/>
      <c r="AA248" s="866"/>
      <c r="AB248" s="866"/>
      <c r="AC248" s="866"/>
      <c r="AD248" s="866"/>
      <c r="AE248" s="866"/>
      <c r="AF248" s="866"/>
      <c r="AG248" s="866"/>
      <c r="AH248" s="185"/>
      <c r="AI248" s="185"/>
      <c r="AJ248" s="866"/>
      <c r="AK248" s="866"/>
      <c r="AL248" s="866"/>
      <c r="AM248" s="866"/>
      <c r="AN248" s="866"/>
      <c r="AO248" s="866"/>
      <c r="AP248" s="866"/>
      <c r="AQ248" s="866"/>
      <c r="AR248" s="866"/>
      <c r="AS248" s="866"/>
      <c r="AT248" s="185"/>
      <c r="AU248" s="185"/>
      <c r="AV248" s="185"/>
      <c r="AW248" s="185"/>
      <c r="AX248" s="185"/>
      <c r="AY248" s="185"/>
      <c r="AZ248" s="185"/>
      <c r="BA248" s="185"/>
      <c r="BB248" s="185"/>
      <c r="BC248" s="185"/>
      <c r="BD248" s="185"/>
      <c r="BE248" s="185"/>
      <c r="BF248" s="185"/>
      <c r="BG248" s="185"/>
      <c r="BH248" s="185"/>
      <c r="BI248" s="185"/>
      <c r="BJ248" s="185"/>
      <c r="BK248" s="185"/>
      <c r="BL248" s="186"/>
      <c r="BM248" s="186"/>
      <c r="BN248" s="186"/>
      <c r="BO248" s="186"/>
      <c r="BP248" s="186"/>
      <c r="BQ248" s="186"/>
      <c r="BR248" s="186"/>
      <c r="BS248" s="186"/>
      <c r="BT248" s="186"/>
      <c r="BU248" s="186"/>
      <c r="BV248" s="186"/>
      <c r="BW248" s="186"/>
      <c r="BX248" s="186"/>
      <c r="BY248" s="186"/>
      <c r="BZ248" s="186"/>
      <c r="CA248" s="186"/>
      <c r="CB248" s="186"/>
      <c r="CC248" s="186"/>
      <c r="CD248" s="186"/>
      <c r="CE248" s="186"/>
      <c r="CF248" s="186"/>
      <c r="CG248" s="186"/>
    </row>
    <row r="249" spans="1:85" ht="15.75">
      <c r="A249" s="185"/>
      <c r="B249" s="866"/>
      <c r="C249" s="866"/>
      <c r="D249" s="866"/>
      <c r="E249" s="866"/>
      <c r="F249" s="866"/>
      <c r="G249" s="866"/>
      <c r="H249" s="866"/>
      <c r="I249" s="866"/>
      <c r="J249" s="866"/>
      <c r="K249" s="185"/>
      <c r="L249" s="185"/>
      <c r="M249" s="185"/>
      <c r="N249" s="185"/>
      <c r="O249" s="866"/>
      <c r="P249" s="866"/>
      <c r="Q249" s="866"/>
      <c r="R249" s="866"/>
      <c r="S249" s="866"/>
      <c r="T249" s="866"/>
      <c r="U249" s="866"/>
      <c r="V249" s="866"/>
      <c r="W249" s="866"/>
      <c r="X249" s="866"/>
      <c r="Y249" s="866"/>
      <c r="Z249" s="866"/>
      <c r="AA249" s="866"/>
      <c r="AB249" s="866"/>
      <c r="AC249" s="866"/>
      <c r="AD249" s="866"/>
      <c r="AE249" s="866"/>
      <c r="AF249" s="866"/>
      <c r="AG249" s="866"/>
      <c r="AH249" s="185"/>
      <c r="AI249" s="185"/>
      <c r="AJ249" s="866"/>
      <c r="AK249" s="866"/>
      <c r="AL249" s="866"/>
      <c r="AM249" s="866"/>
      <c r="AN249" s="866"/>
      <c r="AO249" s="866"/>
      <c r="AP249" s="866"/>
      <c r="AQ249" s="866"/>
      <c r="AR249" s="866"/>
      <c r="AS249" s="866"/>
      <c r="AT249" s="185"/>
      <c r="AU249" s="185"/>
      <c r="AV249" s="185"/>
      <c r="AW249" s="185"/>
      <c r="AX249" s="185"/>
      <c r="AY249" s="185"/>
      <c r="AZ249" s="185"/>
      <c r="BA249" s="185"/>
      <c r="BB249" s="185"/>
      <c r="BC249" s="185"/>
      <c r="BD249" s="185"/>
      <c r="BE249" s="185"/>
      <c r="BF249" s="185"/>
      <c r="BG249" s="185"/>
      <c r="BH249" s="185"/>
      <c r="BI249" s="185"/>
      <c r="BJ249" s="185"/>
      <c r="BK249" s="185"/>
      <c r="BL249" s="186"/>
      <c r="BM249" s="186"/>
      <c r="BN249" s="186"/>
      <c r="BO249" s="186"/>
      <c r="BP249" s="186"/>
      <c r="BQ249" s="186"/>
      <c r="BR249" s="186"/>
      <c r="BS249" s="186"/>
      <c r="BT249" s="186"/>
      <c r="BU249" s="186"/>
      <c r="BV249" s="186"/>
      <c r="BW249" s="186"/>
      <c r="BX249" s="186"/>
      <c r="BY249" s="186"/>
      <c r="BZ249" s="186"/>
      <c r="CA249" s="186"/>
      <c r="CB249" s="186"/>
      <c r="CC249" s="186"/>
      <c r="CD249" s="186"/>
      <c r="CE249" s="186"/>
      <c r="CF249" s="186"/>
      <c r="CG249" s="186"/>
    </row>
    <row r="250" spans="1:85" ht="15.75">
      <c r="A250" s="185"/>
      <c r="B250" s="866"/>
      <c r="C250" s="866"/>
      <c r="D250" s="866"/>
      <c r="E250" s="866"/>
      <c r="F250" s="866"/>
      <c r="G250" s="866"/>
      <c r="H250" s="866"/>
      <c r="I250" s="866"/>
      <c r="J250" s="866"/>
      <c r="K250" s="185"/>
      <c r="L250" s="185"/>
      <c r="M250" s="185"/>
      <c r="N250" s="185"/>
      <c r="O250" s="866"/>
      <c r="P250" s="866"/>
      <c r="Q250" s="866"/>
      <c r="R250" s="866"/>
      <c r="S250" s="866"/>
      <c r="T250" s="866"/>
      <c r="U250" s="866"/>
      <c r="V250" s="866"/>
      <c r="W250" s="866"/>
      <c r="X250" s="866"/>
      <c r="Y250" s="866"/>
      <c r="Z250" s="866"/>
      <c r="AA250" s="866"/>
      <c r="AB250" s="866"/>
      <c r="AC250" s="866"/>
      <c r="AD250" s="866"/>
      <c r="AE250" s="866"/>
      <c r="AF250" s="866"/>
      <c r="AG250" s="866"/>
      <c r="AH250" s="185"/>
      <c r="AI250" s="185"/>
      <c r="AJ250" s="866"/>
      <c r="AK250" s="866"/>
      <c r="AL250" s="866"/>
      <c r="AM250" s="866"/>
      <c r="AN250" s="866"/>
      <c r="AO250" s="866"/>
      <c r="AP250" s="866"/>
      <c r="AQ250" s="866"/>
      <c r="AR250" s="866"/>
      <c r="AS250" s="866"/>
      <c r="AT250" s="185"/>
      <c r="AU250" s="185"/>
      <c r="AV250" s="185"/>
      <c r="AW250" s="185"/>
      <c r="AX250" s="185"/>
      <c r="AY250" s="185"/>
      <c r="AZ250" s="185"/>
      <c r="BA250" s="185"/>
      <c r="BB250" s="185"/>
      <c r="BC250" s="185"/>
      <c r="BD250" s="185"/>
      <c r="BE250" s="185"/>
      <c r="BF250" s="185"/>
      <c r="BG250" s="185"/>
      <c r="BH250" s="185"/>
      <c r="BI250" s="185"/>
      <c r="BJ250" s="185"/>
      <c r="BK250" s="185"/>
      <c r="BL250" s="186"/>
      <c r="BM250" s="186"/>
      <c r="BN250" s="186"/>
      <c r="BO250" s="186"/>
      <c r="BP250" s="186"/>
      <c r="BQ250" s="186"/>
      <c r="BR250" s="186"/>
      <c r="BS250" s="186"/>
      <c r="BT250" s="186"/>
      <c r="BU250" s="186"/>
      <c r="BV250" s="186"/>
      <c r="BW250" s="186"/>
      <c r="BX250" s="186"/>
      <c r="BY250" s="186"/>
      <c r="BZ250" s="186"/>
      <c r="CA250" s="186"/>
      <c r="CB250" s="186"/>
      <c r="CC250" s="186"/>
      <c r="CD250" s="186"/>
      <c r="CE250" s="186"/>
      <c r="CF250" s="186"/>
      <c r="CG250" s="186"/>
    </row>
    <row r="251" spans="1:85" ht="15.75">
      <c r="A251" s="185"/>
      <c r="B251" s="866"/>
      <c r="C251" s="866"/>
      <c r="D251" s="866"/>
      <c r="E251" s="866"/>
      <c r="F251" s="866"/>
      <c r="G251" s="866"/>
      <c r="H251" s="866"/>
      <c r="I251" s="866"/>
      <c r="J251" s="866"/>
      <c r="K251" s="185"/>
      <c r="L251" s="185"/>
      <c r="M251" s="185"/>
      <c r="N251" s="185"/>
      <c r="O251" s="866"/>
      <c r="P251" s="866"/>
      <c r="Q251" s="866"/>
      <c r="R251" s="866"/>
      <c r="S251" s="866"/>
      <c r="T251" s="866"/>
      <c r="U251" s="866"/>
      <c r="V251" s="866"/>
      <c r="W251" s="866"/>
      <c r="X251" s="866"/>
      <c r="Y251" s="866"/>
      <c r="Z251" s="866"/>
      <c r="AA251" s="866"/>
      <c r="AB251" s="866"/>
      <c r="AC251" s="866"/>
      <c r="AD251" s="866"/>
      <c r="AE251" s="866"/>
      <c r="AF251" s="866"/>
      <c r="AG251" s="866"/>
      <c r="AH251" s="185"/>
      <c r="AI251" s="185"/>
      <c r="AJ251" s="866"/>
      <c r="AK251" s="866"/>
      <c r="AL251" s="866"/>
      <c r="AM251" s="866"/>
      <c r="AN251" s="866"/>
      <c r="AO251" s="866"/>
      <c r="AP251" s="866"/>
      <c r="AQ251" s="866"/>
      <c r="AR251" s="866"/>
      <c r="AS251" s="866"/>
      <c r="AT251" s="185"/>
      <c r="AU251" s="185"/>
      <c r="AV251" s="185"/>
      <c r="AW251" s="185"/>
      <c r="AX251" s="185"/>
      <c r="AY251" s="185"/>
      <c r="AZ251" s="185"/>
      <c r="BA251" s="185"/>
      <c r="BB251" s="185"/>
      <c r="BC251" s="185"/>
      <c r="BD251" s="185"/>
      <c r="BE251" s="185"/>
      <c r="BF251" s="185"/>
      <c r="BG251" s="185"/>
      <c r="BH251" s="185"/>
      <c r="BI251" s="185"/>
      <c r="BJ251" s="185"/>
      <c r="BK251" s="185"/>
      <c r="BL251" s="186"/>
      <c r="BM251" s="186"/>
      <c r="BN251" s="186"/>
      <c r="BO251" s="186"/>
      <c r="BP251" s="186"/>
      <c r="BQ251" s="186"/>
      <c r="BR251" s="186"/>
      <c r="BS251" s="186"/>
      <c r="BT251" s="186"/>
      <c r="BU251" s="186"/>
      <c r="BV251" s="186"/>
      <c r="BW251" s="186"/>
      <c r="BX251" s="186"/>
      <c r="BY251" s="186"/>
      <c r="BZ251" s="186"/>
      <c r="CA251" s="186"/>
      <c r="CB251" s="186"/>
      <c r="CC251" s="186"/>
      <c r="CD251" s="186"/>
      <c r="CE251" s="186"/>
      <c r="CF251" s="186"/>
      <c r="CG251" s="186"/>
    </row>
    <row r="252" spans="1:85" ht="15.75">
      <c r="A252" s="185"/>
      <c r="B252" s="866"/>
      <c r="C252" s="866"/>
      <c r="D252" s="866"/>
      <c r="E252" s="866"/>
      <c r="F252" s="866"/>
      <c r="G252" s="866"/>
      <c r="H252" s="866"/>
      <c r="I252" s="866"/>
      <c r="J252" s="866"/>
      <c r="K252" s="185"/>
      <c r="L252" s="185"/>
      <c r="M252" s="185"/>
      <c r="N252" s="185"/>
      <c r="O252" s="866"/>
      <c r="P252" s="866"/>
      <c r="Q252" s="866"/>
      <c r="R252" s="866"/>
      <c r="S252" s="866"/>
      <c r="T252" s="866"/>
      <c r="U252" s="866"/>
      <c r="V252" s="866"/>
      <c r="W252" s="866"/>
      <c r="X252" s="866"/>
      <c r="Y252" s="866"/>
      <c r="Z252" s="866"/>
      <c r="AA252" s="866"/>
      <c r="AB252" s="866"/>
      <c r="AC252" s="866"/>
      <c r="AD252" s="866"/>
      <c r="AE252" s="866"/>
      <c r="AF252" s="866"/>
      <c r="AG252" s="866"/>
      <c r="AH252" s="185"/>
      <c r="AI252" s="185"/>
      <c r="AJ252" s="866"/>
      <c r="AK252" s="866"/>
      <c r="AL252" s="866"/>
      <c r="AM252" s="866"/>
      <c r="AN252" s="866"/>
      <c r="AO252" s="866"/>
      <c r="AP252" s="866"/>
      <c r="AQ252" s="866"/>
      <c r="AR252" s="866"/>
      <c r="AS252" s="866"/>
      <c r="AT252" s="185"/>
      <c r="AU252" s="185"/>
      <c r="AV252" s="185"/>
      <c r="AW252" s="185"/>
      <c r="AX252" s="185"/>
      <c r="AY252" s="185"/>
      <c r="AZ252" s="185"/>
      <c r="BA252" s="185"/>
      <c r="BB252" s="185"/>
      <c r="BC252" s="185"/>
      <c r="BD252" s="185"/>
      <c r="BE252" s="185"/>
      <c r="BF252" s="185"/>
      <c r="BG252" s="185"/>
      <c r="BH252" s="185"/>
      <c r="BI252" s="185"/>
      <c r="BJ252" s="185"/>
      <c r="BK252" s="185"/>
      <c r="BL252" s="186"/>
      <c r="BM252" s="186"/>
      <c r="BN252" s="186"/>
      <c r="BO252" s="186"/>
      <c r="BP252" s="186"/>
      <c r="BQ252" s="186"/>
      <c r="BR252" s="186"/>
      <c r="BS252" s="186"/>
      <c r="BT252" s="186"/>
      <c r="BU252" s="186"/>
      <c r="BV252" s="186"/>
      <c r="BW252" s="186"/>
      <c r="BX252" s="186"/>
      <c r="BY252" s="186"/>
      <c r="BZ252" s="186"/>
      <c r="CA252" s="186"/>
      <c r="CB252" s="186"/>
      <c r="CC252" s="186"/>
      <c r="CD252" s="186"/>
      <c r="CE252" s="186"/>
      <c r="CF252" s="186"/>
      <c r="CG252" s="186"/>
    </row>
    <row r="253" spans="1:85" ht="15.75">
      <c r="A253" s="185"/>
      <c r="B253" s="866"/>
      <c r="C253" s="866"/>
      <c r="D253" s="866"/>
      <c r="E253" s="866"/>
      <c r="F253" s="866"/>
      <c r="G253" s="866"/>
      <c r="H253" s="866"/>
      <c r="I253" s="866"/>
      <c r="J253" s="866"/>
      <c r="K253" s="185"/>
      <c r="L253" s="185"/>
      <c r="M253" s="185"/>
      <c r="N253" s="185"/>
      <c r="O253" s="866"/>
      <c r="P253" s="866"/>
      <c r="Q253" s="866"/>
      <c r="R253" s="866"/>
      <c r="S253" s="866"/>
      <c r="T253" s="866"/>
      <c r="U253" s="866"/>
      <c r="V253" s="866"/>
      <c r="W253" s="866"/>
      <c r="X253" s="866"/>
      <c r="Y253" s="866"/>
      <c r="Z253" s="866"/>
      <c r="AA253" s="866"/>
      <c r="AB253" s="866"/>
      <c r="AC253" s="866"/>
      <c r="AD253" s="866"/>
      <c r="AE253" s="866"/>
      <c r="AF253" s="866"/>
      <c r="AG253" s="866"/>
      <c r="AH253" s="185"/>
      <c r="AI253" s="185"/>
      <c r="AJ253" s="866"/>
      <c r="AK253" s="866"/>
      <c r="AL253" s="866"/>
      <c r="AM253" s="866"/>
      <c r="AN253" s="866"/>
      <c r="AO253" s="866"/>
      <c r="AP253" s="866"/>
      <c r="AQ253" s="866"/>
      <c r="AR253" s="866"/>
      <c r="AS253" s="866"/>
      <c r="AT253" s="185"/>
      <c r="AU253" s="185"/>
      <c r="AV253" s="185"/>
      <c r="AW253" s="185"/>
      <c r="AX253" s="185"/>
      <c r="AY253" s="185"/>
      <c r="AZ253" s="185"/>
      <c r="BA253" s="185"/>
      <c r="BB253" s="185"/>
      <c r="BC253" s="185"/>
      <c r="BD253" s="185"/>
      <c r="BE253" s="185"/>
      <c r="BF253" s="185"/>
      <c r="BG253" s="185"/>
      <c r="BH253" s="185"/>
      <c r="BI253" s="185"/>
      <c r="BJ253" s="185"/>
      <c r="BK253" s="185"/>
      <c r="BL253" s="186"/>
      <c r="BM253" s="186"/>
      <c r="BN253" s="186"/>
      <c r="BO253" s="186"/>
      <c r="BP253" s="186"/>
      <c r="BQ253" s="186"/>
      <c r="BR253" s="186"/>
      <c r="BS253" s="186"/>
      <c r="BT253" s="186"/>
      <c r="BU253" s="186"/>
      <c r="BV253" s="186"/>
      <c r="BW253" s="186"/>
      <c r="BX253" s="186"/>
      <c r="BY253" s="186"/>
      <c r="BZ253" s="186"/>
      <c r="CA253" s="186"/>
      <c r="CB253" s="186"/>
      <c r="CC253" s="186"/>
      <c r="CD253" s="186"/>
      <c r="CE253" s="186"/>
      <c r="CF253" s="186"/>
      <c r="CG253" s="186"/>
    </row>
    <row r="254" spans="1:85" ht="15.75">
      <c r="A254" s="185"/>
      <c r="B254" s="866"/>
      <c r="C254" s="866"/>
      <c r="D254" s="866"/>
      <c r="E254" s="866"/>
      <c r="F254" s="866"/>
      <c r="G254" s="866"/>
      <c r="H254" s="866"/>
      <c r="I254" s="866"/>
      <c r="J254" s="866"/>
      <c r="K254" s="185"/>
      <c r="L254" s="185"/>
      <c r="M254" s="185"/>
      <c r="N254" s="185"/>
      <c r="O254" s="866"/>
      <c r="P254" s="866"/>
      <c r="Q254" s="866"/>
      <c r="R254" s="866"/>
      <c r="S254" s="866"/>
      <c r="T254" s="866"/>
      <c r="U254" s="866"/>
      <c r="V254" s="866"/>
      <c r="W254" s="866"/>
      <c r="X254" s="866"/>
      <c r="Y254" s="866"/>
      <c r="Z254" s="866"/>
      <c r="AA254" s="866"/>
      <c r="AB254" s="866"/>
      <c r="AC254" s="866"/>
      <c r="AD254" s="866"/>
      <c r="AE254" s="866"/>
      <c r="AF254" s="866"/>
      <c r="AG254" s="866"/>
      <c r="AH254" s="185"/>
      <c r="AI254" s="185"/>
      <c r="AJ254" s="866"/>
      <c r="AK254" s="866"/>
      <c r="AL254" s="866"/>
      <c r="AM254" s="866"/>
      <c r="AN254" s="866"/>
      <c r="AO254" s="866"/>
      <c r="AP254" s="866"/>
      <c r="AQ254" s="866"/>
      <c r="AR254" s="866"/>
      <c r="AS254" s="866"/>
      <c r="AT254" s="185"/>
      <c r="AU254" s="185"/>
      <c r="AV254" s="185"/>
      <c r="AW254" s="185"/>
      <c r="AX254" s="185"/>
      <c r="AY254" s="185"/>
      <c r="AZ254" s="185"/>
      <c r="BA254" s="185"/>
      <c r="BB254" s="185"/>
      <c r="BC254" s="185"/>
      <c r="BD254" s="185"/>
      <c r="BE254" s="185"/>
      <c r="BF254" s="185"/>
      <c r="BG254" s="185"/>
      <c r="BH254" s="185"/>
      <c r="BI254" s="185"/>
      <c r="BJ254" s="185"/>
      <c r="BK254" s="185"/>
      <c r="BL254" s="186"/>
      <c r="BM254" s="186"/>
      <c r="BN254" s="186"/>
      <c r="BO254" s="186"/>
      <c r="BP254" s="186"/>
      <c r="BQ254" s="186"/>
      <c r="BR254" s="186"/>
      <c r="BS254" s="186"/>
      <c r="BT254" s="186"/>
      <c r="BU254" s="186"/>
      <c r="BV254" s="186"/>
      <c r="BW254" s="186"/>
      <c r="BX254" s="186"/>
      <c r="BY254" s="186"/>
      <c r="BZ254" s="186"/>
      <c r="CA254" s="186"/>
      <c r="CB254" s="186"/>
      <c r="CC254" s="186"/>
      <c r="CD254" s="186"/>
      <c r="CE254" s="186"/>
      <c r="CF254" s="186"/>
      <c r="CG254" s="186"/>
    </row>
    <row r="255" spans="1:85" ht="15.75">
      <c r="A255" s="185"/>
      <c r="B255" s="866"/>
      <c r="C255" s="866"/>
      <c r="D255" s="866"/>
      <c r="E255" s="866"/>
      <c r="F255" s="866"/>
      <c r="G255" s="866"/>
      <c r="H255" s="866"/>
      <c r="I255" s="866"/>
      <c r="J255" s="866"/>
      <c r="K255" s="185"/>
      <c r="L255" s="185"/>
      <c r="M255" s="185"/>
      <c r="N255" s="185"/>
      <c r="O255" s="866"/>
      <c r="P255" s="866"/>
      <c r="Q255" s="866"/>
      <c r="R255" s="866"/>
      <c r="S255" s="866"/>
      <c r="T255" s="866"/>
      <c r="U255" s="866"/>
      <c r="V255" s="866"/>
      <c r="W255" s="866"/>
      <c r="X255" s="866"/>
      <c r="Y255" s="866"/>
      <c r="Z255" s="866"/>
      <c r="AA255" s="866"/>
      <c r="AB255" s="866"/>
      <c r="AC255" s="866"/>
      <c r="AD255" s="866"/>
      <c r="AE255" s="866"/>
      <c r="AF255" s="866"/>
      <c r="AG255" s="866"/>
      <c r="AH255" s="185"/>
      <c r="AI255" s="185"/>
      <c r="AJ255" s="866"/>
      <c r="AK255" s="866"/>
      <c r="AL255" s="866"/>
      <c r="AM255" s="866"/>
      <c r="AN255" s="866"/>
      <c r="AO255" s="866"/>
      <c r="AP255" s="866"/>
      <c r="AQ255" s="866"/>
      <c r="AR255" s="866"/>
      <c r="AS255" s="866"/>
      <c r="AT255" s="185"/>
      <c r="AU255" s="185"/>
      <c r="AV255" s="185"/>
      <c r="AW255" s="185"/>
      <c r="AX255" s="185"/>
      <c r="AY255" s="185"/>
      <c r="AZ255" s="185"/>
      <c r="BA255" s="185"/>
      <c r="BB255" s="185"/>
      <c r="BC255" s="185"/>
      <c r="BD255" s="185"/>
      <c r="BE255" s="185"/>
      <c r="BF255" s="185"/>
      <c r="BG255" s="185"/>
      <c r="BH255" s="185"/>
      <c r="BI255" s="185"/>
      <c r="BJ255" s="185"/>
      <c r="BK255" s="185"/>
      <c r="BL255" s="186"/>
      <c r="BM255" s="186"/>
      <c r="BN255" s="186"/>
      <c r="BO255" s="186"/>
      <c r="BP255" s="186"/>
      <c r="BQ255" s="186"/>
      <c r="BR255" s="186"/>
      <c r="BS255" s="186"/>
      <c r="BT255" s="186"/>
      <c r="BU255" s="186"/>
      <c r="BV255" s="186"/>
      <c r="BW255" s="186"/>
      <c r="BX255" s="186"/>
      <c r="BY255" s="186"/>
      <c r="BZ255" s="186"/>
      <c r="CA255" s="186"/>
      <c r="CB255" s="186"/>
      <c r="CC255" s="186"/>
      <c r="CD255" s="186"/>
      <c r="CE255" s="186"/>
      <c r="CF255" s="186"/>
      <c r="CG255" s="186"/>
    </row>
    <row r="256" spans="1:85" ht="15.75">
      <c r="A256" s="185"/>
      <c r="B256" s="866"/>
      <c r="C256" s="866"/>
      <c r="D256" s="866"/>
      <c r="E256" s="866"/>
      <c r="F256" s="866"/>
      <c r="G256" s="866"/>
      <c r="H256" s="866"/>
      <c r="I256" s="866"/>
      <c r="J256" s="866"/>
      <c r="K256" s="185"/>
      <c r="L256" s="185"/>
      <c r="M256" s="185"/>
      <c r="N256" s="185"/>
      <c r="O256" s="866"/>
      <c r="P256" s="866"/>
      <c r="Q256" s="866"/>
      <c r="R256" s="866"/>
      <c r="S256" s="866"/>
      <c r="T256" s="866"/>
      <c r="U256" s="866"/>
      <c r="V256" s="866"/>
      <c r="W256" s="866"/>
      <c r="X256" s="866"/>
      <c r="Y256" s="866"/>
      <c r="Z256" s="866"/>
      <c r="AA256" s="866"/>
      <c r="AB256" s="866"/>
      <c r="AC256" s="866"/>
      <c r="AD256" s="866"/>
      <c r="AE256" s="866"/>
      <c r="AF256" s="866"/>
      <c r="AG256" s="866"/>
      <c r="AH256" s="185"/>
      <c r="AI256" s="185"/>
      <c r="AJ256" s="866"/>
      <c r="AK256" s="866"/>
      <c r="AL256" s="866"/>
      <c r="AM256" s="866"/>
      <c r="AN256" s="866"/>
      <c r="AO256" s="866"/>
      <c r="AP256" s="866"/>
      <c r="AQ256" s="866"/>
      <c r="AR256" s="866"/>
      <c r="AS256" s="866"/>
      <c r="AT256" s="185"/>
      <c r="AU256" s="185"/>
      <c r="AV256" s="185"/>
      <c r="AW256" s="185"/>
      <c r="AX256" s="185"/>
      <c r="AY256" s="185"/>
      <c r="AZ256" s="185"/>
      <c r="BA256" s="185"/>
      <c r="BB256" s="185"/>
      <c r="BC256" s="185"/>
      <c r="BD256" s="185"/>
      <c r="BE256" s="185"/>
      <c r="BF256" s="185"/>
      <c r="BG256" s="185"/>
      <c r="BH256" s="185"/>
      <c r="BI256" s="185"/>
      <c r="BJ256" s="185"/>
      <c r="BK256" s="185"/>
      <c r="BL256" s="186"/>
      <c r="BM256" s="186"/>
      <c r="BN256" s="186"/>
      <c r="BO256" s="186"/>
      <c r="BP256" s="186"/>
      <c r="BQ256" s="186"/>
      <c r="BR256" s="186"/>
      <c r="BS256" s="186"/>
      <c r="BT256" s="186"/>
      <c r="BU256" s="186"/>
      <c r="BV256" s="186"/>
      <c r="BW256" s="186"/>
      <c r="BX256" s="186"/>
      <c r="BY256" s="186"/>
      <c r="BZ256" s="186"/>
      <c r="CA256" s="186"/>
      <c r="CB256" s="186"/>
      <c r="CC256" s="186"/>
      <c r="CD256" s="186"/>
      <c r="CE256" s="186"/>
      <c r="CF256" s="186"/>
      <c r="CG256" s="186"/>
    </row>
    <row r="257" spans="1:85" ht="15.75">
      <c r="A257" s="185"/>
      <c r="B257" s="866"/>
      <c r="C257" s="866"/>
      <c r="D257" s="866"/>
      <c r="E257" s="866"/>
      <c r="F257" s="866"/>
      <c r="G257" s="866"/>
      <c r="H257" s="866"/>
      <c r="I257" s="866"/>
      <c r="J257" s="866"/>
      <c r="K257" s="185"/>
      <c r="L257" s="185"/>
      <c r="M257" s="185"/>
      <c r="N257" s="185"/>
      <c r="O257" s="866"/>
      <c r="P257" s="866"/>
      <c r="Q257" s="866"/>
      <c r="R257" s="866"/>
      <c r="S257" s="866"/>
      <c r="T257" s="866"/>
      <c r="U257" s="866"/>
      <c r="V257" s="866"/>
      <c r="W257" s="866"/>
      <c r="X257" s="866"/>
      <c r="Y257" s="866"/>
      <c r="Z257" s="866"/>
      <c r="AA257" s="866"/>
      <c r="AB257" s="866"/>
      <c r="AC257" s="866"/>
      <c r="AD257" s="866"/>
      <c r="AE257" s="866"/>
      <c r="AF257" s="866"/>
      <c r="AG257" s="866"/>
      <c r="AH257" s="185"/>
      <c r="AI257" s="185"/>
      <c r="AJ257" s="866"/>
      <c r="AK257" s="866"/>
      <c r="AL257" s="866"/>
      <c r="AM257" s="866"/>
      <c r="AN257" s="866"/>
      <c r="AO257" s="866"/>
      <c r="AP257" s="866"/>
      <c r="AQ257" s="866"/>
      <c r="AR257" s="866"/>
      <c r="AS257" s="866"/>
      <c r="AT257" s="185"/>
      <c r="AU257" s="185"/>
      <c r="AV257" s="185"/>
      <c r="AW257" s="185"/>
      <c r="AX257" s="185"/>
      <c r="AY257" s="185"/>
      <c r="AZ257" s="185"/>
      <c r="BA257" s="185"/>
      <c r="BB257" s="185"/>
      <c r="BC257" s="185"/>
      <c r="BD257" s="185"/>
      <c r="BE257" s="185"/>
      <c r="BF257" s="185"/>
      <c r="BG257" s="185"/>
      <c r="BH257" s="185"/>
      <c r="BI257" s="185"/>
      <c r="BJ257" s="185"/>
      <c r="BK257" s="185"/>
      <c r="BL257" s="186"/>
      <c r="BM257" s="186"/>
      <c r="BN257" s="186"/>
      <c r="BO257" s="186"/>
      <c r="BP257" s="186"/>
      <c r="BQ257" s="186"/>
      <c r="BR257" s="186"/>
      <c r="BS257" s="186"/>
      <c r="BT257" s="186"/>
      <c r="BU257" s="186"/>
      <c r="BV257" s="186"/>
      <c r="BW257" s="186"/>
      <c r="BX257" s="186"/>
      <c r="BY257" s="186"/>
      <c r="BZ257" s="186"/>
      <c r="CA257" s="186"/>
      <c r="CB257" s="186"/>
      <c r="CC257" s="186"/>
      <c r="CD257" s="186"/>
      <c r="CE257" s="186"/>
      <c r="CF257" s="186"/>
      <c r="CG257" s="186"/>
    </row>
    <row r="258" spans="1:85" ht="15.75">
      <c r="A258" s="185"/>
      <c r="B258" s="866"/>
      <c r="C258" s="866"/>
      <c r="D258" s="866"/>
      <c r="E258" s="866"/>
      <c r="F258" s="866"/>
      <c r="G258" s="866"/>
      <c r="H258" s="866"/>
      <c r="I258" s="866"/>
      <c r="J258" s="866"/>
      <c r="K258" s="185"/>
      <c r="L258" s="185"/>
      <c r="M258" s="185"/>
      <c r="N258" s="185"/>
      <c r="O258" s="866"/>
      <c r="P258" s="866"/>
      <c r="Q258" s="866"/>
      <c r="R258" s="866"/>
      <c r="S258" s="866"/>
      <c r="T258" s="866"/>
      <c r="U258" s="866"/>
      <c r="V258" s="866"/>
      <c r="W258" s="866"/>
      <c r="X258" s="866"/>
      <c r="Y258" s="866"/>
      <c r="Z258" s="866"/>
      <c r="AA258" s="866"/>
      <c r="AB258" s="866"/>
      <c r="AC258" s="866"/>
      <c r="AD258" s="866"/>
      <c r="AE258" s="866"/>
      <c r="AF258" s="866"/>
      <c r="AG258" s="866"/>
      <c r="AH258" s="185"/>
      <c r="AI258" s="185"/>
      <c r="AJ258" s="866"/>
      <c r="AK258" s="866"/>
      <c r="AL258" s="866"/>
      <c r="AM258" s="866"/>
      <c r="AN258" s="866"/>
      <c r="AO258" s="866"/>
      <c r="AP258" s="866"/>
      <c r="AQ258" s="866"/>
      <c r="AR258" s="866"/>
      <c r="AS258" s="866"/>
      <c r="AT258" s="185"/>
      <c r="AU258" s="185"/>
      <c r="AV258" s="185"/>
      <c r="AW258" s="185"/>
      <c r="AX258" s="185"/>
      <c r="AY258" s="185"/>
      <c r="AZ258" s="185"/>
      <c r="BA258" s="185"/>
      <c r="BB258" s="185"/>
      <c r="BC258" s="185"/>
      <c r="BD258" s="185"/>
      <c r="BE258" s="185"/>
      <c r="BF258" s="185"/>
      <c r="BG258" s="185"/>
      <c r="BH258" s="185"/>
      <c r="BI258" s="185"/>
      <c r="BJ258" s="185"/>
      <c r="BK258" s="185"/>
      <c r="BL258" s="186"/>
      <c r="BM258" s="186"/>
      <c r="BN258" s="186"/>
      <c r="BO258" s="186"/>
      <c r="BP258" s="186"/>
      <c r="BQ258" s="186"/>
      <c r="BR258" s="186"/>
      <c r="BS258" s="186"/>
      <c r="BT258" s="186"/>
      <c r="BU258" s="186"/>
      <c r="BV258" s="186"/>
      <c r="BW258" s="186"/>
      <c r="BX258" s="186"/>
      <c r="BY258" s="186"/>
      <c r="BZ258" s="186"/>
      <c r="CA258" s="186"/>
      <c r="CB258" s="186"/>
      <c r="CC258" s="186"/>
      <c r="CD258" s="186"/>
      <c r="CE258" s="186"/>
      <c r="CF258" s="186"/>
      <c r="CG258" s="186"/>
    </row>
    <row r="259" spans="1:85" ht="15.75">
      <c r="A259" s="185"/>
      <c r="B259" s="866"/>
      <c r="C259" s="866"/>
      <c r="D259" s="866"/>
      <c r="E259" s="866"/>
      <c r="F259" s="866"/>
      <c r="G259" s="866"/>
      <c r="H259" s="866"/>
      <c r="I259" s="866"/>
      <c r="J259" s="866"/>
      <c r="K259" s="185"/>
      <c r="L259" s="185"/>
      <c r="M259" s="185"/>
      <c r="N259" s="185"/>
      <c r="O259" s="866"/>
      <c r="P259" s="866"/>
      <c r="Q259" s="866"/>
      <c r="R259" s="866"/>
      <c r="S259" s="866"/>
      <c r="T259" s="866"/>
      <c r="U259" s="866"/>
      <c r="V259" s="866"/>
      <c r="W259" s="866"/>
      <c r="X259" s="866"/>
      <c r="Y259" s="866"/>
      <c r="Z259" s="866"/>
      <c r="AA259" s="866"/>
      <c r="AB259" s="866"/>
      <c r="AC259" s="866"/>
      <c r="AD259" s="866"/>
      <c r="AE259" s="866"/>
      <c r="AF259" s="866"/>
      <c r="AG259" s="866"/>
      <c r="AH259" s="185"/>
      <c r="AI259" s="185"/>
      <c r="AJ259" s="866"/>
      <c r="AK259" s="866"/>
      <c r="AL259" s="866"/>
      <c r="AM259" s="866"/>
      <c r="AN259" s="866"/>
      <c r="AO259" s="866"/>
      <c r="AP259" s="866"/>
      <c r="AQ259" s="866"/>
      <c r="AR259" s="866"/>
      <c r="AS259" s="866"/>
      <c r="AT259" s="185"/>
      <c r="AU259" s="185"/>
      <c r="AV259" s="185"/>
      <c r="AW259" s="185"/>
      <c r="AX259" s="185"/>
      <c r="AY259" s="185"/>
      <c r="AZ259" s="185"/>
      <c r="BA259" s="185"/>
      <c r="BB259" s="185"/>
      <c r="BC259" s="185"/>
      <c r="BD259" s="185"/>
      <c r="BE259" s="185"/>
      <c r="BF259" s="185"/>
      <c r="BG259" s="185"/>
      <c r="BH259" s="185"/>
      <c r="BI259" s="185"/>
      <c r="BJ259" s="185"/>
      <c r="BK259" s="185"/>
      <c r="BL259" s="186"/>
      <c r="BM259" s="186"/>
      <c r="BN259" s="186"/>
      <c r="BO259" s="186"/>
      <c r="BP259" s="186"/>
      <c r="BQ259" s="186"/>
      <c r="BR259" s="186"/>
      <c r="BS259" s="186"/>
      <c r="BT259" s="186"/>
      <c r="BU259" s="186"/>
      <c r="BV259" s="186"/>
      <c r="BW259" s="186"/>
      <c r="BX259" s="186"/>
      <c r="BY259" s="186"/>
      <c r="BZ259" s="186"/>
      <c r="CA259" s="186"/>
      <c r="CB259" s="186"/>
      <c r="CC259" s="186"/>
      <c r="CD259" s="186"/>
      <c r="CE259" s="186"/>
      <c r="CF259" s="186"/>
      <c r="CG259" s="186"/>
    </row>
    <row r="260" spans="1:85">
      <c r="A260" s="186"/>
      <c r="B260" s="916"/>
      <c r="C260" s="916"/>
      <c r="D260" s="916"/>
      <c r="E260" s="916"/>
      <c r="F260" s="916"/>
      <c r="G260" s="916"/>
      <c r="H260" s="916"/>
      <c r="I260" s="916"/>
      <c r="J260" s="916"/>
      <c r="K260" s="186"/>
      <c r="L260" s="186"/>
      <c r="M260" s="186"/>
      <c r="N260" s="186"/>
      <c r="O260" s="916"/>
      <c r="P260" s="916"/>
      <c r="Q260" s="916"/>
      <c r="R260" s="916"/>
      <c r="S260" s="916"/>
      <c r="T260" s="916"/>
      <c r="U260" s="916"/>
      <c r="V260" s="916"/>
      <c r="W260" s="916"/>
      <c r="X260" s="916"/>
      <c r="Y260" s="916"/>
      <c r="Z260" s="916"/>
      <c r="AA260" s="916"/>
      <c r="AB260" s="916"/>
      <c r="AC260" s="916"/>
      <c r="AD260" s="916"/>
      <c r="AE260" s="916"/>
      <c r="AF260" s="916"/>
      <c r="AG260" s="916"/>
      <c r="AH260" s="186"/>
      <c r="AI260" s="186"/>
      <c r="AJ260" s="916"/>
      <c r="AK260" s="916"/>
      <c r="AL260" s="916"/>
      <c r="AM260" s="916"/>
      <c r="AN260" s="916"/>
      <c r="AO260" s="916"/>
      <c r="AP260" s="916"/>
      <c r="AQ260" s="916"/>
      <c r="AR260" s="916"/>
      <c r="AS260" s="916"/>
      <c r="AT260" s="186"/>
      <c r="AU260" s="186"/>
      <c r="AV260" s="186"/>
      <c r="AW260" s="186"/>
      <c r="AX260" s="186"/>
      <c r="AY260" s="186"/>
      <c r="AZ260" s="186"/>
      <c r="BA260" s="186"/>
      <c r="BB260" s="186"/>
      <c r="BC260" s="186"/>
      <c r="BD260" s="186"/>
      <c r="BE260" s="186"/>
      <c r="BF260" s="186"/>
      <c r="BG260" s="186"/>
      <c r="BH260" s="186"/>
      <c r="BI260" s="186"/>
      <c r="BJ260" s="186"/>
      <c r="BK260" s="186"/>
      <c r="BL260" s="186"/>
      <c r="BM260" s="186"/>
      <c r="BN260" s="186"/>
      <c r="BO260" s="186"/>
      <c r="BP260" s="186"/>
      <c r="BQ260" s="186"/>
      <c r="BR260" s="186"/>
      <c r="BS260" s="186"/>
      <c r="BT260" s="186"/>
      <c r="BU260" s="186"/>
      <c r="BV260" s="186"/>
      <c r="BW260" s="186"/>
      <c r="BX260" s="186"/>
      <c r="BY260" s="186"/>
      <c r="BZ260" s="186"/>
      <c r="CA260" s="186"/>
      <c r="CB260" s="186"/>
      <c r="CC260" s="186"/>
      <c r="CD260" s="186"/>
      <c r="CE260" s="186"/>
      <c r="CF260" s="186"/>
      <c r="CG260" s="186"/>
    </row>
    <row r="261" spans="1:85">
      <c r="A261" s="186"/>
      <c r="B261" s="916"/>
      <c r="C261" s="916"/>
      <c r="D261" s="916"/>
      <c r="E261" s="916"/>
      <c r="F261" s="916"/>
      <c r="G261" s="916"/>
      <c r="H261" s="916"/>
      <c r="I261" s="916"/>
      <c r="J261" s="916"/>
      <c r="K261" s="186"/>
      <c r="L261" s="186"/>
      <c r="M261" s="186"/>
      <c r="N261" s="186"/>
      <c r="O261" s="916"/>
      <c r="P261" s="916"/>
      <c r="Q261" s="916"/>
      <c r="R261" s="916"/>
      <c r="S261" s="916"/>
      <c r="T261" s="916"/>
      <c r="U261" s="916"/>
      <c r="V261" s="916"/>
      <c r="W261" s="916"/>
      <c r="X261" s="916"/>
      <c r="Y261" s="916"/>
      <c r="Z261" s="916"/>
      <c r="AA261" s="916"/>
      <c r="AB261" s="916"/>
      <c r="AC261" s="916"/>
      <c r="AD261" s="916"/>
      <c r="AE261" s="916"/>
      <c r="AF261" s="916"/>
      <c r="AG261" s="916"/>
      <c r="AH261" s="186"/>
      <c r="AI261" s="186"/>
      <c r="AJ261" s="916"/>
      <c r="AK261" s="916"/>
      <c r="AL261" s="916"/>
      <c r="AM261" s="916"/>
      <c r="AN261" s="916"/>
      <c r="AO261" s="916"/>
      <c r="AP261" s="916"/>
      <c r="AQ261" s="916"/>
      <c r="AR261" s="916"/>
      <c r="AS261" s="916"/>
      <c r="AT261" s="186"/>
      <c r="AU261" s="186"/>
      <c r="AV261" s="186"/>
      <c r="AW261" s="186"/>
      <c r="AX261" s="186"/>
      <c r="AY261" s="186"/>
      <c r="AZ261" s="186"/>
      <c r="BA261" s="186"/>
      <c r="BB261" s="186"/>
      <c r="BC261" s="186"/>
      <c r="BD261" s="186"/>
      <c r="BE261" s="186"/>
      <c r="BF261" s="186"/>
      <c r="BG261" s="186"/>
      <c r="BH261" s="186"/>
      <c r="BI261" s="186"/>
      <c r="BJ261" s="186"/>
      <c r="BK261" s="186"/>
      <c r="BL261" s="186"/>
      <c r="BM261" s="186"/>
      <c r="BN261" s="186"/>
      <c r="BO261" s="186"/>
      <c r="BP261" s="186"/>
      <c r="BQ261" s="186"/>
      <c r="BR261" s="186"/>
      <c r="BS261" s="186"/>
      <c r="BT261" s="186"/>
      <c r="BU261" s="186"/>
      <c r="BV261" s="186"/>
      <c r="BW261" s="186"/>
      <c r="BX261" s="186"/>
      <c r="BY261" s="186"/>
      <c r="BZ261" s="186"/>
      <c r="CA261" s="186"/>
      <c r="CB261" s="186"/>
      <c r="CC261" s="186"/>
      <c r="CD261" s="186"/>
      <c r="CE261" s="186"/>
      <c r="CF261" s="186"/>
      <c r="CG261" s="186"/>
    </row>
    <row r="262" spans="1:85">
      <c r="A262" s="186"/>
      <c r="B262" s="916"/>
      <c r="C262" s="916"/>
      <c r="D262" s="916"/>
      <c r="E262" s="916"/>
      <c r="F262" s="916"/>
      <c r="G262" s="916"/>
      <c r="H262" s="916"/>
      <c r="I262" s="916"/>
      <c r="J262" s="916"/>
      <c r="K262" s="186"/>
      <c r="L262" s="186"/>
      <c r="M262" s="186"/>
      <c r="N262" s="186"/>
      <c r="O262" s="916"/>
      <c r="P262" s="916"/>
      <c r="Q262" s="916"/>
      <c r="R262" s="916"/>
      <c r="S262" s="916"/>
      <c r="T262" s="916"/>
      <c r="U262" s="916"/>
      <c r="V262" s="916"/>
      <c r="W262" s="916"/>
      <c r="X262" s="916"/>
      <c r="Y262" s="916"/>
      <c r="Z262" s="916"/>
      <c r="AA262" s="916"/>
      <c r="AB262" s="916"/>
      <c r="AC262" s="916"/>
      <c r="AD262" s="916"/>
      <c r="AE262" s="916"/>
      <c r="AF262" s="916"/>
      <c r="AG262" s="916"/>
      <c r="AH262" s="186"/>
      <c r="AI262" s="186"/>
      <c r="AJ262" s="916"/>
      <c r="AK262" s="916"/>
      <c r="AL262" s="916"/>
      <c r="AM262" s="916"/>
      <c r="AN262" s="916"/>
      <c r="AO262" s="916"/>
      <c r="AP262" s="916"/>
      <c r="AQ262" s="916"/>
      <c r="AR262" s="916"/>
      <c r="AS262" s="916"/>
      <c r="AT262" s="186"/>
      <c r="AU262" s="186"/>
      <c r="AV262" s="186"/>
      <c r="AW262" s="186"/>
      <c r="AX262" s="186"/>
      <c r="AY262" s="186"/>
      <c r="AZ262" s="186"/>
      <c r="BA262" s="186"/>
      <c r="BB262" s="186"/>
      <c r="BC262" s="186"/>
      <c r="BD262" s="186"/>
      <c r="BE262" s="186"/>
      <c r="BF262" s="186"/>
      <c r="BG262" s="186"/>
      <c r="BH262" s="186"/>
      <c r="BI262" s="186"/>
      <c r="BJ262" s="186"/>
      <c r="BK262" s="186"/>
      <c r="BL262" s="186"/>
      <c r="BM262" s="186"/>
      <c r="BN262" s="186"/>
      <c r="BO262" s="186"/>
      <c r="BP262" s="186"/>
      <c r="BQ262" s="186"/>
      <c r="BR262" s="186"/>
      <c r="BS262" s="186"/>
      <c r="BT262" s="186"/>
      <c r="BU262" s="186"/>
      <c r="BV262" s="186"/>
      <c r="BW262" s="186"/>
      <c r="BX262" s="186"/>
      <c r="BY262" s="186"/>
      <c r="BZ262" s="186"/>
      <c r="CA262" s="186"/>
      <c r="CB262" s="186"/>
      <c r="CC262" s="186"/>
      <c r="CD262" s="186"/>
      <c r="CE262" s="186"/>
      <c r="CF262" s="186"/>
      <c r="CG262" s="186"/>
    </row>
    <row r="263" spans="1:85">
      <c r="A263" s="186"/>
      <c r="B263" s="916"/>
      <c r="C263" s="916"/>
      <c r="D263" s="916"/>
      <c r="E263" s="916"/>
      <c r="F263" s="916"/>
      <c r="G263" s="916"/>
      <c r="H263" s="916"/>
      <c r="I263" s="916"/>
      <c r="J263" s="916"/>
      <c r="K263" s="186"/>
      <c r="L263" s="186"/>
      <c r="M263" s="186"/>
      <c r="N263" s="186"/>
      <c r="O263" s="916"/>
      <c r="P263" s="916"/>
      <c r="Q263" s="916"/>
      <c r="R263" s="916"/>
      <c r="S263" s="916"/>
      <c r="T263" s="916"/>
      <c r="U263" s="916"/>
      <c r="V263" s="916"/>
      <c r="W263" s="916"/>
      <c r="X263" s="916"/>
      <c r="Y263" s="916"/>
      <c r="Z263" s="916"/>
      <c r="AA263" s="916"/>
      <c r="AB263" s="916"/>
      <c r="AC263" s="916"/>
      <c r="AD263" s="916"/>
      <c r="AE263" s="916"/>
      <c r="AF263" s="916"/>
      <c r="AG263" s="916"/>
      <c r="AH263" s="186"/>
      <c r="AI263" s="186"/>
      <c r="AJ263" s="916"/>
      <c r="AK263" s="916"/>
      <c r="AL263" s="916"/>
      <c r="AM263" s="916"/>
      <c r="AN263" s="916"/>
      <c r="AO263" s="916"/>
      <c r="AP263" s="916"/>
      <c r="AQ263" s="916"/>
      <c r="AR263" s="916"/>
      <c r="AS263" s="916"/>
      <c r="AT263" s="186"/>
      <c r="AU263" s="186"/>
      <c r="AV263" s="186"/>
      <c r="AW263" s="186"/>
      <c r="AX263" s="186"/>
      <c r="AY263" s="186"/>
      <c r="AZ263" s="186"/>
      <c r="BA263" s="186"/>
      <c r="BB263" s="186"/>
      <c r="BC263" s="186"/>
      <c r="BD263" s="186"/>
      <c r="BE263" s="186"/>
      <c r="BF263" s="186"/>
      <c r="BG263" s="186"/>
      <c r="BH263" s="186"/>
      <c r="BI263" s="186"/>
      <c r="BJ263" s="186"/>
      <c r="BK263" s="186"/>
      <c r="BL263" s="186"/>
      <c r="BM263" s="186"/>
      <c r="BN263" s="186"/>
      <c r="BO263" s="186"/>
      <c r="BP263" s="186"/>
      <c r="BQ263" s="186"/>
      <c r="BR263" s="186"/>
      <c r="BS263" s="186"/>
      <c r="BT263" s="186"/>
      <c r="BU263" s="186"/>
      <c r="BV263" s="186"/>
      <c r="BW263" s="186"/>
      <c r="BX263" s="186"/>
      <c r="BY263" s="186"/>
      <c r="BZ263" s="186"/>
      <c r="CA263" s="186"/>
      <c r="CB263" s="186"/>
      <c r="CC263" s="186"/>
      <c r="CD263" s="186"/>
      <c r="CE263" s="186"/>
      <c r="CF263" s="186"/>
      <c r="CG263" s="186"/>
    </row>
    <row r="264" spans="1:85">
      <c r="A264" s="186"/>
      <c r="B264" s="916"/>
      <c r="C264" s="916"/>
      <c r="D264" s="916"/>
      <c r="E264" s="916"/>
      <c r="F264" s="916"/>
      <c r="G264" s="916"/>
      <c r="H264" s="916"/>
      <c r="I264" s="916"/>
      <c r="J264" s="916"/>
      <c r="K264" s="186"/>
      <c r="L264" s="186"/>
      <c r="M264" s="186"/>
      <c r="N264" s="186"/>
      <c r="O264" s="916"/>
      <c r="P264" s="916"/>
      <c r="Q264" s="916"/>
      <c r="R264" s="916"/>
      <c r="S264" s="916"/>
      <c r="T264" s="916"/>
      <c r="U264" s="916"/>
      <c r="V264" s="916"/>
      <c r="W264" s="916"/>
      <c r="X264" s="916"/>
      <c r="Y264" s="916"/>
      <c r="Z264" s="916"/>
      <c r="AA264" s="916"/>
      <c r="AB264" s="916"/>
      <c r="AC264" s="916"/>
      <c r="AD264" s="916"/>
      <c r="AE264" s="916"/>
      <c r="AF264" s="916"/>
      <c r="AG264" s="916"/>
      <c r="AH264" s="186"/>
      <c r="AI264" s="186"/>
      <c r="AJ264" s="916"/>
      <c r="AK264" s="916"/>
      <c r="AL264" s="916"/>
      <c r="AM264" s="916"/>
      <c r="AN264" s="916"/>
      <c r="AO264" s="916"/>
      <c r="AP264" s="916"/>
      <c r="AQ264" s="916"/>
      <c r="AR264" s="916"/>
      <c r="AS264" s="916"/>
      <c r="AT264" s="186"/>
      <c r="AU264" s="186"/>
      <c r="AV264" s="186"/>
      <c r="AW264" s="186"/>
      <c r="AX264" s="186"/>
      <c r="AY264" s="186"/>
      <c r="AZ264" s="186"/>
      <c r="BA264" s="186"/>
      <c r="BB264" s="186"/>
      <c r="BC264" s="186"/>
      <c r="BD264" s="186"/>
      <c r="BE264" s="186"/>
      <c r="BF264" s="186"/>
      <c r="BG264" s="186"/>
      <c r="BH264" s="186"/>
      <c r="BI264" s="186"/>
      <c r="BJ264" s="186"/>
      <c r="BK264" s="186"/>
      <c r="BL264" s="186"/>
      <c r="BM264" s="186"/>
      <c r="BN264" s="186"/>
      <c r="BO264" s="186"/>
      <c r="BP264" s="186"/>
      <c r="BQ264" s="186"/>
      <c r="BR264" s="186"/>
      <c r="BS264" s="186"/>
      <c r="BT264" s="186"/>
      <c r="BU264" s="186"/>
      <c r="BV264" s="186"/>
      <c r="BW264" s="186"/>
      <c r="BX264" s="186"/>
      <c r="BY264" s="186"/>
      <c r="BZ264" s="186"/>
      <c r="CA264" s="186"/>
      <c r="CB264" s="186"/>
      <c r="CC264" s="186"/>
      <c r="CD264" s="186"/>
      <c r="CE264" s="186"/>
      <c r="CF264" s="186"/>
      <c r="CG264" s="186"/>
    </row>
    <row r="265" spans="1:85">
      <c r="A265" s="186"/>
      <c r="B265" s="916"/>
      <c r="C265" s="916"/>
      <c r="D265" s="916"/>
      <c r="E265" s="916"/>
      <c r="F265" s="916"/>
      <c r="G265" s="916"/>
      <c r="H265" s="916"/>
      <c r="I265" s="916"/>
      <c r="J265" s="916"/>
      <c r="K265" s="186"/>
      <c r="L265" s="186"/>
      <c r="M265" s="186"/>
      <c r="N265" s="186"/>
      <c r="O265" s="916"/>
      <c r="P265" s="916"/>
      <c r="Q265" s="916"/>
      <c r="R265" s="916"/>
      <c r="S265" s="916"/>
      <c r="T265" s="916"/>
      <c r="U265" s="916"/>
      <c r="V265" s="916"/>
      <c r="W265" s="916"/>
      <c r="X265" s="916"/>
      <c r="Y265" s="916"/>
      <c r="Z265" s="916"/>
      <c r="AA265" s="916"/>
      <c r="AB265" s="916"/>
      <c r="AC265" s="916"/>
      <c r="AD265" s="916"/>
      <c r="AE265" s="916"/>
      <c r="AF265" s="916"/>
      <c r="AG265" s="916"/>
      <c r="AH265" s="186"/>
      <c r="AI265" s="186"/>
      <c r="AJ265" s="916"/>
      <c r="AK265" s="916"/>
      <c r="AL265" s="916"/>
      <c r="AM265" s="916"/>
      <c r="AN265" s="916"/>
      <c r="AO265" s="916"/>
      <c r="AP265" s="916"/>
      <c r="AQ265" s="916"/>
      <c r="AR265" s="916"/>
      <c r="AS265" s="916"/>
      <c r="AT265" s="186"/>
      <c r="AU265" s="186"/>
      <c r="AV265" s="186"/>
      <c r="AW265" s="186"/>
      <c r="AX265" s="186"/>
      <c r="AY265" s="186"/>
      <c r="AZ265" s="186"/>
      <c r="BA265" s="186"/>
      <c r="BB265" s="186"/>
      <c r="BC265" s="186"/>
      <c r="BD265" s="186"/>
      <c r="BE265" s="186"/>
      <c r="BF265" s="186"/>
      <c r="BG265" s="186"/>
      <c r="BH265" s="186"/>
      <c r="BI265" s="186"/>
      <c r="BJ265" s="186"/>
      <c r="BK265" s="186"/>
      <c r="BL265" s="186"/>
      <c r="BM265" s="186"/>
      <c r="BN265" s="186"/>
      <c r="BO265" s="186"/>
      <c r="BP265" s="186"/>
      <c r="BQ265" s="186"/>
      <c r="BR265" s="186"/>
      <c r="BS265" s="186"/>
      <c r="BT265" s="186"/>
      <c r="BU265" s="186"/>
      <c r="BV265" s="186"/>
      <c r="BW265" s="186"/>
      <c r="BX265" s="186"/>
      <c r="BY265" s="186"/>
      <c r="BZ265" s="186"/>
      <c r="CA265" s="186"/>
      <c r="CB265" s="186"/>
      <c r="CC265" s="186"/>
      <c r="CD265" s="186"/>
      <c r="CE265" s="186"/>
      <c r="CF265" s="186"/>
      <c r="CG265" s="186"/>
    </row>
    <row r="266" spans="1:85">
      <c r="A266" s="186"/>
      <c r="B266" s="916"/>
      <c r="C266" s="916"/>
      <c r="D266" s="916"/>
      <c r="E266" s="916"/>
      <c r="F266" s="916"/>
      <c r="G266" s="916"/>
      <c r="H266" s="916"/>
      <c r="I266" s="916"/>
      <c r="J266" s="916"/>
      <c r="K266" s="186"/>
      <c r="L266" s="186"/>
      <c r="M266" s="186"/>
      <c r="N266" s="186"/>
      <c r="O266" s="916"/>
      <c r="P266" s="916"/>
      <c r="Q266" s="916"/>
      <c r="R266" s="916"/>
      <c r="S266" s="916"/>
      <c r="T266" s="916"/>
      <c r="U266" s="916"/>
      <c r="V266" s="916"/>
      <c r="W266" s="916"/>
      <c r="X266" s="916"/>
      <c r="Y266" s="916"/>
      <c r="Z266" s="916"/>
      <c r="AA266" s="916"/>
      <c r="AB266" s="916"/>
      <c r="AC266" s="916"/>
      <c r="AD266" s="916"/>
      <c r="AE266" s="916"/>
      <c r="AF266" s="916"/>
      <c r="AG266" s="916"/>
      <c r="AH266" s="186"/>
      <c r="AI266" s="186"/>
      <c r="AJ266" s="916"/>
      <c r="AK266" s="916"/>
      <c r="AL266" s="916"/>
      <c r="AM266" s="916"/>
      <c r="AN266" s="916"/>
      <c r="AO266" s="916"/>
      <c r="AP266" s="916"/>
      <c r="AQ266" s="916"/>
      <c r="AR266" s="916"/>
      <c r="AS266" s="916"/>
      <c r="AT266" s="186"/>
      <c r="AU266" s="186"/>
      <c r="AV266" s="186"/>
      <c r="AW266" s="186"/>
      <c r="AX266" s="186"/>
      <c r="AY266" s="186"/>
      <c r="AZ266" s="186"/>
      <c r="BA266" s="186"/>
      <c r="BB266" s="186"/>
      <c r="BC266" s="186"/>
      <c r="BD266" s="186"/>
      <c r="BE266" s="186"/>
      <c r="BF266" s="186"/>
      <c r="BG266" s="186"/>
      <c r="BH266" s="186"/>
      <c r="BI266" s="186"/>
      <c r="BJ266" s="186"/>
      <c r="BK266" s="186"/>
      <c r="BL266" s="186"/>
      <c r="BM266" s="186"/>
      <c r="BN266" s="186"/>
      <c r="BO266" s="186"/>
      <c r="BP266" s="186"/>
      <c r="BQ266" s="186"/>
      <c r="BR266" s="186"/>
      <c r="BS266" s="186"/>
      <c r="BT266" s="186"/>
      <c r="BU266" s="186"/>
      <c r="BV266" s="186"/>
      <c r="BW266" s="186"/>
      <c r="BX266" s="186"/>
      <c r="BY266" s="186"/>
      <c r="BZ266" s="186"/>
      <c r="CA266" s="186"/>
      <c r="CB266" s="186"/>
      <c r="CC266" s="186"/>
      <c r="CD266" s="186"/>
      <c r="CE266" s="186"/>
      <c r="CF266" s="186"/>
      <c r="CG266" s="186"/>
    </row>
    <row r="267" spans="1:85">
      <c r="A267" s="186"/>
      <c r="B267" s="916"/>
      <c r="C267" s="916"/>
      <c r="D267" s="916"/>
      <c r="E267" s="916"/>
      <c r="F267" s="916"/>
      <c r="G267" s="916"/>
      <c r="H267" s="916"/>
      <c r="I267" s="916"/>
      <c r="J267" s="916"/>
      <c r="K267" s="186"/>
      <c r="L267" s="186"/>
      <c r="M267" s="186"/>
      <c r="N267" s="186"/>
      <c r="O267" s="916"/>
      <c r="P267" s="916"/>
      <c r="Q267" s="916"/>
      <c r="R267" s="916"/>
      <c r="S267" s="916"/>
      <c r="T267" s="916"/>
      <c r="U267" s="916"/>
      <c r="V267" s="916"/>
      <c r="W267" s="916"/>
      <c r="X267" s="916"/>
      <c r="Y267" s="916"/>
      <c r="Z267" s="916"/>
      <c r="AA267" s="916"/>
      <c r="AB267" s="916"/>
      <c r="AC267" s="916"/>
      <c r="AD267" s="916"/>
      <c r="AE267" s="916"/>
      <c r="AF267" s="916"/>
      <c r="AG267" s="916"/>
      <c r="AH267" s="186"/>
      <c r="AI267" s="186"/>
      <c r="AJ267" s="916"/>
      <c r="AK267" s="916"/>
      <c r="AL267" s="916"/>
      <c r="AM267" s="916"/>
      <c r="AN267" s="916"/>
      <c r="AO267" s="916"/>
      <c r="AP267" s="916"/>
      <c r="AQ267" s="916"/>
      <c r="AR267" s="916"/>
      <c r="AS267" s="916"/>
      <c r="AT267" s="186"/>
      <c r="AU267" s="186"/>
      <c r="AV267" s="186"/>
      <c r="AW267" s="186"/>
      <c r="AX267" s="186"/>
      <c r="AY267" s="186"/>
      <c r="AZ267" s="186"/>
      <c r="BA267" s="186"/>
      <c r="BB267" s="186"/>
      <c r="BC267" s="186"/>
      <c r="BD267" s="186"/>
      <c r="BE267" s="186"/>
      <c r="BF267" s="186"/>
      <c r="BG267" s="186"/>
      <c r="BH267" s="186"/>
      <c r="BI267" s="186"/>
      <c r="BJ267" s="186"/>
      <c r="BK267" s="186"/>
      <c r="BL267" s="186"/>
      <c r="BM267" s="186"/>
      <c r="BN267" s="186"/>
      <c r="BO267" s="186"/>
      <c r="BP267" s="186"/>
      <c r="BQ267" s="186"/>
      <c r="BR267" s="186"/>
      <c r="BS267" s="186"/>
      <c r="BT267" s="186"/>
      <c r="BU267" s="186"/>
      <c r="BV267" s="186"/>
      <c r="BW267" s="186"/>
      <c r="BX267" s="186"/>
      <c r="BY267" s="186"/>
      <c r="BZ267" s="186"/>
      <c r="CA267" s="186"/>
      <c r="CB267" s="186"/>
      <c r="CC267" s="186"/>
      <c r="CD267" s="186"/>
      <c r="CE267" s="186"/>
      <c r="CF267" s="186"/>
      <c r="CG267" s="186"/>
    </row>
    <row r="268" spans="1:85">
      <c r="A268" s="186"/>
      <c r="B268" s="916"/>
      <c r="C268" s="916"/>
      <c r="D268" s="916"/>
      <c r="E268" s="916"/>
      <c r="F268" s="916"/>
      <c r="G268" s="916"/>
      <c r="H268" s="916"/>
      <c r="I268" s="916"/>
      <c r="J268" s="916"/>
      <c r="K268" s="186"/>
      <c r="L268" s="186"/>
      <c r="M268" s="186"/>
      <c r="N268" s="186"/>
      <c r="O268" s="916"/>
      <c r="P268" s="916"/>
      <c r="Q268" s="916"/>
      <c r="R268" s="916"/>
      <c r="S268" s="916"/>
      <c r="T268" s="916"/>
      <c r="U268" s="916"/>
      <c r="V268" s="916"/>
      <c r="W268" s="916"/>
      <c r="X268" s="916"/>
      <c r="Y268" s="916"/>
      <c r="Z268" s="916"/>
      <c r="AA268" s="916"/>
      <c r="AB268" s="916"/>
      <c r="AC268" s="916"/>
      <c r="AD268" s="916"/>
      <c r="AE268" s="916"/>
      <c r="AF268" s="916"/>
      <c r="AG268" s="916"/>
      <c r="AH268" s="186"/>
      <c r="AI268" s="186"/>
      <c r="AJ268" s="916"/>
      <c r="AK268" s="916"/>
      <c r="AL268" s="916"/>
      <c r="AM268" s="916"/>
      <c r="AN268" s="916"/>
      <c r="AO268" s="916"/>
      <c r="AP268" s="916"/>
      <c r="AQ268" s="916"/>
      <c r="AR268" s="916"/>
      <c r="AS268" s="916"/>
      <c r="AT268" s="186"/>
      <c r="AU268" s="186"/>
      <c r="AV268" s="186"/>
      <c r="AW268" s="186"/>
      <c r="AX268" s="186"/>
      <c r="AY268" s="186"/>
      <c r="AZ268" s="186"/>
      <c r="BA268" s="186"/>
      <c r="BB268" s="186"/>
      <c r="BC268" s="186"/>
      <c r="BD268" s="186"/>
      <c r="BE268" s="186"/>
      <c r="BF268" s="186"/>
      <c r="BG268" s="186"/>
      <c r="BH268" s="186"/>
      <c r="BI268" s="186"/>
      <c r="BJ268" s="186"/>
      <c r="BK268" s="186"/>
      <c r="BL268" s="186"/>
      <c r="BM268" s="186"/>
      <c r="BN268" s="186"/>
      <c r="BO268" s="186"/>
      <c r="BP268" s="186"/>
      <c r="BQ268" s="186"/>
      <c r="BR268" s="186"/>
      <c r="BS268" s="186"/>
      <c r="BT268" s="186"/>
      <c r="BU268" s="186"/>
      <c r="BV268" s="186"/>
      <c r="BW268" s="186"/>
      <c r="BX268" s="186"/>
      <c r="BY268" s="186"/>
      <c r="BZ268" s="186"/>
      <c r="CA268" s="186"/>
      <c r="CB268" s="186"/>
      <c r="CC268" s="186"/>
      <c r="CD268" s="186"/>
      <c r="CE268" s="186"/>
      <c r="CF268" s="186"/>
      <c r="CG268" s="186"/>
    </row>
    <row r="269" spans="1:85">
      <c r="A269" s="186"/>
      <c r="B269" s="916"/>
      <c r="C269" s="916"/>
      <c r="D269" s="916"/>
      <c r="E269" s="916"/>
      <c r="F269" s="916"/>
      <c r="G269" s="916"/>
      <c r="H269" s="916"/>
      <c r="I269" s="916"/>
      <c r="J269" s="916"/>
      <c r="K269" s="186"/>
      <c r="L269" s="186"/>
      <c r="M269" s="186"/>
      <c r="N269" s="186"/>
      <c r="O269" s="916"/>
      <c r="P269" s="916"/>
      <c r="Q269" s="916"/>
      <c r="R269" s="916"/>
      <c r="S269" s="916"/>
      <c r="T269" s="916"/>
      <c r="U269" s="916"/>
      <c r="V269" s="916"/>
      <c r="W269" s="916"/>
      <c r="X269" s="916"/>
      <c r="Y269" s="916"/>
      <c r="Z269" s="916"/>
      <c r="AA269" s="916"/>
      <c r="AB269" s="916"/>
      <c r="AC269" s="916"/>
      <c r="AD269" s="916"/>
      <c r="AE269" s="916"/>
      <c r="AF269" s="916"/>
      <c r="AG269" s="916"/>
      <c r="AH269" s="186"/>
      <c r="AI269" s="186"/>
      <c r="AJ269" s="916"/>
      <c r="AK269" s="916"/>
      <c r="AL269" s="916"/>
      <c r="AM269" s="916"/>
      <c r="AN269" s="916"/>
      <c r="AO269" s="916"/>
      <c r="AP269" s="916"/>
      <c r="AQ269" s="916"/>
      <c r="AR269" s="916"/>
      <c r="AS269" s="916"/>
      <c r="AT269" s="186"/>
      <c r="AU269" s="186"/>
      <c r="AV269" s="186"/>
      <c r="AW269" s="186"/>
      <c r="AX269" s="186"/>
      <c r="AY269" s="186"/>
      <c r="AZ269" s="186"/>
      <c r="BA269" s="186"/>
      <c r="BB269" s="186"/>
      <c r="BC269" s="186"/>
      <c r="BD269" s="186"/>
      <c r="BE269" s="186"/>
      <c r="BF269" s="186"/>
      <c r="BG269" s="186"/>
      <c r="BH269" s="186"/>
      <c r="BI269" s="186"/>
      <c r="BJ269" s="186"/>
      <c r="BK269" s="186"/>
      <c r="BL269" s="186"/>
      <c r="BM269" s="186"/>
      <c r="BN269" s="186"/>
      <c r="BO269" s="186"/>
      <c r="BP269" s="186"/>
      <c r="BQ269" s="186"/>
      <c r="BR269" s="186"/>
      <c r="BS269" s="186"/>
      <c r="BT269" s="186"/>
      <c r="BU269" s="186"/>
      <c r="BV269" s="186"/>
      <c r="BW269" s="186"/>
      <c r="BX269" s="186"/>
      <c r="BY269" s="186"/>
      <c r="BZ269" s="186"/>
      <c r="CA269" s="186"/>
      <c r="CB269" s="186"/>
      <c r="CC269" s="186"/>
      <c r="CD269" s="186"/>
      <c r="CE269" s="186"/>
      <c r="CF269" s="186"/>
      <c r="CG269" s="186"/>
    </row>
    <row r="270" spans="1:85">
      <c r="A270" s="186"/>
      <c r="B270" s="916"/>
      <c r="C270" s="916"/>
      <c r="D270" s="916"/>
      <c r="E270" s="916"/>
      <c r="F270" s="916"/>
      <c r="G270" s="916"/>
      <c r="H270" s="916"/>
      <c r="I270" s="916"/>
      <c r="J270" s="916"/>
      <c r="K270" s="186"/>
      <c r="L270" s="186"/>
      <c r="M270" s="186"/>
      <c r="N270" s="186"/>
      <c r="O270" s="916"/>
      <c r="P270" s="916"/>
      <c r="Q270" s="916"/>
      <c r="R270" s="916"/>
      <c r="S270" s="916"/>
      <c r="T270" s="916"/>
      <c r="U270" s="916"/>
      <c r="V270" s="916"/>
      <c r="W270" s="916"/>
      <c r="X270" s="916"/>
      <c r="Y270" s="916"/>
      <c r="Z270" s="916"/>
      <c r="AA270" s="916"/>
      <c r="AB270" s="916"/>
      <c r="AC270" s="916"/>
      <c r="AD270" s="916"/>
      <c r="AE270" s="916"/>
      <c r="AF270" s="916"/>
      <c r="AG270" s="916"/>
      <c r="AH270" s="186"/>
      <c r="AI270" s="186"/>
      <c r="AJ270" s="916"/>
      <c r="AK270" s="916"/>
      <c r="AL270" s="916"/>
      <c r="AM270" s="916"/>
      <c r="AN270" s="916"/>
      <c r="AO270" s="916"/>
      <c r="AP270" s="916"/>
      <c r="AQ270" s="916"/>
      <c r="AR270" s="916"/>
      <c r="AS270" s="916"/>
      <c r="AT270" s="186"/>
      <c r="AU270" s="186"/>
      <c r="AV270" s="186"/>
      <c r="AW270" s="186"/>
      <c r="AX270" s="186"/>
      <c r="AY270" s="186"/>
      <c r="AZ270" s="186"/>
      <c r="BA270" s="186"/>
      <c r="BB270" s="186"/>
      <c r="BC270" s="186"/>
      <c r="BD270" s="186"/>
      <c r="BE270" s="186"/>
      <c r="BF270" s="186"/>
      <c r="BG270" s="186"/>
      <c r="BH270" s="186"/>
      <c r="BI270" s="186"/>
      <c r="BJ270" s="186"/>
      <c r="BK270" s="186"/>
      <c r="BL270" s="186"/>
      <c r="BM270" s="186"/>
      <c r="BN270" s="186"/>
      <c r="BO270" s="186"/>
      <c r="BP270" s="186"/>
      <c r="BQ270" s="186"/>
      <c r="BR270" s="186"/>
      <c r="BS270" s="186"/>
      <c r="BT270" s="186"/>
      <c r="BU270" s="186"/>
      <c r="BV270" s="186"/>
      <c r="BW270" s="186"/>
      <c r="BX270" s="186"/>
      <c r="BY270" s="186"/>
      <c r="BZ270" s="186"/>
      <c r="CA270" s="186"/>
      <c r="CB270" s="186"/>
      <c r="CC270" s="186"/>
      <c r="CD270" s="186"/>
      <c r="CE270" s="186"/>
      <c r="CF270" s="186"/>
      <c r="CG270" s="186"/>
    </row>
    <row r="271" spans="1:85">
      <c r="A271" s="186"/>
      <c r="B271" s="916"/>
      <c r="C271" s="916"/>
      <c r="D271" s="916"/>
      <c r="E271" s="916"/>
      <c r="F271" s="916"/>
      <c r="G271" s="916"/>
      <c r="H271" s="916"/>
      <c r="I271" s="916"/>
      <c r="J271" s="916"/>
      <c r="K271" s="186"/>
      <c r="L271" s="186"/>
      <c r="M271" s="186"/>
      <c r="N271" s="186"/>
      <c r="O271" s="916"/>
      <c r="P271" s="916"/>
      <c r="Q271" s="916"/>
      <c r="R271" s="916"/>
      <c r="S271" s="916"/>
      <c r="T271" s="916"/>
      <c r="U271" s="916"/>
      <c r="V271" s="916"/>
      <c r="W271" s="916"/>
      <c r="X271" s="916"/>
      <c r="Y271" s="916"/>
      <c r="Z271" s="916"/>
      <c r="AA271" s="916"/>
      <c r="AB271" s="916"/>
      <c r="AC271" s="916"/>
      <c r="AD271" s="916"/>
      <c r="AE271" s="916"/>
      <c r="AF271" s="916"/>
      <c r="AG271" s="916"/>
      <c r="AH271" s="186"/>
      <c r="AI271" s="186"/>
      <c r="AJ271" s="916"/>
      <c r="AK271" s="916"/>
      <c r="AL271" s="916"/>
      <c r="AM271" s="916"/>
      <c r="AN271" s="916"/>
      <c r="AO271" s="916"/>
      <c r="AP271" s="916"/>
      <c r="AQ271" s="916"/>
      <c r="AR271" s="916"/>
      <c r="AS271" s="916"/>
      <c r="AT271" s="186"/>
      <c r="AU271" s="186"/>
      <c r="AV271" s="186"/>
      <c r="AW271" s="186"/>
      <c r="AX271" s="186"/>
      <c r="AY271" s="186"/>
      <c r="AZ271" s="186"/>
      <c r="BA271" s="186"/>
      <c r="BB271" s="186"/>
      <c r="BC271" s="186"/>
      <c r="BD271" s="186"/>
      <c r="BE271" s="186"/>
      <c r="BF271" s="186"/>
      <c r="BG271" s="186"/>
      <c r="BH271" s="186"/>
      <c r="BI271" s="186"/>
      <c r="BJ271" s="186"/>
      <c r="BK271" s="186"/>
      <c r="BL271" s="186"/>
      <c r="BM271" s="186"/>
      <c r="BN271" s="186"/>
      <c r="BO271" s="186"/>
      <c r="BP271" s="186"/>
      <c r="BQ271" s="186"/>
      <c r="BR271" s="186"/>
      <c r="BS271" s="186"/>
      <c r="BT271" s="186"/>
      <c r="BU271" s="186"/>
      <c r="BV271" s="186"/>
      <c r="BW271" s="186"/>
      <c r="BX271" s="186"/>
      <c r="BY271" s="186"/>
      <c r="BZ271" s="186"/>
      <c r="CA271" s="186"/>
      <c r="CB271" s="186"/>
      <c r="CC271" s="186"/>
      <c r="CD271" s="186"/>
      <c r="CE271" s="186"/>
      <c r="CF271" s="186"/>
      <c r="CG271" s="186"/>
    </row>
    <row r="272" spans="1:85">
      <c r="A272" s="186"/>
      <c r="B272" s="916"/>
      <c r="C272" s="916"/>
      <c r="D272" s="916"/>
      <c r="E272" s="916"/>
      <c r="F272" s="916"/>
      <c r="G272" s="916"/>
      <c r="H272" s="916"/>
      <c r="I272" s="916"/>
      <c r="J272" s="916"/>
      <c r="K272" s="186"/>
      <c r="L272" s="186"/>
      <c r="M272" s="186"/>
      <c r="N272" s="186"/>
      <c r="O272" s="916"/>
      <c r="P272" s="916"/>
      <c r="Q272" s="916"/>
      <c r="R272" s="916"/>
      <c r="S272" s="916"/>
      <c r="T272" s="916"/>
      <c r="U272" s="916"/>
      <c r="V272" s="916"/>
      <c r="W272" s="916"/>
      <c r="X272" s="916"/>
      <c r="Y272" s="916"/>
      <c r="Z272" s="916"/>
      <c r="AA272" s="916"/>
      <c r="AB272" s="916"/>
      <c r="AC272" s="916"/>
      <c r="AD272" s="916"/>
      <c r="AE272" s="916"/>
      <c r="AF272" s="916"/>
      <c r="AG272" s="916"/>
      <c r="AH272" s="186"/>
      <c r="AI272" s="186"/>
      <c r="AJ272" s="916"/>
      <c r="AK272" s="916"/>
      <c r="AL272" s="916"/>
      <c r="AM272" s="916"/>
      <c r="AN272" s="916"/>
      <c r="AO272" s="916"/>
      <c r="AP272" s="916"/>
      <c r="AQ272" s="916"/>
      <c r="AR272" s="916"/>
      <c r="AS272" s="916"/>
      <c r="AT272" s="186"/>
      <c r="AU272" s="186"/>
      <c r="AV272" s="186"/>
      <c r="AW272" s="186"/>
      <c r="AX272" s="186"/>
      <c r="AY272" s="186"/>
      <c r="AZ272" s="186"/>
      <c r="BA272" s="186"/>
      <c r="BB272" s="186"/>
      <c r="BC272" s="186"/>
      <c r="BD272" s="186"/>
      <c r="BE272" s="186"/>
      <c r="BF272" s="186"/>
      <c r="BG272" s="186"/>
      <c r="BH272" s="186"/>
      <c r="BI272" s="186"/>
      <c r="BJ272" s="186"/>
      <c r="BK272" s="186"/>
      <c r="BL272" s="186"/>
      <c r="BM272" s="186"/>
      <c r="BN272" s="186"/>
      <c r="BO272" s="186"/>
      <c r="BP272" s="186"/>
      <c r="BQ272" s="186"/>
      <c r="BR272" s="186"/>
      <c r="BS272" s="186"/>
      <c r="BT272" s="186"/>
      <c r="BU272" s="186"/>
      <c r="BV272" s="186"/>
      <c r="BW272" s="186"/>
      <c r="BX272" s="186"/>
      <c r="BY272" s="186"/>
      <c r="BZ272" s="186"/>
      <c r="CA272" s="186"/>
      <c r="CB272" s="186"/>
      <c r="CC272" s="186"/>
      <c r="CD272" s="186"/>
      <c r="CE272" s="186"/>
      <c r="CF272" s="186"/>
      <c r="CG272" s="186"/>
    </row>
    <row r="273" spans="1:85">
      <c r="A273" s="186"/>
      <c r="B273" s="916"/>
      <c r="C273" s="916"/>
      <c r="D273" s="916"/>
      <c r="E273" s="916"/>
      <c r="F273" s="916"/>
      <c r="G273" s="916"/>
      <c r="H273" s="916"/>
      <c r="I273" s="916"/>
      <c r="J273" s="916"/>
      <c r="K273" s="186"/>
      <c r="L273" s="186"/>
      <c r="M273" s="186"/>
      <c r="N273" s="186"/>
      <c r="O273" s="916"/>
      <c r="P273" s="916"/>
      <c r="Q273" s="916"/>
      <c r="R273" s="916"/>
      <c r="S273" s="916"/>
      <c r="T273" s="916"/>
      <c r="U273" s="916"/>
      <c r="V273" s="916"/>
      <c r="W273" s="916"/>
      <c r="X273" s="916"/>
      <c r="Y273" s="916"/>
      <c r="Z273" s="916"/>
      <c r="AA273" s="916"/>
      <c r="AB273" s="916"/>
      <c r="AC273" s="916"/>
      <c r="AD273" s="916"/>
      <c r="AE273" s="916"/>
      <c r="AF273" s="916"/>
      <c r="AG273" s="916"/>
      <c r="AH273" s="186"/>
      <c r="AI273" s="186"/>
      <c r="AJ273" s="916"/>
      <c r="AK273" s="916"/>
      <c r="AL273" s="916"/>
      <c r="AM273" s="916"/>
      <c r="AN273" s="916"/>
      <c r="AO273" s="916"/>
      <c r="AP273" s="916"/>
      <c r="AQ273" s="916"/>
      <c r="AR273" s="916"/>
      <c r="AS273" s="916"/>
      <c r="AT273" s="186"/>
      <c r="AU273" s="186"/>
      <c r="AV273" s="186"/>
      <c r="AW273" s="186"/>
      <c r="AX273" s="186"/>
      <c r="AY273" s="186"/>
      <c r="AZ273" s="186"/>
      <c r="BA273" s="186"/>
      <c r="BB273" s="186"/>
      <c r="BC273" s="186"/>
      <c r="BD273" s="186"/>
      <c r="BE273" s="186"/>
      <c r="BF273" s="186"/>
      <c r="BG273" s="186"/>
      <c r="BH273" s="186"/>
      <c r="BI273" s="186"/>
      <c r="BJ273" s="186"/>
      <c r="BK273" s="186"/>
      <c r="BL273" s="186"/>
      <c r="BM273" s="186"/>
      <c r="BN273" s="186"/>
      <c r="BO273" s="186"/>
      <c r="BP273" s="186"/>
      <c r="BQ273" s="186"/>
      <c r="BR273" s="186"/>
      <c r="BS273" s="186"/>
      <c r="BT273" s="186"/>
      <c r="BU273" s="186"/>
      <c r="BV273" s="186"/>
      <c r="BW273" s="186"/>
      <c r="BX273" s="186"/>
      <c r="BY273" s="186"/>
      <c r="BZ273" s="186"/>
      <c r="CA273" s="186"/>
      <c r="CB273" s="186"/>
      <c r="CC273" s="186"/>
      <c r="CD273" s="186"/>
      <c r="CE273" s="186"/>
      <c r="CF273" s="186"/>
      <c r="CG273" s="186"/>
    </row>
    <row r="274" spans="1:85">
      <c r="A274" s="186"/>
      <c r="B274" s="916"/>
      <c r="C274" s="916"/>
      <c r="D274" s="916"/>
      <c r="E274" s="916"/>
      <c r="F274" s="916"/>
      <c r="G274" s="916"/>
      <c r="H274" s="916"/>
      <c r="I274" s="916"/>
      <c r="J274" s="916"/>
      <c r="K274" s="186"/>
      <c r="L274" s="186"/>
      <c r="M274" s="186"/>
      <c r="N274" s="186"/>
      <c r="O274" s="916"/>
      <c r="P274" s="916"/>
      <c r="Q274" s="916"/>
      <c r="R274" s="916"/>
      <c r="S274" s="916"/>
      <c r="T274" s="916"/>
      <c r="U274" s="916"/>
      <c r="V274" s="916"/>
      <c r="W274" s="916"/>
      <c r="X274" s="916"/>
      <c r="Y274" s="916"/>
      <c r="Z274" s="916"/>
      <c r="AA274" s="916"/>
      <c r="AB274" s="916"/>
      <c r="AC274" s="916"/>
      <c r="AD274" s="916"/>
      <c r="AE274" s="916"/>
      <c r="AF274" s="916"/>
      <c r="AG274" s="916"/>
      <c r="AH274" s="186"/>
      <c r="AI274" s="186"/>
      <c r="AJ274" s="916"/>
      <c r="AK274" s="916"/>
      <c r="AL274" s="916"/>
      <c r="AM274" s="916"/>
      <c r="AN274" s="916"/>
      <c r="AO274" s="916"/>
      <c r="AP274" s="916"/>
      <c r="AQ274" s="916"/>
      <c r="AR274" s="916"/>
      <c r="AS274" s="916"/>
      <c r="AT274" s="186"/>
      <c r="AU274" s="186"/>
      <c r="AV274" s="186"/>
      <c r="AW274" s="186"/>
      <c r="AX274" s="186"/>
      <c r="AY274" s="186"/>
      <c r="AZ274" s="186"/>
      <c r="BA274" s="186"/>
      <c r="BB274" s="186"/>
      <c r="BC274" s="186"/>
      <c r="BD274" s="186"/>
      <c r="BE274" s="186"/>
      <c r="BF274" s="186"/>
      <c r="BG274" s="186"/>
      <c r="BH274" s="186"/>
      <c r="BI274" s="186"/>
      <c r="BJ274" s="186"/>
      <c r="BK274" s="186"/>
      <c r="BL274" s="186"/>
      <c r="BM274" s="186"/>
      <c r="BN274" s="186"/>
      <c r="BO274" s="186"/>
      <c r="BP274" s="186"/>
      <c r="BQ274" s="186"/>
      <c r="BR274" s="186"/>
      <c r="BS274" s="186"/>
      <c r="BT274" s="186"/>
      <c r="BU274" s="186"/>
      <c r="BV274" s="186"/>
      <c r="BW274" s="186"/>
      <c r="BX274" s="186"/>
      <c r="BY274" s="186"/>
      <c r="BZ274" s="186"/>
      <c r="CA274" s="186"/>
      <c r="CB274" s="186"/>
      <c r="CC274" s="186"/>
      <c r="CD274" s="186"/>
      <c r="CE274" s="186"/>
      <c r="CF274" s="186"/>
      <c r="CG274" s="186"/>
    </row>
    <row r="275" spans="1:85">
      <c r="A275" s="186"/>
      <c r="B275" s="916"/>
      <c r="C275" s="916"/>
      <c r="D275" s="916"/>
      <c r="E275" s="916"/>
      <c r="F275" s="916"/>
      <c r="G275" s="916"/>
      <c r="H275" s="916"/>
      <c r="I275" s="916"/>
      <c r="J275" s="916"/>
      <c r="K275" s="186"/>
      <c r="L275" s="186"/>
      <c r="M275" s="186"/>
      <c r="N275" s="186"/>
      <c r="O275" s="916"/>
      <c r="P275" s="916"/>
      <c r="Q275" s="916"/>
      <c r="R275" s="916"/>
      <c r="S275" s="916"/>
      <c r="T275" s="916"/>
      <c r="U275" s="916"/>
      <c r="V275" s="916"/>
      <c r="W275" s="916"/>
      <c r="X275" s="916"/>
      <c r="Y275" s="916"/>
      <c r="Z275" s="916"/>
      <c r="AA275" s="916"/>
      <c r="AB275" s="916"/>
      <c r="AC275" s="916"/>
      <c r="AD275" s="916"/>
      <c r="AE275" s="916"/>
      <c r="AF275" s="916"/>
      <c r="AG275" s="916"/>
      <c r="AH275" s="186"/>
      <c r="AI275" s="186"/>
      <c r="AJ275" s="916"/>
      <c r="AK275" s="916"/>
      <c r="AL275" s="916"/>
      <c r="AM275" s="916"/>
      <c r="AN275" s="916"/>
      <c r="AO275" s="916"/>
      <c r="AP275" s="916"/>
      <c r="AQ275" s="916"/>
      <c r="AR275" s="916"/>
      <c r="AS275" s="916"/>
      <c r="AT275" s="186"/>
      <c r="AU275" s="186"/>
      <c r="AV275" s="186"/>
      <c r="AW275" s="186"/>
      <c r="AX275" s="186"/>
      <c r="AY275" s="186"/>
      <c r="AZ275" s="186"/>
      <c r="BA275" s="186"/>
      <c r="BB275" s="186"/>
      <c r="BC275" s="186"/>
      <c r="BD275" s="186"/>
      <c r="BE275" s="186"/>
      <c r="BF275" s="186"/>
      <c r="BG275" s="186"/>
      <c r="BH275" s="186"/>
      <c r="BI275" s="186"/>
      <c r="BJ275" s="186"/>
      <c r="BK275" s="186"/>
      <c r="BL275" s="186"/>
      <c r="BM275" s="186"/>
      <c r="BN275" s="186"/>
      <c r="BO275" s="186"/>
      <c r="BP275" s="186"/>
      <c r="BQ275" s="186"/>
      <c r="BR275" s="186"/>
      <c r="BS275" s="186"/>
      <c r="BT275" s="186"/>
      <c r="BU275" s="186"/>
      <c r="BV275" s="186"/>
      <c r="BW275" s="186"/>
      <c r="BX275" s="186"/>
      <c r="BY275" s="186"/>
      <c r="BZ275" s="186"/>
      <c r="CA275" s="186"/>
      <c r="CB275" s="186"/>
      <c r="CC275" s="186"/>
      <c r="CD275" s="186"/>
      <c r="CE275" s="186"/>
      <c r="CF275" s="186"/>
      <c r="CG275" s="186"/>
    </row>
    <row r="276" spans="1:85">
      <c r="A276" s="186"/>
      <c r="B276" s="916"/>
      <c r="C276" s="916"/>
      <c r="D276" s="916"/>
      <c r="E276" s="916"/>
      <c r="F276" s="916"/>
      <c r="G276" s="916"/>
      <c r="H276" s="916"/>
      <c r="I276" s="916"/>
      <c r="J276" s="916"/>
      <c r="K276" s="186"/>
      <c r="L276" s="186"/>
      <c r="M276" s="186"/>
      <c r="N276" s="186"/>
      <c r="O276" s="916"/>
      <c r="P276" s="916"/>
      <c r="Q276" s="916"/>
      <c r="R276" s="916"/>
      <c r="S276" s="916"/>
      <c r="T276" s="916"/>
      <c r="U276" s="916"/>
      <c r="V276" s="916"/>
      <c r="W276" s="916"/>
      <c r="X276" s="916"/>
      <c r="Y276" s="916"/>
      <c r="Z276" s="916"/>
      <c r="AA276" s="916"/>
      <c r="AB276" s="916"/>
      <c r="AC276" s="916"/>
      <c r="AD276" s="916"/>
      <c r="AE276" s="916"/>
      <c r="AF276" s="916"/>
      <c r="AG276" s="916"/>
      <c r="AH276" s="186"/>
      <c r="AI276" s="186"/>
      <c r="AJ276" s="916"/>
      <c r="AK276" s="916"/>
      <c r="AL276" s="916"/>
      <c r="AM276" s="916"/>
      <c r="AN276" s="916"/>
      <c r="AO276" s="916"/>
      <c r="AP276" s="916"/>
      <c r="AQ276" s="916"/>
      <c r="AR276" s="916"/>
      <c r="AS276" s="916"/>
      <c r="AT276" s="186"/>
      <c r="AU276" s="186"/>
      <c r="AV276" s="186"/>
      <c r="AW276" s="186"/>
      <c r="AX276" s="186"/>
      <c r="AY276" s="186"/>
      <c r="AZ276" s="186"/>
      <c r="BA276" s="186"/>
      <c r="BB276" s="186"/>
      <c r="BC276" s="186"/>
      <c r="BD276" s="186"/>
      <c r="BE276" s="186"/>
      <c r="BF276" s="186"/>
      <c r="BG276" s="186"/>
      <c r="BH276" s="186"/>
      <c r="BI276" s="186"/>
      <c r="BJ276" s="186"/>
      <c r="BK276" s="186"/>
      <c r="BL276" s="186"/>
      <c r="BM276" s="186"/>
      <c r="BN276" s="186"/>
      <c r="BO276" s="186"/>
      <c r="BP276" s="186"/>
      <c r="BQ276" s="186"/>
      <c r="BR276" s="186"/>
      <c r="BS276" s="186"/>
      <c r="BT276" s="186"/>
      <c r="BU276" s="186"/>
      <c r="BV276" s="186"/>
      <c r="BW276" s="186"/>
      <c r="BX276" s="186"/>
      <c r="BY276" s="186"/>
      <c r="BZ276" s="186"/>
      <c r="CA276" s="186"/>
      <c r="CB276" s="186"/>
      <c r="CC276" s="186"/>
      <c r="CD276" s="186"/>
      <c r="CE276" s="186"/>
      <c r="CF276" s="186"/>
      <c r="CG276" s="186"/>
    </row>
    <row r="277" spans="1:85">
      <c r="A277" s="186"/>
      <c r="B277" s="916"/>
      <c r="C277" s="916"/>
      <c r="D277" s="916"/>
      <c r="E277" s="916"/>
      <c r="F277" s="916"/>
      <c r="G277" s="916"/>
      <c r="H277" s="916"/>
      <c r="I277" s="916"/>
      <c r="J277" s="916"/>
      <c r="K277" s="186"/>
      <c r="L277" s="186"/>
      <c r="M277" s="186"/>
      <c r="N277" s="186"/>
      <c r="O277" s="916"/>
      <c r="P277" s="916"/>
      <c r="Q277" s="916"/>
      <c r="R277" s="916"/>
      <c r="S277" s="916"/>
      <c r="T277" s="916"/>
      <c r="U277" s="916"/>
      <c r="V277" s="916"/>
      <c r="W277" s="916"/>
      <c r="X277" s="916"/>
      <c r="Y277" s="916"/>
      <c r="Z277" s="916"/>
      <c r="AA277" s="916"/>
      <c r="AB277" s="916"/>
      <c r="AC277" s="916"/>
      <c r="AD277" s="916"/>
      <c r="AE277" s="916"/>
      <c r="AF277" s="916"/>
      <c r="AG277" s="916"/>
      <c r="AH277" s="186"/>
      <c r="AI277" s="186"/>
      <c r="AJ277" s="916"/>
      <c r="AK277" s="916"/>
      <c r="AL277" s="916"/>
      <c r="AM277" s="916"/>
      <c r="AN277" s="916"/>
      <c r="AO277" s="916"/>
      <c r="AP277" s="916"/>
      <c r="AQ277" s="916"/>
      <c r="AR277" s="916"/>
      <c r="AS277" s="916"/>
      <c r="AT277" s="186"/>
      <c r="AU277" s="186"/>
      <c r="AV277" s="186"/>
      <c r="AW277" s="186"/>
      <c r="AX277" s="186"/>
      <c r="AY277" s="186"/>
      <c r="AZ277" s="186"/>
      <c r="BA277" s="186"/>
      <c r="BB277" s="186"/>
      <c r="BC277" s="186"/>
      <c r="BD277" s="186"/>
      <c r="BE277" s="186"/>
      <c r="BF277" s="186"/>
      <c r="BG277" s="186"/>
      <c r="BH277" s="186"/>
      <c r="BI277" s="186"/>
      <c r="BJ277" s="186"/>
      <c r="BK277" s="186"/>
      <c r="BL277" s="186"/>
      <c r="BM277" s="186"/>
      <c r="BN277" s="186"/>
      <c r="BO277" s="186"/>
      <c r="BP277" s="186"/>
      <c r="BQ277" s="186"/>
      <c r="BR277" s="186"/>
      <c r="BS277" s="186"/>
      <c r="BT277" s="186"/>
      <c r="BU277" s="186"/>
      <c r="BV277" s="186"/>
      <c r="BW277" s="186"/>
      <c r="BX277" s="186"/>
      <c r="BY277" s="186"/>
      <c r="BZ277" s="186"/>
      <c r="CA277" s="186"/>
      <c r="CB277" s="186"/>
      <c r="CC277" s="186"/>
      <c r="CD277" s="186"/>
      <c r="CE277" s="186"/>
      <c r="CF277" s="186"/>
      <c r="CG277" s="186"/>
    </row>
    <row r="278" spans="1:85">
      <c r="A278" s="186"/>
      <c r="B278" s="916"/>
      <c r="C278" s="916"/>
      <c r="D278" s="916"/>
      <c r="E278" s="916"/>
      <c r="F278" s="916"/>
      <c r="G278" s="916"/>
      <c r="H278" s="916"/>
      <c r="I278" s="916"/>
      <c r="J278" s="916"/>
      <c r="K278" s="186"/>
      <c r="L278" s="186"/>
      <c r="M278" s="186"/>
      <c r="N278" s="186"/>
      <c r="O278" s="916"/>
      <c r="P278" s="916"/>
      <c r="Q278" s="916"/>
      <c r="R278" s="916"/>
      <c r="S278" s="916"/>
      <c r="T278" s="916"/>
      <c r="U278" s="916"/>
      <c r="V278" s="916"/>
      <c r="W278" s="916"/>
      <c r="X278" s="916"/>
      <c r="Y278" s="916"/>
      <c r="Z278" s="916"/>
      <c r="AA278" s="916"/>
      <c r="AB278" s="916"/>
      <c r="AC278" s="916"/>
      <c r="AD278" s="916"/>
      <c r="AE278" s="916"/>
      <c r="AF278" s="916"/>
      <c r="AG278" s="916"/>
      <c r="AH278" s="186"/>
      <c r="AI278" s="186"/>
      <c r="AJ278" s="916"/>
      <c r="AK278" s="916"/>
      <c r="AL278" s="916"/>
      <c r="AM278" s="916"/>
      <c r="AN278" s="916"/>
      <c r="AO278" s="916"/>
      <c r="AP278" s="916"/>
      <c r="AQ278" s="916"/>
      <c r="AR278" s="916"/>
      <c r="AS278" s="916"/>
      <c r="AT278" s="186"/>
      <c r="AU278" s="186"/>
      <c r="AV278" s="186"/>
      <c r="AW278" s="186"/>
      <c r="AX278" s="186"/>
      <c r="AY278" s="186"/>
      <c r="AZ278" s="186"/>
      <c r="BA278" s="186"/>
      <c r="BB278" s="186"/>
      <c r="BC278" s="186"/>
      <c r="BD278" s="186"/>
      <c r="BE278" s="186"/>
      <c r="BF278" s="186"/>
      <c r="BG278" s="186"/>
      <c r="BH278" s="186"/>
      <c r="BI278" s="186"/>
      <c r="BJ278" s="186"/>
      <c r="BK278" s="186"/>
      <c r="BL278" s="186"/>
      <c r="BM278" s="186"/>
      <c r="BN278" s="186"/>
      <c r="BO278" s="186"/>
      <c r="BP278" s="186"/>
      <c r="BQ278" s="186"/>
      <c r="BR278" s="186"/>
      <c r="BS278" s="186"/>
      <c r="BT278" s="186"/>
      <c r="BU278" s="186"/>
      <c r="BV278" s="186"/>
      <c r="BW278" s="186"/>
      <c r="BX278" s="186"/>
      <c r="BY278" s="186"/>
      <c r="BZ278" s="186"/>
      <c r="CA278" s="186"/>
      <c r="CB278" s="186"/>
      <c r="CC278" s="186"/>
      <c r="CD278" s="186"/>
      <c r="CE278" s="186"/>
      <c r="CF278" s="186"/>
      <c r="CG278" s="186"/>
    </row>
    <row r="279" spans="1:85">
      <c r="A279" s="186"/>
      <c r="B279" s="916"/>
      <c r="C279" s="916"/>
      <c r="D279" s="916"/>
      <c r="E279" s="916"/>
      <c r="F279" s="916"/>
      <c r="G279" s="916"/>
      <c r="H279" s="916"/>
      <c r="I279" s="916"/>
      <c r="J279" s="916"/>
      <c r="K279" s="186"/>
      <c r="L279" s="186"/>
      <c r="M279" s="186"/>
      <c r="N279" s="186"/>
      <c r="O279" s="916"/>
      <c r="P279" s="916"/>
      <c r="Q279" s="916"/>
      <c r="R279" s="916"/>
      <c r="S279" s="916"/>
      <c r="T279" s="916"/>
      <c r="U279" s="916"/>
      <c r="V279" s="916"/>
      <c r="W279" s="916"/>
      <c r="X279" s="916"/>
      <c r="Y279" s="916"/>
      <c r="Z279" s="916"/>
      <c r="AA279" s="916"/>
      <c r="AB279" s="916"/>
      <c r="AC279" s="916"/>
      <c r="AD279" s="916"/>
      <c r="AE279" s="916"/>
      <c r="AF279" s="916"/>
      <c r="AG279" s="916"/>
      <c r="AH279" s="186"/>
      <c r="AI279" s="186"/>
      <c r="AJ279" s="916"/>
      <c r="AK279" s="916"/>
      <c r="AL279" s="916"/>
      <c r="AM279" s="916"/>
      <c r="AN279" s="916"/>
      <c r="AO279" s="916"/>
      <c r="AP279" s="916"/>
      <c r="AQ279" s="916"/>
      <c r="AR279" s="916"/>
      <c r="AS279" s="916"/>
      <c r="AT279" s="186"/>
      <c r="AU279" s="186"/>
      <c r="AV279" s="186"/>
      <c r="AW279" s="186"/>
      <c r="AX279" s="186"/>
      <c r="AY279" s="186"/>
      <c r="AZ279" s="186"/>
      <c r="BA279" s="186"/>
      <c r="BB279" s="186"/>
      <c r="BC279" s="186"/>
      <c r="BD279" s="186"/>
      <c r="BE279" s="186"/>
      <c r="BF279" s="186"/>
      <c r="BG279" s="186"/>
      <c r="BH279" s="186"/>
      <c r="BI279" s="186"/>
      <c r="BJ279" s="186"/>
      <c r="BK279" s="186"/>
      <c r="BL279" s="186"/>
      <c r="BM279" s="186"/>
      <c r="BN279" s="186"/>
      <c r="BO279" s="186"/>
      <c r="BP279" s="186"/>
      <c r="BQ279" s="186"/>
      <c r="BR279" s="186"/>
      <c r="BS279" s="186"/>
      <c r="BT279" s="186"/>
      <c r="BU279" s="186"/>
      <c r="BV279" s="186"/>
      <c r="BW279" s="186"/>
      <c r="BX279" s="186"/>
      <c r="BY279" s="186"/>
      <c r="BZ279" s="186"/>
      <c r="CA279" s="186"/>
      <c r="CB279" s="186"/>
      <c r="CC279" s="186"/>
      <c r="CD279" s="186"/>
      <c r="CE279" s="186"/>
      <c r="CF279" s="186"/>
      <c r="CG279" s="186"/>
    </row>
    <row r="280" spans="1:85">
      <c r="A280" s="186"/>
      <c r="B280" s="916"/>
      <c r="C280" s="916"/>
      <c r="D280" s="916"/>
      <c r="E280" s="916"/>
      <c r="F280" s="916"/>
      <c r="G280" s="916"/>
      <c r="H280" s="916"/>
      <c r="I280" s="916"/>
      <c r="J280" s="916"/>
      <c r="K280" s="186"/>
      <c r="L280" s="186"/>
      <c r="M280" s="186"/>
      <c r="N280" s="186"/>
      <c r="O280" s="916"/>
      <c r="P280" s="916"/>
      <c r="Q280" s="916"/>
      <c r="R280" s="916"/>
      <c r="S280" s="916"/>
      <c r="T280" s="916"/>
      <c r="U280" s="916"/>
      <c r="V280" s="916"/>
      <c r="W280" s="916"/>
      <c r="X280" s="916"/>
      <c r="Y280" s="916"/>
      <c r="Z280" s="916"/>
      <c r="AA280" s="916"/>
      <c r="AB280" s="916"/>
      <c r="AC280" s="916"/>
      <c r="AD280" s="916"/>
      <c r="AE280" s="916"/>
      <c r="AF280" s="916"/>
      <c r="AG280" s="916"/>
      <c r="AH280" s="186"/>
      <c r="AI280" s="186"/>
      <c r="AJ280" s="916"/>
      <c r="AK280" s="916"/>
      <c r="AL280" s="916"/>
      <c r="AM280" s="916"/>
      <c r="AN280" s="916"/>
      <c r="AO280" s="916"/>
      <c r="AP280" s="916"/>
      <c r="AQ280" s="916"/>
      <c r="AR280" s="916"/>
      <c r="AS280" s="916"/>
      <c r="AT280" s="186"/>
      <c r="AU280" s="186"/>
      <c r="AV280" s="186"/>
      <c r="AW280" s="186"/>
      <c r="AX280" s="186"/>
      <c r="AY280" s="186"/>
      <c r="AZ280" s="186"/>
      <c r="BA280" s="186"/>
      <c r="BB280" s="186"/>
      <c r="BC280" s="186"/>
      <c r="BD280" s="186"/>
      <c r="BE280" s="186"/>
      <c r="BF280" s="186"/>
      <c r="BG280" s="186"/>
      <c r="BH280" s="186"/>
      <c r="BI280" s="186"/>
      <c r="BJ280" s="186"/>
      <c r="BK280" s="186"/>
      <c r="BL280" s="186"/>
      <c r="BM280" s="186"/>
      <c r="BN280" s="186"/>
      <c r="BO280" s="186"/>
      <c r="BP280" s="186"/>
      <c r="BQ280" s="186"/>
      <c r="BR280" s="186"/>
      <c r="BS280" s="186"/>
      <c r="BT280" s="186"/>
      <c r="BU280" s="186"/>
      <c r="BV280" s="186"/>
      <c r="BW280" s="186"/>
      <c r="BX280" s="186"/>
      <c r="BY280" s="186"/>
      <c r="BZ280" s="186"/>
      <c r="CA280" s="186"/>
      <c r="CB280" s="186"/>
      <c r="CC280" s="186"/>
      <c r="CD280" s="186"/>
      <c r="CE280" s="186"/>
      <c r="CF280" s="186"/>
      <c r="CG280" s="186"/>
    </row>
    <row r="281" spans="1:85">
      <c r="A281" s="186"/>
      <c r="B281" s="916"/>
      <c r="C281" s="916"/>
      <c r="D281" s="916"/>
      <c r="E281" s="916"/>
      <c r="F281" s="916"/>
      <c r="G281" s="916"/>
      <c r="H281" s="916"/>
      <c r="I281" s="916"/>
      <c r="J281" s="916"/>
      <c r="K281" s="186"/>
      <c r="L281" s="186"/>
      <c r="M281" s="186"/>
      <c r="N281" s="186"/>
      <c r="O281" s="916"/>
      <c r="P281" s="916"/>
      <c r="Q281" s="916"/>
      <c r="R281" s="916"/>
      <c r="S281" s="916"/>
      <c r="T281" s="916"/>
      <c r="U281" s="916"/>
      <c r="V281" s="916"/>
      <c r="W281" s="916"/>
      <c r="X281" s="916"/>
      <c r="Y281" s="916"/>
      <c r="Z281" s="916"/>
      <c r="AA281" s="916"/>
      <c r="AB281" s="916"/>
      <c r="AC281" s="916"/>
      <c r="AD281" s="916"/>
      <c r="AE281" s="916"/>
      <c r="AF281" s="916"/>
      <c r="AG281" s="916"/>
      <c r="AH281" s="186"/>
      <c r="AI281" s="186"/>
      <c r="AJ281" s="916"/>
      <c r="AK281" s="916"/>
      <c r="AL281" s="916"/>
      <c r="AM281" s="916"/>
      <c r="AN281" s="916"/>
      <c r="AO281" s="916"/>
      <c r="AP281" s="916"/>
      <c r="AQ281" s="916"/>
      <c r="AR281" s="916"/>
      <c r="AS281" s="916"/>
      <c r="AT281" s="186"/>
      <c r="AU281" s="186"/>
      <c r="AV281" s="186"/>
      <c r="AW281" s="186"/>
      <c r="AX281" s="186"/>
      <c r="AY281" s="186"/>
      <c r="AZ281" s="186"/>
      <c r="BA281" s="186"/>
      <c r="BB281" s="186"/>
      <c r="BC281" s="186"/>
      <c r="BD281" s="186"/>
      <c r="BE281" s="186"/>
      <c r="BF281" s="186"/>
      <c r="BG281" s="186"/>
      <c r="BH281" s="186"/>
      <c r="BI281" s="186"/>
      <c r="BJ281" s="186"/>
      <c r="BK281" s="186"/>
      <c r="BL281" s="186"/>
      <c r="BM281" s="186"/>
      <c r="BN281" s="186"/>
      <c r="BO281" s="186"/>
      <c r="BP281" s="186"/>
      <c r="BQ281" s="186"/>
      <c r="BR281" s="186"/>
      <c r="BS281" s="186"/>
      <c r="BT281" s="186"/>
      <c r="BU281" s="186"/>
      <c r="BV281" s="186"/>
      <c r="BW281" s="186"/>
      <c r="BX281" s="186"/>
      <c r="BY281" s="186"/>
      <c r="BZ281" s="186"/>
      <c r="CA281" s="186"/>
      <c r="CB281" s="186"/>
      <c r="CC281" s="186"/>
      <c r="CD281" s="186"/>
      <c r="CE281" s="186"/>
      <c r="CF281" s="186"/>
      <c r="CG281" s="186"/>
    </row>
    <row r="282" spans="1:85">
      <c r="A282" s="186"/>
      <c r="B282" s="916"/>
      <c r="C282" s="916"/>
      <c r="D282" s="916"/>
      <c r="E282" s="916"/>
      <c r="F282" s="916"/>
      <c r="G282" s="916"/>
      <c r="H282" s="916"/>
      <c r="I282" s="916"/>
      <c r="J282" s="916"/>
      <c r="K282" s="186"/>
      <c r="L282" s="186"/>
      <c r="M282" s="186"/>
      <c r="N282" s="186"/>
      <c r="O282" s="916"/>
      <c r="P282" s="916"/>
      <c r="Q282" s="916"/>
      <c r="R282" s="916"/>
      <c r="S282" s="916"/>
      <c r="T282" s="916"/>
      <c r="U282" s="916"/>
      <c r="V282" s="916"/>
      <c r="W282" s="916"/>
      <c r="X282" s="916"/>
      <c r="Y282" s="916"/>
      <c r="Z282" s="916"/>
      <c r="AA282" s="916"/>
      <c r="AB282" s="916"/>
      <c r="AC282" s="916"/>
      <c r="AD282" s="916"/>
      <c r="AE282" s="916"/>
      <c r="AF282" s="916"/>
      <c r="AG282" s="916"/>
      <c r="AH282" s="186"/>
      <c r="AI282" s="186"/>
      <c r="AJ282" s="916"/>
      <c r="AK282" s="916"/>
      <c r="AL282" s="916"/>
      <c r="AM282" s="916"/>
      <c r="AN282" s="916"/>
      <c r="AO282" s="916"/>
      <c r="AP282" s="916"/>
      <c r="AQ282" s="916"/>
      <c r="AR282" s="916"/>
      <c r="AS282" s="916"/>
      <c r="AT282" s="186"/>
      <c r="AU282" s="186"/>
      <c r="AV282" s="186"/>
      <c r="AW282" s="186"/>
      <c r="AX282" s="186"/>
      <c r="AY282" s="186"/>
      <c r="AZ282" s="186"/>
      <c r="BA282" s="186"/>
      <c r="BB282" s="186"/>
      <c r="BC282" s="186"/>
      <c r="BD282" s="186"/>
      <c r="BE282" s="186"/>
      <c r="BF282" s="186"/>
      <c r="BG282" s="186"/>
      <c r="BH282" s="186"/>
      <c r="BI282" s="186"/>
      <c r="BJ282" s="186"/>
      <c r="BK282" s="186"/>
      <c r="BL282" s="186"/>
      <c r="BM282" s="186"/>
      <c r="BN282" s="186"/>
      <c r="BO282" s="186"/>
      <c r="BP282" s="186"/>
      <c r="BQ282" s="186"/>
      <c r="BR282" s="186"/>
      <c r="BS282" s="186"/>
      <c r="BT282" s="186"/>
      <c r="BU282" s="186"/>
      <c r="BV282" s="186"/>
      <c r="BW282" s="186"/>
      <c r="BX282" s="186"/>
      <c r="BY282" s="186"/>
      <c r="BZ282" s="186"/>
      <c r="CA282" s="186"/>
      <c r="CB282" s="186"/>
      <c r="CC282" s="186"/>
      <c r="CD282" s="186"/>
      <c r="CE282" s="186"/>
      <c r="CF282" s="186"/>
      <c r="CG282" s="186"/>
    </row>
    <row r="283" spans="1:85">
      <c r="A283" s="186"/>
      <c r="B283" s="916"/>
      <c r="C283" s="916"/>
      <c r="D283" s="916"/>
      <c r="E283" s="916"/>
      <c r="F283" s="916"/>
      <c r="G283" s="916"/>
      <c r="H283" s="916"/>
      <c r="I283" s="916"/>
      <c r="J283" s="916"/>
      <c r="K283" s="186"/>
      <c r="L283" s="186"/>
      <c r="M283" s="186"/>
      <c r="N283" s="186"/>
      <c r="O283" s="916"/>
      <c r="P283" s="916"/>
      <c r="Q283" s="916"/>
      <c r="R283" s="916"/>
      <c r="S283" s="916"/>
      <c r="T283" s="916"/>
      <c r="U283" s="916"/>
      <c r="V283" s="916"/>
      <c r="W283" s="916"/>
      <c r="X283" s="916"/>
      <c r="Y283" s="916"/>
      <c r="Z283" s="916"/>
      <c r="AA283" s="916"/>
      <c r="AB283" s="916"/>
      <c r="AC283" s="916"/>
      <c r="AD283" s="916"/>
      <c r="AE283" s="916"/>
      <c r="AF283" s="916"/>
      <c r="AG283" s="916"/>
      <c r="AH283" s="186"/>
      <c r="AI283" s="186"/>
      <c r="AJ283" s="916"/>
      <c r="AK283" s="916"/>
      <c r="AL283" s="916"/>
      <c r="AM283" s="916"/>
      <c r="AN283" s="916"/>
      <c r="AO283" s="916"/>
      <c r="AP283" s="916"/>
      <c r="AQ283" s="916"/>
      <c r="AR283" s="916"/>
      <c r="AS283" s="916"/>
      <c r="AT283" s="186"/>
      <c r="AU283" s="186"/>
      <c r="AV283" s="186"/>
      <c r="AW283" s="186"/>
      <c r="AX283" s="186"/>
      <c r="AY283" s="186"/>
      <c r="AZ283" s="186"/>
      <c r="BA283" s="186"/>
      <c r="BB283" s="186"/>
      <c r="BC283" s="186"/>
      <c r="BD283" s="186"/>
      <c r="BE283" s="186"/>
      <c r="BF283" s="186"/>
      <c r="BG283" s="186"/>
      <c r="BH283" s="186"/>
      <c r="BI283" s="186"/>
      <c r="BJ283" s="186"/>
      <c r="BK283" s="186"/>
      <c r="BL283" s="186"/>
      <c r="BM283" s="186"/>
      <c r="BN283" s="186"/>
      <c r="BO283" s="186"/>
      <c r="BP283" s="186"/>
      <c r="BQ283" s="186"/>
      <c r="BR283" s="186"/>
      <c r="BS283" s="186"/>
      <c r="BT283" s="186"/>
      <c r="BU283" s="186"/>
      <c r="BV283" s="186"/>
      <c r="BW283" s="186"/>
      <c r="BX283" s="186"/>
      <c r="BY283" s="186"/>
      <c r="BZ283" s="186"/>
      <c r="CA283" s="186"/>
      <c r="CB283" s="186"/>
      <c r="CC283" s="186"/>
      <c r="CD283" s="186"/>
      <c r="CE283" s="186"/>
      <c r="CF283" s="186"/>
      <c r="CG283" s="186"/>
    </row>
    <row r="284" spans="1:85">
      <c r="A284" s="186"/>
      <c r="B284" s="916"/>
      <c r="C284" s="916"/>
      <c r="D284" s="916"/>
      <c r="E284" s="916"/>
      <c r="F284" s="916"/>
      <c r="G284" s="916"/>
      <c r="H284" s="916"/>
      <c r="I284" s="916"/>
      <c r="J284" s="916"/>
      <c r="K284" s="186"/>
      <c r="L284" s="186"/>
      <c r="M284" s="186"/>
      <c r="N284" s="186"/>
      <c r="O284" s="916"/>
      <c r="P284" s="916"/>
      <c r="Q284" s="916"/>
      <c r="R284" s="916"/>
      <c r="S284" s="916"/>
      <c r="T284" s="916"/>
      <c r="U284" s="916"/>
      <c r="V284" s="916"/>
      <c r="W284" s="916"/>
      <c r="X284" s="916"/>
      <c r="Y284" s="916"/>
      <c r="Z284" s="916"/>
      <c r="AA284" s="916"/>
      <c r="AB284" s="916"/>
      <c r="AC284" s="916"/>
      <c r="AD284" s="916"/>
      <c r="AE284" s="916"/>
      <c r="AF284" s="916"/>
      <c r="AG284" s="916"/>
      <c r="AH284" s="186"/>
      <c r="AI284" s="186"/>
      <c r="AJ284" s="916"/>
      <c r="AK284" s="916"/>
      <c r="AL284" s="916"/>
      <c r="AM284" s="916"/>
      <c r="AN284" s="916"/>
      <c r="AO284" s="916"/>
      <c r="AP284" s="916"/>
      <c r="AQ284" s="916"/>
      <c r="AR284" s="916"/>
      <c r="AS284" s="916"/>
      <c r="AT284" s="186"/>
      <c r="AU284" s="186"/>
      <c r="AV284" s="186"/>
      <c r="AW284" s="186"/>
      <c r="AX284" s="186"/>
      <c r="AY284" s="186"/>
      <c r="AZ284" s="186"/>
      <c r="BA284" s="186"/>
      <c r="BB284" s="186"/>
      <c r="BC284" s="186"/>
      <c r="BD284" s="186"/>
      <c r="BE284" s="186"/>
      <c r="BF284" s="186"/>
      <c r="BG284" s="186"/>
      <c r="BH284" s="186"/>
      <c r="BI284" s="186"/>
      <c r="BJ284" s="186"/>
      <c r="BK284" s="186"/>
      <c r="BL284" s="186"/>
      <c r="BM284" s="186"/>
      <c r="BN284" s="186"/>
      <c r="BO284" s="186"/>
      <c r="BP284" s="186"/>
      <c r="BQ284" s="186"/>
      <c r="BR284" s="186"/>
      <c r="BS284" s="186"/>
      <c r="BT284" s="186"/>
      <c r="BU284" s="186"/>
      <c r="BV284" s="186"/>
      <c r="BW284" s="186"/>
      <c r="BX284" s="186"/>
      <c r="BY284" s="186"/>
      <c r="BZ284" s="186"/>
      <c r="CA284" s="186"/>
      <c r="CB284" s="186"/>
      <c r="CC284" s="186"/>
      <c r="CD284" s="186"/>
      <c r="CE284" s="186"/>
      <c r="CF284" s="186"/>
      <c r="CG284" s="186"/>
    </row>
    <row r="285" spans="1:85">
      <c r="A285" s="186"/>
      <c r="B285" s="916"/>
      <c r="C285" s="916"/>
      <c r="D285" s="916"/>
      <c r="E285" s="916"/>
      <c r="F285" s="916"/>
      <c r="G285" s="916"/>
      <c r="H285" s="916"/>
      <c r="I285" s="916"/>
      <c r="J285" s="916"/>
      <c r="K285" s="186"/>
      <c r="L285" s="186"/>
      <c r="M285" s="186"/>
      <c r="N285" s="186"/>
      <c r="O285" s="916"/>
      <c r="P285" s="916"/>
      <c r="Q285" s="916"/>
      <c r="R285" s="916"/>
      <c r="S285" s="916"/>
      <c r="T285" s="916"/>
      <c r="U285" s="916"/>
      <c r="V285" s="916"/>
      <c r="W285" s="916"/>
      <c r="X285" s="916"/>
      <c r="Y285" s="916"/>
      <c r="Z285" s="916"/>
      <c r="AA285" s="916"/>
      <c r="AB285" s="916"/>
      <c r="AC285" s="916"/>
      <c r="AD285" s="916"/>
      <c r="AE285" s="916"/>
      <c r="AF285" s="916"/>
      <c r="AG285" s="916"/>
      <c r="AH285" s="186"/>
      <c r="AI285" s="186"/>
      <c r="AJ285" s="916"/>
      <c r="AK285" s="916"/>
      <c r="AL285" s="916"/>
      <c r="AM285" s="916"/>
      <c r="AN285" s="916"/>
      <c r="AO285" s="916"/>
      <c r="AP285" s="916"/>
      <c r="AQ285" s="916"/>
      <c r="AR285" s="916"/>
      <c r="AS285" s="916"/>
      <c r="AT285" s="186"/>
      <c r="AU285" s="186"/>
      <c r="AV285" s="186"/>
      <c r="AW285" s="186"/>
      <c r="AX285" s="186"/>
      <c r="AY285" s="186"/>
      <c r="AZ285" s="186"/>
      <c r="BA285" s="186"/>
      <c r="BB285" s="186"/>
      <c r="BC285" s="186"/>
      <c r="BD285" s="186"/>
      <c r="BE285" s="186"/>
      <c r="BF285" s="186"/>
      <c r="BG285" s="186"/>
      <c r="BH285" s="186"/>
      <c r="BI285" s="186"/>
      <c r="BJ285" s="186"/>
      <c r="BK285" s="186"/>
      <c r="BL285" s="186"/>
      <c r="BM285" s="186"/>
      <c r="BN285" s="186"/>
      <c r="BO285" s="186"/>
      <c r="BP285" s="186"/>
      <c r="BQ285" s="186"/>
      <c r="BR285" s="186"/>
      <c r="BS285" s="186"/>
      <c r="BT285" s="186"/>
      <c r="BU285" s="186"/>
      <c r="BV285" s="186"/>
      <c r="BW285" s="186"/>
      <c r="BX285" s="186"/>
      <c r="BY285" s="186"/>
      <c r="BZ285" s="186"/>
      <c r="CA285" s="186"/>
      <c r="CB285" s="186"/>
      <c r="CC285" s="186"/>
      <c r="CD285" s="186"/>
      <c r="CE285" s="186"/>
      <c r="CF285" s="186"/>
      <c r="CG285" s="186"/>
    </row>
    <row r="286" spans="1:85">
      <c r="A286" s="186"/>
      <c r="B286" s="916"/>
      <c r="C286" s="916"/>
      <c r="D286" s="916"/>
      <c r="E286" s="916"/>
      <c r="F286" s="916"/>
      <c r="G286" s="916"/>
      <c r="H286" s="916"/>
      <c r="I286" s="916"/>
      <c r="J286" s="916"/>
      <c r="K286" s="186"/>
      <c r="L286" s="186"/>
      <c r="M286" s="186"/>
      <c r="N286" s="186"/>
      <c r="O286" s="916"/>
      <c r="P286" s="916"/>
      <c r="Q286" s="916"/>
      <c r="R286" s="916"/>
      <c r="S286" s="916"/>
      <c r="T286" s="916"/>
      <c r="U286" s="916"/>
      <c r="V286" s="916"/>
      <c r="W286" s="916"/>
      <c r="X286" s="916"/>
      <c r="Y286" s="916"/>
      <c r="Z286" s="916"/>
      <c r="AA286" s="916"/>
      <c r="AB286" s="916"/>
      <c r="AC286" s="916"/>
      <c r="AD286" s="916"/>
      <c r="AE286" s="916"/>
      <c r="AF286" s="916"/>
      <c r="AG286" s="916"/>
      <c r="AH286" s="186"/>
      <c r="AI286" s="186"/>
      <c r="AJ286" s="916"/>
      <c r="AK286" s="916"/>
      <c r="AL286" s="916"/>
      <c r="AM286" s="916"/>
      <c r="AN286" s="916"/>
      <c r="AO286" s="916"/>
      <c r="AP286" s="916"/>
      <c r="AQ286" s="916"/>
      <c r="AR286" s="916"/>
      <c r="AS286" s="916"/>
      <c r="AT286" s="186"/>
      <c r="AU286" s="186"/>
      <c r="AV286" s="186"/>
      <c r="AW286" s="186"/>
      <c r="AX286" s="186"/>
      <c r="AY286" s="186"/>
      <c r="AZ286" s="186"/>
      <c r="BA286" s="186"/>
      <c r="BB286" s="186"/>
      <c r="BC286" s="186"/>
      <c r="BD286" s="186"/>
      <c r="BE286" s="186"/>
      <c r="BF286" s="186"/>
      <c r="BG286" s="186"/>
      <c r="BH286" s="186"/>
      <c r="BI286" s="186"/>
      <c r="BJ286" s="186"/>
      <c r="BK286" s="186"/>
      <c r="BL286" s="186"/>
      <c r="BM286" s="186"/>
      <c r="BN286" s="186"/>
      <c r="BO286" s="186"/>
      <c r="BP286" s="186"/>
      <c r="BQ286" s="186"/>
      <c r="BR286" s="186"/>
      <c r="BS286" s="186"/>
      <c r="BT286" s="186"/>
      <c r="BU286" s="186"/>
      <c r="BV286" s="186"/>
      <c r="BW286" s="186"/>
      <c r="BX286" s="186"/>
      <c r="BY286" s="186"/>
      <c r="BZ286" s="186"/>
      <c r="CA286" s="186"/>
      <c r="CB286" s="186"/>
      <c r="CC286" s="186"/>
      <c r="CD286" s="186"/>
      <c r="CE286" s="186"/>
      <c r="CF286" s="186"/>
      <c r="CG286" s="186"/>
    </row>
    <row r="287" spans="1:85">
      <c r="A287" s="186"/>
      <c r="B287" s="916"/>
      <c r="C287" s="916"/>
      <c r="D287" s="916"/>
      <c r="E287" s="916"/>
      <c r="F287" s="916"/>
      <c r="G287" s="916"/>
      <c r="H287" s="916"/>
      <c r="I287" s="916"/>
      <c r="J287" s="916"/>
      <c r="K287" s="186"/>
      <c r="L287" s="186"/>
      <c r="M287" s="186"/>
      <c r="N287" s="186"/>
      <c r="O287" s="916"/>
      <c r="P287" s="916"/>
      <c r="Q287" s="916"/>
      <c r="R287" s="916"/>
      <c r="S287" s="916"/>
      <c r="T287" s="916"/>
      <c r="U287" s="916"/>
      <c r="V287" s="916"/>
      <c r="W287" s="916"/>
      <c r="X287" s="916"/>
      <c r="Y287" s="916"/>
      <c r="Z287" s="916"/>
      <c r="AA287" s="916"/>
      <c r="AB287" s="916"/>
      <c r="AC287" s="916"/>
      <c r="AD287" s="916"/>
      <c r="AE287" s="916"/>
      <c r="AF287" s="916"/>
      <c r="AG287" s="916"/>
      <c r="AH287" s="186"/>
      <c r="AI287" s="186"/>
      <c r="AJ287" s="916"/>
      <c r="AK287" s="916"/>
      <c r="AL287" s="916"/>
      <c r="AM287" s="916"/>
      <c r="AN287" s="916"/>
      <c r="AO287" s="916"/>
      <c r="AP287" s="916"/>
      <c r="AQ287" s="916"/>
      <c r="AR287" s="916"/>
      <c r="AS287" s="916"/>
      <c r="AT287" s="186"/>
      <c r="AU287" s="186"/>
      <c r="AV287" s="186"/>
      <c r="AW287" s="186"/>
      <c r="AX287" s="186"/>
      <c r="AY287" s="186"/>
      <c r="AZ287" s="186"/>
      <c r="BA287" s="186"/>
      <c r="BB287" s="186"/>
      <c r="BC287" s="186"/>
      <c r="BD287" s="186"/>
      <c r="BE287" s="186"/>
      <c r="BF287" s="186"/>
      <c r="BG287" s="186"/>
      <c r="BH287" s="186"/>
      <c r="BI287" s="186"/>
      <c r="BJ287" s="186"/>
      <c r="BK287" s="186"/>
      <c r="BL287" s="186"/>
      <c r="BM287" s="186"/>
      <c r="BN287" s="186"/>
      <c r="BO287" s="186"/>
      <c r="BP287" s="186"/>
      <c r="BQ287" s="186"/>
      <c r="BR287" s="186"/>
      <c r="BS287" s="186"/>
      <c r="BT287" s="186"/>
      <c r="BU287" s="186"/>
      <c r="BV287" s="186"/>
      <c r="BW287" s="186"/>
      <c r="BX287" s="186"/>
      <c r="BY287" s="186"/>
      <c r="BZ287" s="186"/>
      <c r="CA287" s="186"/>
      <c r="CB287" s="186"/>
      <c r="CC287" s="186"/>
      <c r="CD287" s="186"/>
      <c r="CE287" s="186"/>
      <c r="CF287" s="186"/>
      <c r="CG287" s="186"/>
    </row>
    <row r="288" spans="1:85">
      <c r="A288" s="186"/>
      <c r="B288" s="916"/>
      <c r="C288" s="916"/>
      <c r="D288" s="916"/>
      <c r="E288" s="916"/>
      <c r="F288" s="916"/>
      <c r="G288" s="916"/>
      <c r="H288" s="916"/>
      <c r="I288" s="916"/>
      <c r="J288" s="916"/>
      <c r="K288" s="186"/>
      <c r="L288" s="186"/>
      <c r="M288" s="186"/>
      <c r="N288" s="186"/>
      <c r="O288" s="916"/>
      <c r="P288" s="916"/>
      <c r="Q288" s="916"/>
      <c r="R288" s="916"/>
      <c r="S288" s="916"/>
      <c r="T288" s="916"/>
      <c r="U288" s="916"/>
      <c r="V288" s="916"/>
      <c r="W288" s="916"/>
      <c r="X288" s="916"/>
      <c r="Y288" s="916"/>
      <c r="Z288" s="916"/>
      <c r="AA288" s="916"/>
      <c r="AB288" s="916"/>
      <c r="AC288" s="916"/>
      <c r="AD288" s="916"/>
      <c r="AE288" s="916"/>
      <c r="AF288" s="916"/>
      <c r="AG288" s="916"/>
      <c r="AH288" s="186"/>
      <c r="AI288" s="186"/>
      <c r="AJ288" s="916"/>
      <c r="AK288" s="916"/>
      <c r="AL288" s="916"/>
      <c r="AM288" s="916"/>
      <c r="AN288" s="916"/>
      <c r="AO288" s="916"/>
      <c r="AP288" s="916"/>
      <c r="AQ288" s="916"/>
      <c r="AR288" s="916"/>
      <c r="AS288" s="916"/>
      <c r="AT288" s="186"/>
      <c r="AU288" s="186"/>
      <c r="AV288" s="186"/>
      <c r="AW288" s="186"/>
      <c r="AX288" s="186"/>
      <c r="AY288" s="186"/>
      <c r="AZ288" s="186"/>
      <c r="BA288" s="186"/>
      <c r="BB288" s="186"/>
      <c r="BC288" s="186"/>
      <c r="BD288" s="186"/>
      <c r="BE288" s="186"/>
      <c r="BF288" s="186"/>
      <c r="BG288" s="186"/>
      <c r="BH288" s="186"/>
      <c r="BI288" s="186"/>
      <c r="BJ288" s="186"/>
      <c r="BK288" s="186"/>
      <c r="BL288" s="186"/>
      <c r="BM288" s="186"/>
      <c r="BN288" s="186"/>
      <c r="BO288" s="186"/>
      <c r="BP288" s="186"/>
      <c r="BQ288" s="186"/>
      <c r="BR288" s="186"/>
      <c r="BS288" s="186"/>
      <c r="BT288" s="186"/>
      <c r="BU288" s="186"/>
      <c r="BV288" s="186"/>
      <c r="BW288" s="186"/>
      <c r="BX288" s="186"/>
      <c r="BY288" s="186"/>
      <c r="BZ288" s="186"/>
      <c r="CA288" s="186"/>
      <c r="CB288" s="186"/>
      <c r="CC288" s="186"/>
      <c r="CD288" s="186"/>
      <c r="CE288" s="186"/>
      <c r="CF288" s="186"/>
      <c r="CG288" s="186"/>
    </row>
    <row r="289" spans="1:85">
      <c r="A289" s="186"/>
      <c r="B289" s="916"/>
      <c r="C289" s="916"/>
      <c r="D289" s="916"/>
      <c r="E289" s="916"/>
      <c r="F289" s="916"/>
      <c r="G289" s="916"/>
      <c r="H289" s="916"/>
      <c r="I289" s="916"/>
      <c r="J289" s="916"/>
      <c r="K289" s="186"/>
      <c r="L289" s="186"/>
      <c r="M289" s="186"/>
      <c r="N289" s="186"/>
      <c r="O289" s="916"/>
      <c r="P289" s="916"/>
      <c r="Q289" s="916"/>
      <c r="R289" s="916"/>
      <c r="S289" s="916"/>
      <c r="T289" s="916"/>
      <c r="U289" s="916"/>
      <c r="V289" s="916"/>
      <c r="W289" s="916"/>
      <c r="X289" s="916"/>
      <c r="Y289" s="916"/>
      <c r="Z289" s="916"/>
      <c r="AA289" s="916"/>
      <c r="AB289" s="916"/>
      <c r="AC289" s="916"/>
      <c r="AD289" s="916"/>
      <c r="AE289" s="916"/>
      <c r="AF289" s="916"/>
      <c r="AG289" s="916"/>
      <c r="AH289" s="186"/>
      <c r="AI289" s="186"/>
      <c r="AJ289" s="916"/>
      <c r="AK289" s="916"/>
      <c r="AL289" s="916"/>
      <c r="AM289" s="916"/>
      <c r="AN289" s="916"/>
      <c r="AO289" s="916"/>
      <c r="AP289" s="916"/>
      <c r="AQ289" s="916"/>
      <c r="AR289" s="916"/>
      <c r="AS289" s="916"/>
      <c r="AT289" s="186"/>
      <c r="AU289" s="186"/>
      <c r="AV289" s="186"/>
      <c r="AW289" s="186"/>
      <c r="AX289" s="186"/>
      <c r="AY289" s="186"/>
      <c r="AZ289" s="186"/>
      <c r="BA289" s="186"/>
      <c r="BB289" s="186"/>
      <c r="BC289" s="186"/>
      <c r="BD289" s="186"/>
      <c r="BE289" s="186"/>
      <c r="BF289" s="186"/>
      <c r="BG289" s="186"/>
      <c r="BH289" s="186"/>
      <c r="BI289" s="186"/>
      <c r="BJ289" s="186"/>
      <c r="BK289" s="186"/>
      <c r="BL289" s="186"/>
      <c r="BM289" s="186"/>
      <c r="BN289" s="186"/>
      <c r="BO289" s="186"/>
      <c r="BP289" s="186"/>
      <c r="BQ289" s="186"/>
      <c r="BR289" s="186"/>
      <c r="BS289" s="186"/>
      <c r="BT289" s="186"/>
      <c r="BU289" s="186"/>
      <c r="BV289" s="186"/>
      <c r="BW289" s="186"/>
      <c r="BX289" s="186"/>
      <c r="BY289" s="186"/>
      <c r="BZ289" s="186"/>
      <c r="CA289" s="186"/>
      <c r="CB289" s="186"/>
      <c r="CC289" s="186"/>
      <c r="CD289" s="186"/>
      <c r="CE289" s="186"/>
      <c r="CF289" s="186"/>
      <c r="CG289" s="186"/>
    </row>
    <row r="290" spans="1:85">
      <c r="A290" s="186"/>
      <c r="B290" s="916"/>
      <c r="C290" s="916"/>
      <c r="D290" s="916"/>
      <c r="E290" s="916"/>
      <c r="F290" s="916"/>
      <c r="G290" s="916"/>
      <c r="H290" s="916"/>
      <c r="I290" s="916"/>
      <c r="J290" s="916"/>
      <c r="K290" s="186"/>
      <c r="L290" s="186"/>
      <c r="M290" s="186"/>
      <c r="N290" s="186"/>
      <c r="O290" s="916"/>
      <c r="P290" s="916"/>
      <c r="Q290" s="916"/>
      <c r="R290" s="916"/>
      <c r="S290" s="916"/>
      <c r="T290" s="916"/>
      <c r="U290" s="916"/>
      <c r="V290" s="916"/>
      <c r="W290" s="916"/>
      <c r="X290" s="916"/>
      <c r="Y290" s="916"/>
      <c r="Z290" s="916"/>
      <c r="AA290" s="916"/>
      <c r="AB290" s="916"/>
      <c r="AC290" s="916"/>
      <c r="AD290" s="916"/>
      <c r="AE290" s="916"/>
      <c r="AF290" s="916"/>
      <c r="AG290" s="916"/>
      <c r="AH290" s="186"/>
      <c r="AI290" s="186"/>
      <c r="AJ290" s="916"/>
      <c r="AK290" s="916"/>
      <c r="AL290" s="916"/>
      <c r="AM290" s="916"/>
      <c r="AN290" s="916"/>
      <c r="AO290" s="916"/>
      <c r="AP290" s="916"/>
      <c r="AQ290" s="916"/>
      <c r="AR290" s="916"/>
      <c r="AS290" s="916"/>
      <c r="AT290" s="186"/>
      <c r="AU290" s="186"/>
      <c r="AV290" s="186"/>
      <c r="AW290" s="186"/>
      <c r="AX290" s="186"/>
      <c r="AY290" s="186"/>
      <c r="AZ290" s="186"/>
      <c r="BA290" s="186"/>
      <c r="BB290" s="186"/>
      <c r="BC290" s="186"/>
      <c r="BD290" s="186"/>
      <c r="BE290" s="186"/>
      <c r="BF290" s="186"/>
      <c r="BG290" s="186"/>
      <c r="BH290" s="186"/>
      <c r="BI290" s="186"/>
      <c r="BJ290" s="186"/>
      <c r="BK290" s="186"/>
      <c r="BL290" s="186"/>
      <c r="BM290" s="186"/>
      <c r="BN290" s="186"/>
      <c r="BO290" s="186"/>
      <c r="BP290" s="186"/>
      <c r="BQ290" s="186"/>
      <c r="BR290" s="186"/>
      <c r="BS290" s="186"/>
      <c r="BT290" s="186"/>
      <c r="BU290" s="186"/>
      <c r="BV290" s="186"/>
      <c r="BW290" s="186"/>
      <c r="BX290" s="186"/>
      <c r="BY290" s="186"/>
      <c r="BZ290" s="186"/>
      <c r="CA290" s="186"/>
      <c r="CB290" s="186"/>
      <c r="CC290" s="186"/>
      <c r="CD290" s="186"/>
      <c r="CE290" s="186"/>
      <c r="CF290" s="186"/>
      <c r="CG290" s="186"/>
    </row>
    <row r="291" spans="1:85">
      <c r="A291" s="186"/>
      <c r="B291" s="916"/>
      <c r="C291" s="916"/>
      <c r="D291" s="916"/>
      <c r="E291" s="916"/>
      <c r="F291" s="916"/>
      <c r="G291" s="916"/>
      <c r="H291" s="916"/>
      <c r="I291" s="916"/>
      <c r="J291" s="916"/>
      <c r="K291" s="186"/>
      <c r="L291" s="186"/>
      <c r="M291" s="186"/>
      <c r="N291" s="186"/>
      <c r="O291" s="916"/>
      <c r="P291" s="916"/>
      <c r="Q291" s="916"/>
      <c r="R291" s="916"/>
      <c r="S291" s="916"/>
      <c r="T291" s="916"/>
      <c r="U291" s="916"/>
      <c r="V291" s="916"/>
      <c r="W291" s="916"/>
      <c r="X291" s="916"/>
      <c r="Y291" s="916"/>
      <c r="Z291" s="916"/>
      <c r="AA291" s="916"/>
      <c r="AB291" s="916"/>
      <c r="AC291" s="916"/>
      <c r="AD291" s="916"/>
      <c r="AE291" s="916"/>
      <c r="AF291" s="916"/>
      <c r="AG291" s="916"/>
      <c r="AH291" s="186"/>
      <c r="AI291" s="186"/>
      <c r="AJ291" s="916"/>
      <c r="AK291" s="916"/>
      <c r="AL291" s="916"/>
      <c r="AM291" s="916"/>
      <c r="AN291" s="916"/>
      <c r="AO291" s="916"/>
      <c r="AP291" s="916"/>
      <c r="AQ291" s="916"/>
      <c r="AR291" s="916"/>
      <c r="AS291" s="916"/>
      <c r="AT291" s="186"/>
      <c r="AU291" s="186"/>
      <c r="AV291" s="186"/>
      <c r="AW291" s="186"/>
      <c r="AX291" s="186"/>
      <c r="AY291" s="186"/>
      <c r="AZ291" s="186"/>
      <c r="BA291" s="186"/>
      <c r="BB291" s="186"/>
      <c r="BC291" s="186"/>
      <c r="BD291" s="186"/>
      <c r="BE291" s="186"/>
      <c r="BF291" s="186"/>
      <c r="BG291" s="186"/>
      <c r="BH291" s="186"/>
      <c r="BI291" s="186"/>
      <c r="BJ291" s="186"/>
      <c r="BK291" s="186"/>
      <c r="BL291" s="186"/>
      <c r="BM291" s="186"/>
      <c r="BN291" s="186"/>
      <c r="BO291" s="186"/>
      <c r="BP291" s="186"/>
      <c r="BQ291" s="186"/>
      <c r="BR291" s="186"/>
      <c r="BS291" s="186"/>
      <c r="BT291" s="186"/>
      <c r="BU291" s="186"/>
      <c r="BV291" s="186"/>
      <c r="BW291" s="186"/>
      <c r="BX291" s="186"/>
      <c r="BY291" s="186"/>
      <c r="BZ291" s="186"/>
      <c r="CA291" s="186"/>
      <c r="CB291" s="186"/>
      <c r="CC291" s="186"/>
      <c r="CD291" s="186"/>
      <c r="CE291" s="186"/>
      <c r="CF291" s="186"/>
      <c r="CG291" s="186"/>
    </row>
    <row r="292" spans="1:85">
      <c r="A292" s="186"/>
      <c r="B292" s="916"/>
      <c r="C292" s="916"/>
      <c r="D292" s="916"/>
      <c r="E292" s="916"/>
      <c r="F292" s="916"/>
      <c r="G292" s="916"/>
      <c r="H292" s="916"/>
      <c r="I292" s="916"/>
      <c r="J292" s="916"/>
      <c r="K292" s="186"/>
      <c r="L292" s="186"/>
      <c r="M292" s="186"/>
      <c r="N292" s="186"/>
      <c r="O292" s="916"/>
      <c r="P292" s="916"/>
      <c r="Q292" s="916"/>
      <c r="R292" s="916"/>
      <c r="S292" s="916"/>
      <c r="T292" s="916"/>
      <c r="U292" s="916"/>
      <c r="V292" s="916"/>
      <c r="W292" s="916"/>
      <c r="X292" s="916"/>
      <c r="Y292" s="916"/>
      <c r="Z292" s="916"/>
      <c r="AA292" s="916"/>
      <c r="AB292" s="916"/>
      <c r="AC292" s="916"/>
      <c r="AD292" s="916"/>
      <c r="AE292" s="916"/>
      <c r="AF292" s="916"/>
      <c r="AG292" s="916"/>
      <c r="AH292" s="186"/>
      <c r="AI292" s="186"/>
      <c r="AJ292" s="916"/>
      <c r="AK292" s="916"/>
      <c r="AL292" s="916"/>
      <c r="AM292" s="916"/>
      <c r="AN292" s="916"/>
      <c r="AO292" s="916"/>
      <c r="AP292" s="916"/>
      <c r="AQ292" s="916"/>
      <c r="AR292" s="916"/>
      <c r="AS292" s="916"/>
      <c r="AT292" s="186"/>
      <c r="AU292" s="186"/>
      <c r="AV292" s="186"/>
      <c r="AW292" s="186"/>
      <c r="AX292" s="186"/>
      <c r="AY292" s="186"/>
      <c r="AZ292" s="186"/>
      <c r="BA292" s="186"/>
      <c r="BB292" s="186"/>
      <c r="BC292" s="186"/>
      <c r="BD292" s="186"/>
      <c r="BE292" s="186"/>
      <c r="BF292" s="186"/>
      <c r="BG292" s="186"/>
      <c r="BH292" s="186"/>
      <c r="BI292" s="186"/>
      <c r="BJ292" s="186"/>
      <c r="BK292" s="186"/>
      <c r="BL292" s="186"/>
      <c r="BM292" s="186"/>
      <c r="BN292" s="186"/>
      <c r="BO292" s="186"/>
      <c r="BP292" s="186"/>
      <c r="BQ292" s="186"/>
      <c r="BR292" s="186"/>
      <c r="BS292" s="186"/>
      <c r="BT292" s="186"/>
      <c r="BU292" s="186"/>
      <c r="BV292" s="186"/>
      <c r="BW292" s="186"/>
      <c r="BX292" s="186"/>
      <c r="BY292" s="186"/>
      <c r="BZ292" s="186"/>
      <c r="CA292" s="186"/>
      <c r="CB292" s="186"/>
      <c r="CC292" s="186"/>
      <c r="CD292" s="186"/>
      <c r="CE292" s="186"/>
      <c r="CF292" s="186"/>
      <c r="CG292" s="186"/>
    </row>
    <row r="293" spans="1:85">
      <c r="A293" s="186"/>
      <c r="B293" s="916"/>
      <c r="C293" s="916"/>
      <c r="D293" s="916"/>
      <c r="E293" s="916"/>
      <c r="F293" s="916"/>
      <c r="G293" s="916"/>
      <c r="H293" s="916"/>
      <c r="I293" s="916"/>
      <c r="J293" s="916"/>
      <c r="K293" s="186"/>
      <c r="L293" s="186"/>
      <c r="M293" s="186"/>
      <c r="N293" s="186"/>
      <c r="O293" s="916"/>
      <c r="P293" s="916"/>
      <c r="Q293" s="916"/>
      <c r="R293" s="916"/>
      <c r="S293" s="916"/>
      <c r="T293" s="916"/>
      <c r="U293" s="916"/>
      <c r="V293" s="916"/>
      <c r="W293" s="916"/>
      <c r="X293" s="916"/>
      <c r="Y293" s="916"/>
      <c r="Z293" s="916"/>
      <c r="AA293" s="916"/>
      <c r="AB293" s="916"/>
      <c r="AC293" s="916"/>
      <c r="AD293" s="916"/>
      <c r="AE293" s="916"/>
      <c r="AF293" s="916"/>
      <c r="AG293" s="916"/>
      <c r="AH293" s="186"/>
      <c r="AI293" s="186"/>
      <c r="AJ293" s="916"/>
      <c r="AK293" s="916"/>
      <c r="AL293" s="916"/>
      <c r="AM293" s="916"/>
      <c r="AN293" s="916"/>
      <c r="AO293" s="916"/>
      <c r="AP293" s="916"/>
      <c r="AQ293" s="916"/>
      <c r="AR293" s="916"/>
      <c r="AS293" s="916"/>
      <c r="AT293" s="186"/>
      <c r="AU293" s="186"/>
      <c r="AV293" s="186"/>
      <c r="AW293" s="186"/>
      <c r="AX293" s="186"/>
      <c r="AY293" s="186"/>
      <c r="AZ293" s="186"/>
      <c r="BA293" s="186"/>
      <c r="BB293" s="186"/>
      <c r="BC293" s="186"/>
      <c r="BD293" s="186"/>
      <c r="BE293" s="186"/>
      <c r="BF293" s="186"/>
      <c r="BG293" s="186"/>
      <c r="BH293" s="186"/>
      <c r="BI293" s="186"/>
      <c r="BJ293" s="186"/>
      <c r="BK293" s="186"/>
      <c r="BL293" s="186"/>
      <c r="BM293" s="186"/>
      <c r="BN293" s="186"/>
      <c r="BO293" s="186"/>
      <c r="BP293" s="186"/>
      <c r="BQ293" s="186"/>
      <c r="BR293" s="186"/>
      <c r="BS293" s="186"/>
      <c r="BT293" s="186"/>
      <c r="BU293" s="186"/>
      <c r="BV293" s="186"/>
      <c r="BW293" s="186"/>
      <c r="BX293" s="186"/>
      <c r="BY293" s="186"/>
      <c r="BZ293" s="186"/>
      <c r="CA293" s="186"/>
      <c r="CB293" s="186"/>
      <c r="CC293" s="186"/>
      <c r="CD293" s="186"/>
      <c r="CE293" s="186"/>
      <c r="CF293" s="186"/>
      <c r="CG293" s="186"/>
    </row>
    <row r="294" spans="1:85">
      <c r="A294" s="186"/>
      <c r="B294" s="916"/>
      <c r="C294" s="916"/>
      <c r="D294" s="916"/>
      <c r="E294" s="916"/>
      <c r="F294" s="916"/>
      <c r="G294" s="916"/>
      <c r="H294" s="916"/>
      <c r="I294" s="916"/>
      <c r="J294" s="916"/>
      <c r="K294" s="186"/>
      <c r="L294" s="186"/>
      <c r="M294" s="186"/>
      <c r="N294" s="186"/>
      <c r="O294" s="916"/>
      <c r="P294" s="916"/>
      <c r="Q294" s="916"/>
      <c r="R294" s="916"/>
      <c r="S294" s="916"/>
      <c r="T294" s="916"/>
      <c r="U294" s="916"/>
      <c r="V294" s="916"/>
      <c r="W294" s="916"/>
      <c r="X294" s="916"/>
      <c r="Y294" s="916"/>
      <c r="Z294" s="916"/>
      <c r="AA294" s="916"/>
      <c r="AB294" s="916"/>
      <c r="AC294" s="916"/>
      <c r="AD294" s="916"/>
      <c r="AE294" s="916"/>
      <c r="AF294" s="916"/>
      <c r="AG294" s="916"/>
      <c r="AH294" s="186"/>
      <c r="AI294" s="186"/>
      <c r="AJ294" s="916"/>
      <c r="AK294" s="916"/>
      <c r="AL294" s="916"/>
      <c r="AM294" s="916"/>
      <c r="AN294" s="916"/>
      <c r="AO294" s="916"/>
      <c r="AP294" s="916"/>
      <c r="AQ294" s="916"/>
      <c r="AR294" s="916"/>
      <c r="AS294" s="916"/>
      <c r="AT294" s="186"/>
      <c r="AU294" s="186"/>
      <c r="AV294" s="186"/>
      <c r="AW294" s="186"/>
      <c r="AX294" s="186"/>
      <c r="AY294" s="186"/>
      <c r="AZ294" s="186"/>
      <c r="BA294" s="186"/>
      <c r="BB294" s="186"/>
      <c r="BC294" s="186"/>
      <c r="BD294" s="186"/>
      <c r="BE294" s="186"/>
      <c r="BF294" s="186"/>
      <c r="BG294" s="186"/>
      <c r="BH294" s="186"/>
      <c r="BI294" s="186"/>
      <c r="BJ294" s="186"/>
      <c r="BK294" s="186"/>
      <c r="BL294" s="186"/>
      <c r="BM294" s="186"/>
      <c r="BN294" s="186"/>
      <c r="BO294" s="186"/>
      <c r="BP294" s="186"/>
      <c r="BQ294" s="186"/>
      <c r="BR294" s="186"/>
      <c r="BS294" s="186"/>
      <c r="BT294" s="186"/>
      <c r="BU294" s="186"/>
      <c r="BV294" s="186"/>
      <c r="BW294" s="186"/>
      <c r="BX294" s="186"/>
      <c r="BY294" s="186"/>
      <c r="BZ294" s="186"/>
      <c r="CA294" s="186"/>
      <c r="CB294" s="186"/>
      <c r="CC294" s="186"/>
      <c r="CD294" s="186"/>
      <c r="CE294" s="186"/>
      <c r="CF294" s="186"/>
      <c r="CG294" s="186"/>
    </row>
    <row r="295" spans="1:85">
      <c r="A295" s="186"/>
      <c r="B295" s="916"/>
      <c r="C295" s="916"/>
      <c r="D295" s="916"/>
      <c r="E295" s="916"/>
      <c r="F295" s="916"/>
      <c r="G295" s="916"/>
      <c r="H295" s="916"/>
      <c r="I295" s="916"/>
      <c r="J295" s="916"/>
      <c r="K295" s="186"/>
      <c r="L295" s="186"/>
      <c r="M295" s="186"/>
      <c r="N295" s="186"/>
      <c r="O295" s="916"/>
      <c r="P295" s="916"/>
      <c r="Q295" s="916"/>
      <c r="R295" s="916"/>
      <c r="S295" s="916"/>
      <c r="T295" s="916"/>
      <c r="U295" s="916"/>
      <c r="V295" s="916"/>
      <c r="W295" s="916"/>
      <c r="X295" s="916"/>
      <c r="Y295" s="916"/>
      <c r="Z295" s="916"/>
      <c r="AA295" s="916"/>
      <c r="AB295" s="916"/>
      <c r="AC295" s="916"/>
      <c r="AD295" s="916"/>
      <c r="AE295" s="916"/>
      <c r="AF295" s="916"/>
      <c r="AG295" s="916"/>
      <c r="AH295" s="186"/>
      <c r="AI295" s="186"/>
      <c r="AJ295" s="916"/>
      <c r="AK295" s="916"/>
      <c r="AL295" s="916"/>
      <c r="AM295" s="916"/>
      <c r="AN295" s="916"/>
      <c r="AO295" s="916"/>
      <c r="AP295" s="916"/>
      <c r="AQ295" s="916"/>
      <c r="AR295" s="916"/>
      <c r="AS295" s="916"/>
      <c r="AT295" s="186"/>
      <c r="AU295" s="186"/>
      <c r="AV295" s="186"/>
      <c r="AW295" s="186"/>
      <c r="AX295" s="186"/>
      <c r="AY295" s="186"/>
      <c r="AZ295" s="186"/>
      <c r="BA295" s="186"/>
      <c r="BB295" s="186"/>
      <c r="BC295" s="186"/>
      <c r="BD295" s="186"/>
      <c r="BE295" s="186"/>
      <c r="BF295" s="186"/>
      <c r="BG295" s="186"/>
      <c r="BH295" s="186"/>
      <c r="BI295" s="186"/>
      <c r="BJ295" s="186"/>
      <c r="BK295" s="186"/>
      <c r="BL295" s="186"/>
      <c r="BM295" s="186"/>
      <c r="BN295" s="186"/>
      <c r="BO295" s="186"/>
      <c r="BP295" s="186"/>
      <c r="BQ295" s="186"/>
      <c r="BR295" s="186"/>
      <c r="BS295" s="186"/>
      <c r="BT295" s="186"/>
      <c r="BU295" s="186"/>
      <c r="BV295" s="186"/>
      <c r="BW295" s="186"/>
      <c r="BX295" s="186"/>
      <c r="BY295" s="186"/>
      <c r="BZ295" s="186"/>
      <c r="CA295" s="186"/>
      <c r="CB295" s="186"/>
      <c r="CC295" s="186"/>
      <c r="CD295" s="186"/>
      <c r="CE295" s="186"/>
      <c r="CF295" s="186"/>
      <c r="CG295" s="186"/>
    </row>
    <row r="296" spans="1:85">
      <c r="A296" s="186"/>
      <c r="B296" s="916"/>
      <c r="C296" s="916"/>
      <c r="D296" s="916"/>
      <c r="E296" s="916"/>
      <c r="F296" s="916"/>
      <c r="G296" s="916"/>
      <c r="H296" s="916"/>
      <c r="I296" s="916"/>
      <c r="J296" s="916"/>
      <c r="K296" s="186"/>
      <c r="L296" s="186"/>
      <c r="M296" s="186"/>
      <c r="N296" s="186"/>
      <c r="O296" s="916"/>
      <c r="P296" s="916"/>
      <c r="Q296" s="916"/>
      <c r="R296" s="916"/>
      <c r="S296" s="916"/>
      <c r="T296" s="916"/>
      <c r="U296" s="916"/>
      <c r="V296" s="916"/>
      <c r="W296" s="916"/>
      <c r="X296" s="916"/>
      <c r="Y296" s="916"/>
      <c r="Z296" s="916"/>
      <c r="AA296" s="916"/>
      <c r="AB296" s="916"/>
      <c r="AC296" s="916"/>
      <c r="AD296" s="916"/>
      <c r="AE296" s="916"/>
      <c r="AF296" s="916"/>
      <c r="AG296" s="916"/>
      <c r="AH296" s="186"/>
      <c r="AI296" s="186"/>
      <c r="AJ296" s="916"/>
      <c r="AK296" s="916"/>
      <c r="AL296" s="916"/>
      <c r="AM296" s="916"/>
      <c r="AN296" s="916"/>
      <c r="AO296" s="916"/>
      <c r="AP296" s="916"/>
      <c r="AQ296" s="916"/>
      <c r="AR296" s="916"/>
      <c r="AS296" s="916"/>
      <c r="AT296" s="186"/>
      <c r="AU296" s="186"/>
      <c r="AV296" s="186"/>
      <c r="AW296" s="186"/>
      <c r="AX296" s="186"/>
      <c r="AY296" s="186"/>
      <c r="AZ296" s="186"/>
      <c r="BA296" s="186"/>
      <c r="BB296" s="186"/>
      <c r="BC296" s="186"/>
      <c r="BD296" s="186"/>
      <c r="BE296" s="186"/>
      <c r="BF296" s="186"/>
      <c r="BG296" s="186"/>
      <c r="BH296" s="186"/>
      <c r="BI296" s="186"/>
      <c r="BJ296" s="186"/>
      <c r="BK296" s="186"/>
      <c r="BL296" s="186"/>
      <c r="BM296" s="186"/>
      <c r="BN296" s="186"/>
      <c r="BO296" s="186"/>
      <c r="BP296" s="186"/>
      <c r="BQ296" s="186"/>
      <c r="BR296" s="186"/>
      <c r="BS296" s="186"/>
      <c r="BT296" s="186"/>
      <c r="BU296" s="186"/>
      <c r="BV296" s="186"/>
      <c r="BW296" s="186"/>
      <c r="BX296" s="186"/>
      <c r="BY296" s="186"/>
      <c r="BZ296" s="186"/>
      <c r="CA296" s="186"/>
      <c r="CB296" s="186"/>
      <c r="CC296" s="186"/>
      <c r="CD296" s="186"/>
      <c r="CE296" s="186"/>
      <c r="CF296" s="186"/>
      <c r="CG296" s="186"/>
    </row>
    <row r="297" spans="1:85">
      <c r="A297" s="186"/>
      <c r="B297" s="916"/>
      <c r="C297" s="916"/>
      <c r="D297" s="916"/>
      <c r="E297" s="916"/>
      <c r="F297" s="916"/>
      <c r="G297" s="916"/>
      <c r="H297" s="916"/>
      <c r="I297" s="916"/>
      <c r="J297" s="916"/>
      <c r="K297" s="186"/>
      <c r="L297" s="186"/>
      <c r="M297" s="186"/>
      <c r="N297" s="186"/>
      <c r="O297" s="916"/>
      <c r="P297" s="916"/>
      <c r="Q297" s="916"/>
      <c r="R297" s="916"/>
      <c r="S297" s="916"/>
      <c r="T297" s="916"/>
      <c r="U297" s="916"/>
      <c r="V297" s="916"/>
      <c r="W297" s="916"/>
      <c r="X297" s="916"/>
      <c r="Y297" s="916"/>
      <c r="Z297" s="916"/>
      <c r="AA297" s="916"/>
      <c r="AB297" s="916"/>
      <c r="AC297" s="916"/>
      <c r="AD297" s="916"/>
      <c r="AE297" s="916"/>
      <c r="AF297" s="916"/>
      <c r="AG297" s="916"/>
      <c r="AH297" s="186"/>
      <c r="AI297" s="186"/>
      <c r="AJ297" s="916"/>
      <c r="AK297" s="916"/>
      <c r="AL297" s="916"/>
      <c r="AM297" s="916"/>
      <c r="AN297" s="916"/>
      <c r="AO297" s="916"/>
      <c r="AP297" s="916"/>
      <c r="AQ297" s="916"/>
      <c r="AR297" s="916"/>
      <c r="AS297" s="916"/>
      <c r="AT297" s="186"/>
      <c r="AU297" s="186"/>
      <c r="AV297" s="186"/>
      <c r="AW297" s="186"/>
      <c r="AX297" s="186"/>
      <c r="AY297" s="186"/>
      <c r="AZ297" s="186"/>
      <c r="BA297" s="186"/>
      <c r="BB297" s="186"/>
      <c r="BC297" s="186"/>
      <c r="BD297" s="186"/>
      <c r="BE297" s="186"/>
      <c r="BF297" s="186"/>
      <c r="BG297" s="186"/>
      <c r="BH297" s="186"/>
      <c r="BI297" s="186"/>
      <c r="BJ297" s="186"/>
      <c r="BK297" s="186"/>
      <c r="BL297" s="186"/>
      <c r="BM297" s="186"/>
      <c r="BN297" s="186"/>
      <c r="BO297" s="186"/>
      <c r="BP297" s="186"/>
      <c r="BQ297" s="186"/>
      <c r="BR297" s="186"/>
      <c r="BS297" s="186"/>
      <c r="BT297" s="186"/>
      <c r="BU297" s="186"/>
      <c r="BV297" s="186"/>
      <c r="BW297" s="186"/>
      <c r="BX297" s="186"/>
      <c r="BY297" s="186"/>
      <c r="BZ297" s="186"/>
      <c r="CA297" s="186"/>
      <c r="CB297" s="186"/>
      <c r="CC297" s="186"/>
      <c r="CD297" s="186"/>
      <c r="CE297" s="186"/>
      <c r="CF297" s="186"/>
      <c r="CG297" s="186"/>
    </row>
    <row r="298" spans="1:85">
      <c r="A298" s="186"/>
      <c r="B298" s="916"/>
      <c r="C298" s="916"/>
      <c r="D298" s="916"/>
      <c r="E298" s="916"/>
      <c r="F298" s="916"/>
      <c r="G298" s="916"/>
      <c r="H298" s="916"/>
      <c r="I298" s="916"/>
      <c r="J298" s="916"/>
      <c r="K298" s="186"/>
      <c r="L298" s="186"/>
      <c r="M298" s="186"/>
      <c r="N298" s="186"/>
      <c r="O298" s="916"/>
      <c r="P298" s="916"/>
      <c r="Q298" s="916"/>
      <c r="R298" s="916"/>
      <c r="S298" s="916"/>
      <c r="T298" s="916"/>
      <c r="U298" s="916"/>
      <c r="V298" s="916"/>
      <c r="W298" s="916"/>
      <c r="X298" s="916"/>
      <c r="Y298" s="916"/>
      <c r="Z298" s="916"/>
      <c r="AA298" s="916"/>
      <c r="AB298" s="916"/>
      <c r="AC298" s="916"/>
      <c r="AD298" s="916"/>
      <c r="AE298" s="916"/>
      <c r="AF298" s="916"/>
      <c r="AG298" s="916"/>
      <c r="AH298" s="186"/>
      <c r="AI298" s="186"/>
      <c r="AJ298" s="916"/>
      <c r="AK298" s="916"/>
      <c r="AL298" s="916"/>
      <c r="AM298" s="916"/>
      <c r="AN298" s="916"/>
      <c r="AO298" s="916"/>
      <c r="AP298" s="916"/>
      <c r="AQ298" s="916"/>
      <c r="AR298" s="916"/>
      <c r="AS298" s="916"/>
      <c r="AT298" s="186"/>
      <c r="AU298" s="186"/>
      <c r="AV298" s="186"/>
      <c r="AW298" s="186"/>
      <c r="AX298" s="186"/>
      <c r="AY298" s="186"/>
      <c r="AZ298" s="186"/>
      <c r="BA298" s="186"/>
      <c r="BB298" s="186"/>
      <c r="BC298" s="186"/>
      <c r="BD298" s="186"/>
      <c r="BE298" s="186"/>
      <c r="BF298" s="186"/>
      <c r="BG298" s="186"/>
      <c r="BH298" s="186"/>
      <c r="BI298" s="186"/>
      <c r="BJ298" s="186"/>
      <c r="BK298" s="186"/>
      <c r="BL298" s="186"/>
      <c r="BM298" s="186"/>
      <c r="BN298" s="186"/>
      <c r="BO298" s="186"/>
      <c r="BP298" s="186"/>
      <c r="BQ298" s="186"/>
      <c r="BR298" s="186"/>
      <c r="BS298" s="186"/>
      <c r="BT298" s="186"/>
      <c r="BU298" s="186"/>
      <c r="BV298" s="186"/>
      <c r="BW298" s="186"/>
      <c r="BX298" s="186"/>
      <c r="BY298" s="186"/>
      <c r="BZ298" s="186"/>
      <c r="CA298" s="186"/>
      <c r="CB298" s="186"/>
      <c r="CC298" s="186"/>
      <c r="CD298" s="186"/>
      <c r="CE298" s="186"/>
      <c r="CF298" s="186"/>
      <c r="CG298" s="186"/>
    </row>
    <row r="299" spans="1:85">
      <c r="A299" s="186"/>
      <c r="B299" s="916"/>
      <c r="C299" s="916"/>
      <c r="D299" s="916"/>
      <c r="E299" s="916"/>
      <c r="F299" s="916"/>
      <c r="G299" s="916"/>
      <c r="H299" s="916"/>
      <c r="I299" s="916"/>
      <c r="J299" s="916"/>
      <c r="K299" s="186"/>
      <c r="L299" s="186"/>
      <c r="M299" s="186"/>
      <c r="N299" s="186"/>
      <c r="O299" s="916"/>
      <c r="P299" s="916"/>
      <c r="Q299" s="916"/>
      <c r="R299" s="916"/>
      <c r="S299" s="916"/>
      <c r="T299" s="916"/>
      <c r="U299" s="916"/>
      <c r="V299" s="916"/>
      <c r="W299" s="916"/>
      <c r="X299" s="916"/>
      <c r="Y299" s="916"/>
      <c r="Z299" s="916"/>
      <c r="AA299" s="916"/>
      <c r="AB299" s="916"/>
      <c r="AC299" s="916"/>
      <c r="AD299" s="916"/>
      <c r="AE299" s="916"/>
      <c r="AF299" s="916"/>
      <c r="AG299" s="916"/>
      <c r="AH299" s="186"/>
      <c r="AI299" s="186"/>
      <c r="AJ299" s="916"/>
      <c r="AK299" s="916"/>
      <c r="AL299" s="916"/>
      <c r="AM299" s="916"/>
      <c r="AN299" s="916"/>
      <c r="AO299" s="916"/>
      <c r="AP299" s="916"/>
      <c r="AQ299" s="916"/>
      <c r="AR299" s="916"/>
      <c r="AS299" s="916"/>
      <c r="AT299" s="186"/>
      <c r="AU299" s="186"/>
      <c r="AV299" s="186"/>
      <c r="AW299" s="186"/>
      <c r="AX299" s="186"/>
      <c r="AY299" s="186"/>
      <c r="AZ299" s="186"/>
      <c r="BA299" s="186"/>
      <c r="BB299" s="186"/>
      <c r="BC299" s="186"/>
      <c r="BD299" s="186"/>
      <c r="BE299" s="186"/>
      <c r="BF299" s="186"/>
      <c r="BG299" s="186"/>
      <c r="BH299" s="186"/>
      <c r="BI299" s="186"/>
      <c r="BJ299" s="186"/>
      <c r="BK299" s="186"/>
      <c r="BL299" s="186"/>
      <c r="BM299" s="186"/>
      <c r="BN299" s="186"/>
      <c r="BO299" s="186"/>
      <c r="BP299" s="186"/>
      <c r="BQ299" s="186"/>
      <c r="BR299" s="186"/>
      <c r="BS299" s="186"/>
      <c r="BT299" s="186"/>
      <c r="BU299" s="186"/>
      <c r="BV299" s="186"/>
      <c r="BW299" s="186"/>
      <c r="BX299" s="186"/>
      <c r="BY299" s="186"/>
      <c r="BZ299" s="186"/>
      <c r="CA299" s="186"/>
      <c r="CB299" s="186"/>
      <c r="CC299" s="186"/>
      <c r="CD299" s="186"/>
      <c r="CE299" s="186"/>
      <c r="CF299" s="186"/>
      <c r="CG299" s="186"/>
    </row>
    <row r="300" spans="1:85">
      <c r="A300" s="186"/>
      <c r="B300" s="916"/>
      <c r="C300" s="916"/>
      <c r="D300" s="916"/>
      <c r="E300" s="916"/>
      <c r="F300" s="916"/>
      <c r="G300" s="916"/>
      <c r="H300" s="916"/>
      <c r="I300" s="916"/>
      <c r="J300" s="916"/>
      <c r="K300" s="186"/>
      <c r="L300" s="186"/>
      <c r="M300" s="186"/>
      <c r="N300" s="186"/>
      <c r="O300" s="916"/>
      <c r="P300" s="916"/>
      <c r="Q300" s="916"/>
      <c r="R300" s="916"/>
      <c r="S300" s="916"/>
      <c r="T300" s="916"/>
      <c r="U300" s="916"/>
      <c r="V300" s="916"/>
      <c r="W300" s="916"/>
      <c r="X300" s="916"/>
      <c r="Y300" s="916"/>
      <c r="Z300" s="916"/>
      <c r="AA300" s="916"/>
      <c r="AB300" s="916"/>
      <c r="AC300" s="916"/>
      <c r="AD300" s="916"/>
      <c r="AE300" s="916"/>
      <c r="AF300" s="916"/>
      <c r="AG300" s="916"/>
      <c r="AH300" s="186"/>
      <c r="AI300" s="186"/>
      <c r="AJ300" s="916"/>
      <c r="AK300" s="916"/>
      <c r="AL300" s="916"/>
      <c r="AM300" s="916"/>
      <c r="AN300" s="916"/>
      <c r="AO300" s="916"/>
      <c r="AP300" s="916"/>
      <c r="AQ300" s="916"/>
      <c r="AR300" s="916"/>
      <c r="AS300" s="916"/>
      <c r="AT300" s="186"/>
      <c r="AU300" s="186"/>
      <c r="AV300" s="186"/>
      <c r="AW300" s="186"/>
      <c r="AX300" s="186"/>
      <c r="AY300" s="186"/>
      <c r="AZ300" s="186"/>
      <c r="BA300" s="186"/>
      <c r="BB300" s="186"/>
      <c r="BC300" s="186"/>
      <c r="BD300" s="186"/>
      <c r="BE300" s="186"/>
      <c r="BF300" s="186"/>
      <c r="BG300" s="186"/>
      <c r="BH300" s="186"/>
      <c r="BI300" s="186"/>
      <c r="BJ300" s="186"/>
      <c r="BK300" s="186"/>
      <c r="BL300" s="186"/>
      <c r="BM300" s="186"/>
      <c r="BN300" s="186"/>
      <c r="BO300" s="186"/>
      <c r="BP300" s="186"/>
      <c r="BQ300" s="186"/>
      <c r="BR300" s="186"/>
      <c r="BS300" s="186"/>
      <c r="BT300" s="186"/>
      <c r="BU300" s="186"/>
      <c r="BV300" s="186"/>
      <c r="BW300" s="186"/>
      <c r="BX300" s="186"/>
      <c r="BY300" s="186"/>
      <c r="BZ300" s="186"/>
      <c r="CA300" s="186"/>
      <c r="CB300" s="186"/>
      <c r="CC300" s="186"/>
      <c r="CD300" s="186"/>
      <c r="CE300" s="186"/>
      <c r="CF300" s="186"/>
      <c r="CG300" s="186"/>
    </row>
    <row r="301" spans="1:85">
      <c r="A301" s="186"/>
      <c r="B301" s="916"/>
      <c r="C301" s="916"/>
      <c r="D301" s="916"/>
      <c r="E301" s="916"/>
      <c r="F301" s="916"/>
      <c r="G301" s="916"/>
      <c r="H301" s="916"/>
      <c r="I301" s="916"/>
      <c r="J301" s="916"/>
      <c r="K301" s="186"/>
      <c r="L301" s="186"/>
      <c r="M301" s="186"/>
      <c r="N301" s="186"/>
      <c r="O301" s="916"/>
      <c r="P301" s="916"/>
      <c r="Q301" s="916"/>
      <c r="R301" s="916"/>
      <c r="S301" s="916"/>
      <c r="T301" s="916"/>
      <c r="U301" s="916"/>
      <c r="V301" s="916"/>
      <c r="W301" s="916"/>
      <c r="X301" s="916"/>
      <c r="Y301" s="916"/>
      <c r="Z301" s="916"/>
      <c r="AA301" s="916"/>
      <c r="AB301" s="916"/>
      <c r="AC301" s="916"/>
      <c r="AD301" s="916"/>
      <c r="AE301" s="916"/>
      <c r="AF301" s="916"/>
      <c r="AG301" s="916"/>
      <c r="AH301" s="186"/>
      <c r="AI301" s="186"/>
      <c r="AJ301" s="916"/>
      <c r="AK301" s="916"/>
      <c r="AL301" s="916"/>
      <c r="AM301" s="916"/>
      <c r="AN301" s="916"/>
      <c r="AO301" s="916"/>
      <c r="AP301" s="916"/>
      <c r="AQ301" s="916"/>
      <c r="AR301" s="916"/>
      <c r="AS301" s="916"/>
      <c r="AT301" s="186"/>
      <c r="AU301" s="186"/>
      <c r="AV301" s="186"/>
      <c r="AW301" s="186"/>
      <c r="AX301" s="186"/>
      <c r="AY301" s="186"/>
      <c r="AZ301" s="186"/>
      <c r="BA301" s="186"/>
      <c r="BB301" s="186"/>
      <c r="BC301" s="186"/>
      <c r="BD301" s="186"/>
      <c r="BE301" s="186"/>
      <c r="BF301" s="186"/>
      <c r="BG301" s="186"/>
      <c r="BH301" s="186"/>
      <c r="BI301" s="186"/>
      <c r="BJ301" s="186"/>
      <c r="BK301" s="186"/>
      <c r="BL301" s="186"/>
      <c r="BM301" s="186"/>
      <c r="BN301" s="186"/>
      <c r="BO301" s="186"/>
      <c r="BP301" s="186"/>
      <c r="BQ301" s="186"/>
      <c r="BR301" s="186"/>
      <c r="BS301" s="186"/>
      <c r="BT301" s="186"/>
      <c r="BU301" s="186"/>
      <c r="BV301" s="186"/>
      <c r="BW301" s="186"/>
      <c r="BX301" s="186"/>
      <c r="BY301" s="186"/>
      <c r="BZ301" s="186"/>
      <c r="CA301" s="186"/>
      <c r="CB301" s="186"/>
      <c r="CC301" s="186"/>
      <c r="CD301" s="186"/>
      <c r="CE301" s="186"/>
      <c r="CF301" s="186"/>
      <c r="CG301" s="186"/>
    </row>
    <row r="302" spans="1:85">
      <c r="A302" s="186"/>
      <c r="B302" s="916"/>
      <c r="C302" s="916"/>
      <c r="D302" s="916"/>
      <c r="E302" s="916"/>
      <c r="F302" s="916"/>
      <c r="G302" s="916"/>
      <c r="H302" s="916"/>
      <c r="I302" s="916"/>
      <c r="J302" s="916"/>
      <c r="K302" s="186"/>
      <c r="L302" s="186"/>
      <c r="M302" s="186"/>
      <c r="N302" s="186"/>
      <c r="O302" s="916"/>
      <c r="P302" s="916"/>
      <c r="Q302" s="916"/>
      <c r="R302" s="916"/>
      <c r="S302" s="916"/>
      <c r="T302" s="916"/>
      <c r="U302" s="916"/>
      <c r="V302" s="916"/>
      <c r="W302" s="916"/>
      <c r="X302" s="916"/>
      <c r="Y302" s="916"/>
      <c r="Z302" s="916"/>
      <c r="AA302" s="916"/>
      <c r="AB302" s="916"/>
      <c r="AC302" s="916"/>
      <c r="AD302" s="916"/>
      <c r="AE302" s="916"/>
      <c r="AF302" s="916"/>
      <c r="AG302" s="916"/>
      <c r="AH302" s="186"/>
      <c r="AI302" s="186"/>
      <c r="AJ302" s="916"/>
      <c r="AK302" s="916"/>
      <c r="AL302" s="916"/>
      <c r="AM302" s="916"/>
      <c r="AN302" s="916"/>
      <c r="AO302" s="916"/>
      <c r="AP302" s="916"/>
      <c r="AQ302" s="916"/>
      <c r="AR302" s="916"/>
      <c r="AS302" s="916"/>
      <c r="AT302" s="186"/>
      <c r="AU302" s="186"/>
      <c r="AV302" s="186"/>
      <c r="AW302" s="186"/>
      <c r="AX302" s="186"/>
      <c r="AY302" s="186"/>
      <c r="AZ302" s="186"/>
      <c r="BA302" s="186"/>
      <c r="BB302" s="186"/>
      <c r="BC302" s="186"/>
      <c r="BD302" s="186"/>
      <c r="BE302" s="186"/>
      <c r="BF302" s="186"/>
      <c r="BG302" s="186"/>
      <c r="BH302" s="186"/>
      <c r="BI302" s="186"/>
      <c r="BJ302" s="186"/>
      <c r="BK302" s="186"/>
      <c r="BL302" s="186"/>
      <c r="BM302" s="186"/>
      <c r="BN302" s="186"/>
      <c r="BO302" s="186"/>
      <c r="BP302" s="186"/>
      <c r="BQ302" s="186"/>
      <c r="BR302" s="186"/>
      <c r="BS302" s="186"/>
      <c r="BT302" s="186"/>
      <c r="BU302" s="186"/>
      <c r="BV302" s="186"/>
      <c r="BW302" s="186"/>
      <c r="BX302" s="186"/>
      <c r="BY302" s="186"/>
      <c r="BZ302" s="186"/>
      <c r="CA302" s="186"/>
      <c r="CB302" s="186"/>
      <c r="CC302" s="186"/>
      <c r="CD302" s="186"/>
      <c r="CE302" s="186"/>
      <c r="CF302" s="186"/>
      <c r="CG302" s="186"/>
    </row>
    <row r="303" spans="1:85">
      <c r="A303" s="186"/>
      <c r="B303" s="916"/>
      <c r="C303" s="916"/>
      <c r="D303" s="916"/>
      <c r="E303" s="916"/>
      <c r="F303" s="916"/>
      <c r="G303" s="916"/>
      <c r="H303" s="916"/>
      <c r="I303" s="916"/>
      <c r="J303" s="916"/>
      <c r="K303" s="186"/>
      <c r="L303" s="186"/>
      <c r="M303" s="186"/>
      <c r="N303" s="186"/>
      <c r="O303" s="916"/>
      <c r="P303" s="916"/>
      <c r="Q303" s="916"/>
      <c r="R303" s="916"/>
      <c r="S303" s="916"/>
      <c r="T303" s="916"/>
      <c r="U303" s="916"/>
      <c r="V303" s="916"/>
      <c r="W303" s="916"/>
      <c r="X303" s="916"/>
      <c r="Y303" s="916"/>
      <c r="Z303" s="916"/>
      <c r="AA303" s="916"/>
      <c r="AB303" s="916"/>
      <c r="AC303" s="916"/>
      <c r="AD303" s="916"/>
      <c r="AE303" s="916"/>
      <c r="AF303" s="916"/>
      <c r="AG303" s="916"/>
      <c r="AH303" s="186"/>
      <c r="AI303" s="186"/>
      <c r="AJ303" s="916"/>
      <c r="AK303" s="916"/>
      <c r="AL303" s="916"/>
      <c r="AM303" s="916"/>
      <c r="AN303" s="916"/>
      <c r="AO303" s="916"/>
      <c r="AP303" s="916"/>
      <c r="AQ303" s="916"/>
      <c r="AR303" s="916"/>
      <c r="AS303" s="916"/>
      <c r="AT303" s="186"/>
      <c r="AU303" s="186"/>
      <c r="AV303" s="186"/>
      <c r="AW303" s="186"/>
      <c r="AX303" s="186"/>
      <c r="AY303" s="186"/>
      <c r="AZ303" s="186"/>
      <c r="BA303" s="186"/>
      <c r="BB303" s="186"/>
      <c r="BC303" s="186"/>
      <c r="BD303" s="186"/>
      <c r="BE303" s="186"/>
      <c r="BF303" s="186"/>
      <c r="BG303" s="186"/>
      <c r="BH303" s="186"/>
      <c r="BI303" s="186"/>
      <c r="BJ303" s="186"/>
      <c r="BK303" s="186"/>
      <c r="BL303" s="186"/>
      <c r="BM303" s="186"/>
      <c r="BN303" s="186"/>
      <c r="BO303" s="186"/>
      <c r="BP303" s="186"/>
      <c r="BQ303" s="186"/>
      <c r="BR303" s="186"/>
      <c r="BS303" s="186"/>
      <c r="BT303" s="186"/>
      <c r="BU303" s="186"/>
      <c r="BV303" s="186"/>
      <c r="BW303" s="186"/>
      <c r="BX303" s="186"/>
      <c r="BY303" s="186"/>
      <c r="BZ303" s="186"/>
      <c r="CA303" s="186"/>
      <c r="CB303" s="186"/>
      <c r="CC303" s="186"/>
      <c r="CD303" s="186"/>
      <c r="CE303" s="186"/>
      <c r="CF303" s="186"/>
      <c r="CG303" s="186"/>
    </row>
    <row r="304" spans="1:85">
      <c r="A304" s="186"/>
      <c r="B304" s="916"/>
      <c r="C304" s="916"/>
      <c r="D304" s="916"/>
      <c r="E304" s="916"/>
      <c r="F304" s="916"/>
      <c r="G304" s="916"/>
      <c r="H304" s="916"/>
      <c r="I304" s="916"/>
      <c r="J304" s="916"/>
      <c r="K304" s="186"/>
      <c r="L304" s="186"/>
      <c r="M304" s="186"/>
      <c r="N304" s="186"/>
      <c r="O304" s="916"/>
      <c r="P304" s="916"/>
      <c r="Q304" s="916"/>
      <c r="R304" s="916"/>
      <c r="S304" s="916"/>
      <c r="T304" s="916"/>
      <c r="U304" s="916"/>
      <c r="V304" s="916"/>
      <c r="W304" s="916"/>
      <c r="X304" s="916"/>
      <c r="Y304" s="916"/>
      <c r="Z304" s="916"/>
      <c r="AA304" s="916"/>
      <c r="AB304" s="916"/>
      <c r="AC304" s="916"/>
      <c r="AD304" s="916"/>
      <c r="AE304" s="916"/>
      <c r="AF304" s="916"/>
      <c r="AG304" s="916"/>
      <c r="AH304" s="186"/>
      <c r="AI304" s="186"/>
      <c r="AJ304" s="916"/>
      <c r="AK304" s="916"/>
      <c r="AL304" s="916"/>
      <c r="AM304" s="916"/>
      <c r="AN304" s="916"/>
      <c r="AO304" s="916"/>
      <c r="AP304" s="916"/>
      <c r="AQ304" s="916"/>
      <c r="AR304" s="916"/>
      <c r="AS304" s="916"/>
      <c r="AT304" s="186"/>
      <c r="AU304" s="186"/>
      <c r="AV304" s="186"/>
      <c r="AW304" s="186"/>
      <c r="AX304" s="186"/>
      <c r="AY304" s="186"/>
      <c r="AZ304" s="186"/>
      <c r="BA304" s="186"/>
      <c r="BB304" s="186"/>
      <c r="BC304" s="186"/>
      <c r="BD304" s="186"/>
      <c r="BE304" s="186"/>
      <c r="BF304" s="186"/>
      <c r="BG304" s="186"/>
      <c r="BH304" s="186"/>
      <c r="BI304" s="186"/>
      <c r="BJ304" s="186"/>
      <c r="BK304" s="186"/>
      <c r="BL304" s="186"/>
      <c r="BM304" s="186"/>
      <c r="BN304" s="186"/>
      <c r="BO304" s="186"/>
      <c r="BP304" s="186"/>
      <c r="BQ304" s="186"/>
      <c r="BR304" s="186"/>
      <c r="BS304" s="186"/>
      <c r="BT304" s="186"/>
      <c r="BU304" s="186"/>
      <c r="BV304" s="186"/>
      <c r="BW304" s="186"/>
      <c r="BX304" s="186"/>
      <c r="BY304" s="186"/>
      <c r="BZ304" s="186"/>
      <c r="CA304" s="186"/>
      <c r="CB304" s="186"/>
      <c r="CC304" s="186"/>
      <c r="CD304" s="186"/>
      <c r="CE304" s="186"/>
      <c r="CF304" s="186"/>
      <c r="CG304" s="186"/>
    </row>
    <row r="305" spans="1:85">
      <c r="A305" s="186"/>
      <c r="B305" s="916"/>
      <c r="C305" s="916"/>
      <c r="D305" s="916"/>
      <c r="E305" s="916"/>
      <c r="F305" s="916"/>
      <c r="G305" s="916"/>
      <c r="H305" s="916"/>
      <c r="I305" s="916"/>
      <c r="J305" s="916"/>
      <c r="K305" s="186"/>
      <c r="L305" s="186"/>
      <c r="M305" s="186"/>
      <c r="N305" s="186"/>
      <c r="O305" s="916"/>
      <c r="P305" s="916"/>
      <c r="Q305" s="916"/>
      <c r="R305" s="916"/>
      <c r="S305" s="916"/>
      <c r="T305" s="916"/>
      <c r="U305" s="916"/>
      <c r="V305" s="916"/>
      <c r="W305" s="916"/>
      <c r="X305" s="916"/>
      <c r="Y305" s="916"/>
      <c r="Z305" s="916"/>
      <c r="AA305" s="916"/>
      <c r="AB305" s="916"/>
      <c r="AC305" s="916"/>
      <c r="AD305" s="916"/>
      <c r="AE305" s="916"/>
      <c r="AF305" s="916"/>
      <c r="AG305" s="916"/>
      <c r="AH305" s="186"/>
      <c r="AI305" s="186"/>
      <c r="AJ305" s="916"/>
      <c r="AK305" s="916"/>
      <c r="AL305" s="916"/>
      <c r="AM305" s="916"/>
      <c r="AN305" s="916"/>
      <c r="AO305" s="916"/>
      <c r="AP305" s="916"/>
      <c r="AQ305" s="916"/>
      <c r="AR305" s="916"/>
      <c r="AS305" s="916"/>
      <c r="AT305" s="186"/>
      <c r="AU305" s="186"/>
      <c r="AV305" s="186"/>
      <c r="AW305" s="186"/>
      <c r="AX305" s="186"/>
      <c r="AY305" s="186"/>
      <c r="AZ305" s="186"/>
      <c r="BA305" s="186"/>
      <c r="BB305" s="186"/>
      <c r="BC305" s="186"/>
      <c r="BD305" s="186"/>
      <c r="BE305" s="186"/>
      <c r="BF305" s="186"/>
      <c r="BG305" s="186"/>
      <c r="BH305" s="186"/>
      <c r="BI305" s="186"/>
      <c r="BJ305" s="186"/>
      <c r="BK305" s="186"/>
      <c r="BL305" s="186"/>
      <c r="BM305" s="186"/>
      <c r="BN305" s="186"/>
      <c r="BO305" s="186"/>
      <c r="BP305" s="186"/>
      <c r="BQ305" s="186"/>
      <c r="BR305" s="186"/>
      <c r="BS305" s="186"/>
      <c r="BT305" s="186"/>
      <c r="BU305" s="186"/>
      <c r="BV305" s="186"/>
      <c r="BW305" s="186"/>
      <c r="BX305" s="186"/>
      <c r="BY305" s="186"/>
      <c r="BZ305" s="186"/>
      <c r="CA305" s="186"/>
      <c r="CB305" s="186"/>
      <c r="CC305" s="186"/>
      <c r="CD305" s="186"/>
      <c r="CE305" s="186"/>
      <c r="CF305" s="186"/>
      <c r="CG305" s="186"/>
    </row>
    <row r="306" spans="1:85">
      <c r="A306" s="186"/>
      <c r="B306" s="916"/>
      <c r="C306" s="916"/>
      <c r="D306" s="916"/>
      <c r="E306" s="916"/>
      <c r="F306" s="916"/>
      <c r="G306" s="916"/>
      <c r="H306" s="916"/>
      <c r="I306" s="916"/>
      <c r="J306" s="916"/>
      <c r="K306" s="186"/>
      <c r="L306" s="186"/>
      <c r="M306" s="186"/>
      <c r="N306" s="186"/>
      <c r="O306" s="916"/>
      <c r="P306" s="916"/>
      <c r="Q306" s="916"/>
      <c r="R306" s="916"/>
      <c r="S306" s="916"/>
      <c r="T306" s="916"/>
      <c r="U306" s="916"/>
      <c r="V306" s="916"/>
      <c r="W306" s="916"/>
      <c r="X306" s="916"/>
      <c r="Y306" s="916"/>
      <c r="Z306" s="916"/>
      <c r="AA306" s="916"/>
      <c r="AB306" s="916"/>
      <c r="AC306" s="916"/>
      <c r="AD306" s="916"/>
      <c r="AE306" s="916"/>
      <c r="AF306" s="916"/>
      <c r="AG306" s="916"/>
      <c r="AH306" s="186"/>
      <c r="AI306" s="186"/>
      <c r="AJ306" s="916"/>
      <c r="AK306" s="916"/>
      <c r="AL306" s="916"/>
      <c r="AM306" s="916"/>
      <c r="AN306" s="916"/>
      <c r="AO306" s="916"/>
      <c r="AP306" s="916"/>
      <c r="AQ306" s="916"/>
      <c r="AR306" s="916"/>
      <c r="AS306" s="916"/>
      <c r="AT306" s="186"/>
      <c r="AU306" s="186"/>
      <c r="AV306" s="186"/>
      <c r="AW306" s="186"/>
      <c r="AX306" s="186"/>
      <c r="AY306" s="186"/>
      <c r="AZ306" s="186"/>
      <c r="BA306" s="186"/>
      <c r="BB306" s="186"/>
      <c r="BC306" s="186"/>
      <c r="BD306" s="186"/>
      <c r="BE306" s="186"/>
      <c r="BF306" s="186"/>
      <c r="BG306" s="186"/>
      <c r="BH306" s="186"/>
      <c r="BI306" s="186"/>
      <c r="BJ306" s="186"/>
      <c r="BK306" s="186"/>
      <c r="BL306" s="186"/>
      <c r="BM306" s="186"/>
      <c r="BN306" s="186"/>
      <c r="BO306" s="186"/>
      <c r="BP306" s="186"/>
      <c r="BQ306" s="186"/>
      <c r="BR306" s="186"/>
      <c r="BS306" s="186"/>
      <c r="BT306" s="186"/>
      <c r="BU306" s="186"/>
      <c r="BV306" s="186"/>
      <c r="BW306" s="186"/>
      <c r="BX306" s="186"/>
      <c r="BY306" s="186"/>
      <c r="BZ306" s="186"/>
      <c r="CA306" s="186"/>
      <c r="CB306" s="186"/>
      <c r="CC306" s="186"/>
      <c r="CD306" s="186"/>
      <c r="CE306" s="186"/>
      <c r="CF306" s="186"/>
      <c r="CG306" s="186"/>
    </row>
    <row r="307" spans="1:85">
      <c r="A307" s="186"/>
      <c r="B307" s="916"/>
      <c r="C307" s="916"/>
      <c r="D307" s="916"/>
      <c r="E307" s="916"/>
      <c r="F307" s="916"/>
      <c r="G307" s="916"/>
      <c r="H307" s="916"/>
      <c r="I307" s="916"/>
      <c r="J307" s="916"/>
      <c r="K307" s="186"/>
      <c r="L307" s="186"/>
      <c r="M307" s="186"/>
      <c r="N307" s="186"/>
      <c r="O307" s="916"/>
      <c r="P307" s="916"/>
      <c r="Q307" s="916"/>
      <c r="R307" s="916"/>
      <c r="S307" s="916"/>
      <c r="T307" s="916"/>
      <c r="U307" s="916"/>
      <c r="V307" s="916"/>
      <c r="W307" s="916"/>
      <c r="X307" s="916"/>
      <c r="Y307" s="916"/>
      <c r="Z307" s="916"/>
      <c r="AA307" s="916"/>
      <c r="AB307" s="916"/>
      <c r="AC307" s="916"/>
      <c r="AD307" s="916"/>
      <c r="AE307" s="916"/>
      <c r="AF307" s="916"/>
      <c r="AG307" s="916"/>
      <c r="AH307" s="186"/>
      <c r="AI307" s="186"/>
      <c r="AJ307" s="916"/>
      <c r="AK307" s="916"/>
      <c r="AL307" s="916"/>
      <c r="AM307" s="916"/>
      <c r="AN307" s="916"/>
      <c r="AO307" s="916"/>
      <c r="AP307" s="916"/>
      <c r="AQ307" s="916"/>
      <c r="AR307" s="916"/>
      <c r="AS307" s="916"/>
      <c r="AT307" s="186"/>
      <c r="AU307" s="186"/>
      <c r="AV307" s="186"/>
      <c r="AW307" s="186"/>
      <c r="AX307" s="186"/>
      <c r="AY307" s="186"/>
      <c r="AZ307" s="186"/>
      <c r="BA307" s="186"/>
      <c r="BB307" s="186"/>
      <c r="BC307" s="186"/>
      <c r="BD307" s="186"/>
      <c r="BE307" s="186"/>
      <c r="BF307" s="186"/>
      <c r="BG307" s="186"/>
      <c r="BH307" s="186"/>
      <c r="BI307" s="186"/>
      <c r="BJ307" s="186"/>
      <c r="BK307" s="186"/>
      <c r="BL307" s="186"/>
      <c r="BM307" s="186"/>
      <c r="BN307" s="186"/>
      <c r="BO307" s="186"/>
      <c r="BP307" s="186"/>
      <c r="BQ307" s="186"/>
      <c r="BR307" s="186"/>
      <c r="BS307" s="186"/>
      <c r="BT307" s="186"/>
      <c r="BU307" s="186"/>
      <c r="BV307" s="186"/>
      <c r="BW307" s="186"/>
      <c r="BX307" s="186"/>
      <c r="BY307" s="186"/>
      <c r="BZ307" s="186"/>
      <c r="CA307" s="186"/>
      <c r="CB307" s="186"/>
      <c r="CC307" s="186"/>
      <c r="CD307" s="186"/>
      <c r="CE307" s="186"/>
      <c r="CF307" s="186"/>
      <c r="CG307" s="186"/>
    </row>
    <row r="308" spans="1:85">
      <c r="A308" s="186"/>
      <c r="B308" s="916"/>
      <c r="C308" s="916"/>
      <c r="D308" s="916"/>
      <c r="E308" s="916"/>
      <c r="F308" s="916"/>
      <c r="G308" s="916"/>
      <c r="H308" s="916"/>
      <c r="I308" s="916"/>
      <c r="J308" s="916"/>
      <c r="K308" s="186"/>
      <c r="L308" s="186"/>
      <c r="M308" s="186"/>
      <c r="N308" s="186"/>
      <c r="O308" s="916"/>
      <c r="P308" s="916"/>
      <c r="Q308" s="916"/>
      <c r="R308" s="916"/>
      <c r="S308" s="916"/>
      <c r="T308" s="916"/>
      <c r="U308" s="916"/>
      <c r="V308" s="916"/>
      <c r="W308" s="916"/>
      <c r="X308" s="916"/>
      <c r="Y308" s="916"/>
      <c r="Z308" s="916"/>
      <c r="AA308" s="916"/>
      <c r="AB308" s="916"/>
      <c r="AC308" s="916"/>
      <c r="AD308" s="916"/>
      <c r="AE308" s="916"/>
      <c r="AF308" s="916"/>
      <c r="AG308" s="916"/>
      <c r="AH308" s="186"/>
      <c r="AI308" s="186"/>
      <c r="AJ308" s="916"/>
      <c r="AK308" s="916"/>
      <c r="AL308" s="916"/>
      <c r="AM308" s="916"/>
      <c r="AN308" s="916"/>
      <c r="AO308" s="916"/>
      <c r="AP308" s="916"/>
      <c r="AQ308" s="916"/>
      <c r="AR308" s="916"/>
      <c r="AS308" s="916"/>
      <c r="AT308" s="186"/>
      <c r="AU308" s="186"/>
      <c r="AV308" s="186"/>
      <c r="AW308" s="186"/>
      <c r="AX308" s="186"/>
      <c r="AY308" s="186"/>
      <c r="AZ308" s="186"/>
      <c r="BA308" s="186"/>
      <c r="BB308" s="186"/>
      <c r="BC308" s="186"/>
      <c r="BD308" s="186"/>
      <c r="BE308" s="186"/>
      <c r="BF308" s="186"/>
      <c r="BG308" s="186"/>
      <c r="BH308" s="186"/>
      <c r="BI308" s="186"/>
      <c r="BJ308" s="186"/>
      <c r="BK308" s="186"/>
      <c r="BL308" s="186"/>
      <c r="BM308" s="186"/>
      <c r="BN308" s="186"/>
      <c r="BO308" s="186"/>
      <c r="BP308" s="186"/>
      <c r="BQ308" s="186"/>
      <c r="BR308" s="186"/>
      <c r="BS308" s="186"/>
      <c r="BT308" s="186"/>
      <c r="BU308" s="186"/>
      <c r="BV308" s="186"/>
      <c r="BW308" s="186"/>
      <c r="BX308" s="186"/>
      <c r="BY308" s="186"/>
      <c r="BZ308" s="186"/>
      <c r="CA308" s="186"/>
      <c r="CB308" s="186"/>
      <c r="CC308" s="186"/>
      <c r="CD308" s="186"/>
      <c r="CE308" s="186"/>
      <c r="CF308" s="186"/>
      <c r="CG308" s="186"/>
    </row>
    <row r="309" spans="1:85">
      <c r="A309" s="186"/>
      <c r="B309" s="916"/>
      <c r="C309" s="916"/>
      <c r="D309" s="916"/>
      <c r="E309" s="916"/>
      <c r="F309" s="916"/>
      <c r="G309" s="916"/>
      <c r="H309" s="916"/>
      <c r="I309" s="916"/>
      <c r="J309" s="916"/>
      <c r="K309" s="186"/>
      <c r="L309" s="186"/>
      <c r="M309" s="186"/>
      <c r="N309" s="186"/>
      <c r="O309" s="916"/>
      <c r="P309" s="916"/>
      <c r="Q309" s="916"/>
      <c r="R309" s="916"/>
      <c r="S309" s="916"/>
      <c r="T309" s="916"/>
      <c r="U309" s="916"/>
      <c r="V309" s="916"/>
      <c r="W309" s="916"/>
      <c r="X309" s="916"/>
      <c r="Y309" s="916"/>
      <c r="Z309" s="916"/>
      <c r="AA309" s="916"/>
      <c r="AB309" s="916"/>
      <c r="AC309" s="916"/>
      <c r="AD309" s="916"/>
      <c r="AE309" s="916"/>
      <c r="AF309" s="916"/>
      <c r="AG309" s="916"/>
      <c r="AH309" s="186"/>
      <c r="AI309" s="186"/>
      <c r="AJ309" s="916"/>
      <c r="AK309" s="916"/>
      <c r="AL309" s="916"/>
      <c r="AM309" s="916"/>
      <c r="AN309" s="916"/>
      <c r="AO309" s="916"/>
      <c r="AP309" s="916"/>
      <c r="AQ309" s="916"/>
      <c r="AR309" s="916"/>
      <c r="AS309" s="916"/>
      <c r="AT309" s="186"/>
      <c r="AU309" s="186"/>
      <c r="AV309" s="186"/>
      <c r="AW309" s="186"/>
      <c r="AX309" s="186"/>
      <c r="AY309" s="186"/>
      <c r="AZ309" s="186"/>
      <c r="BA309" s="186"/>
      <c r="BB309" s="186"/>
      <c r="BC309" s="186"/>
      <c r="BD309" s="186"/>
      <c r="BE309" s="186"/>
      <c r="BF309" s="186"/>
      <c r="BG309" s="186"/>
      <c r="BH309" s="186"/>
      <c r="BI309" s="186"/>
      <c r="BJ309" s="186"/>
      <c r="BK309" s="186"/>
      <c r="BL309" s="186"/>
      <c r="BM309" s="186"/>
      <c r="BN309" s="186"/>
      <c r="BO309" s="186"/>
      <c r="BP309" s="186"/>
      <c r="BQ309" s="186"/>
      <c r="BR309" s="186"/>
      <c r="BS309" s="186"/>
      <c r="BT309" s="186"/>
      <c r="BU309" s="186"/>
      <c r="BV309" s="186"/>
      <c r="BW309" s="186"/>
      <c r="BX309" s="186"/>
      <c r="BY309" s="186"/>
      <c r="BZ309" s="186"/>
      <c r="CA309" s="186"/>
      <c r="CB309" s="186"/>
      <c r="CC309" s="186"/>
      <c r="CD309" s="186"/>
      <c r="CE309" s="186"/>
      <c r="CF309" s="186"/>
      <c r="CG309" s="186"/>
    </row>
    <row r="310" spans="1:85">
      <c r="A310" s="186"/>
      <c r="B310" s="916"/>
      <c r="C310" s="916"/>
      <c r="D310" s="916"/>
      <c r="E310" s="916"/>
      <c r="F310" s="916"/>
      <c r="G310" s="916"/>
      <c r="H310" s="916"/>
      <c r="I310" s="916"/>
      <c r="J310" s="916"/>
      <c r="K310" s="186"/>
      <c r="L310" s="186"/>
      <c r="M310" s="186"/>
      <c r="N310" s="186"/>
      <c r="O310" s="916"/>
      <c r="P310" s="916"/>
      <c r="Q310" s="916"/>
      <c r="R310" s="916"/>
      <c r="S310" s="916"/>
      <c r="T310" s="916"/>
      <c r="U310" s="916"/>
      <c r="V310" s="916"/>
      <c r="W310" s="916"/>
      <c r="X310" s="916"/>
      <c r="Y310" s="916"/>
      <c r="Z310" s="916"/>
      <c r="AA310" s="916"/>
      <c r="AB310" s="916"/>
      <c r="AC310" s="916"/>
      <c r="AD310" s="916"/>
      <c r="AE310" s="916"/>
      <c r="AF310" s="916"/>
      <c r="AG310" s="916"/>
      <c r="AH310" s="186"/>
      <c r="AI310" s="186"/>
      <c r="AJ310" s="916"/>
      <c r="AK310" s="916"/>
      <c r="AL310" s="916"/>
      <c r="AM310" s="916"/>
      <c r="AN310" s="916"/>
      <c r="AO310" s="916"/>
      <c r="AP310" s="916"/>
      <c r="AQ310" s="916"/>
      <c r="AR310" s="916"/>
      <c r="AS310" s="916"/>
      <c r="AT310" s="186"/>
      <c r="AU310" s="186"/>
      <c r="AV310" s="186"/>
      <c r="AW310" s="186"/>
      <c r="AX310" s="186"/>
      <c r="AY310" s="186"/>
      <c r="AZ310" s="186"/>
      <c r="BA310" s="186"/>
      <c r="BB310" s="186"/>
      <c r="BC310" s="186"/>
      <c r="BD310" s="186"/>
      <c r="BE310" s="186"/>
      <c r="BF310" s="186"/>
      <c r="BG310" s="186"/>
      <c r="BH310" s="186"/>
      <c r="BI310" s="186"/>
      <c r="BJ310" s="186"/>
      <c r="BK310" s="186"/>
      <c r="BL310" s="186"/>
      <c r="BM310" s="186"/>
      <c r="BN310" s="186"/>
      <c r="BO310" s="186"/>
      <c r="BP310" s="186"/>
      <c r="BQ310" s="186"/>
      <c r="BR310" s="186"/>
      <c r="BS310" s="186"/>
      <c r="BT310" s="186"/>
      <c r="BU310" s="186"/>
      <c r="BV310" s="186"/>
      <c r="BW310" s="186"/>
      <c r="BX310" s="186"/>
      <c r="BY310" s="186"/>
      <c r="BZ310" s="186"/>
      <c r="CA310" s="186"/>
      <c r="CB310" s="186"/>
      <c r="CC310" s="186"/>
      <c r="CD310" s="186"/>
      <c r="CE310" s="186"/>
      <c r="CF310" s="186"/>
      <c r="CG310" s="186"/>
    </row>
    <row r="311" spans="1:85">
      <c r="A311" s="186"/>
      <c r="B311" s="916"/>
      <c r="C311" s="916"/>
      <c r="D311" s="916"/>
      <c r="E311" s="916"/>
      <c r="F311" s="916"/>
      <c r="G311" s="916"/>
      <c r="H311" s="916"/>
      <c r="I311" s="916"/>
      <c r="J311" s="916"/>
      <c r="K311" s="186"/>
      <c r="L311" s="186"/>
      <c r="M311" s="186"/>
      <c r="N311" s="186"/>
      <c r="O311" s="916"/>
      <c r="P311" s="916"/>
      <c r="Q311" s="916"/>
      <c r="R311" s="916"/>
      <c r="S311" s="916"/>
      <c r="T311" s="916"/>
      <c r="U311" s="916"/>
      <c r="V311" s="916"/>
      <c r="W311" s="916"/>
      <c r="X311" s="916"/>
      <c r="Y311" s="916"/>
      <c r="Z311" s="916"/>
      <c r="AA311" s="916"/>
      <c r="AB311" s="916"/>
      <c r="AC311" s="916"/>
      <c r="AD311" s="916"/>
      <c r="AE311" s="916"/>
      <c r="AF311" s="916"/>
      <c r="AG311" s="916"/>
      <c r="AH311" s="186"/>
      <c r="AI311" s="186"/>
      <c r="AJ311" s="916"/>
      <c r="AK311" s="916"/>
      <c r="AL311" s="916"/>
      <c r="AM311" s="916"/>
      <c r="AN311" s="916"/>
      <c r="AO311" s="916"/>
      <c r="AP311" s="916"/>
      <c r="AQ311" s="916"/>
      <c r="AR311" s="916"/>
      <c r="AS311" s="916"/>
      <c r="AT311" s="186"/>
      <c r="AU311" s="186"/>
      <c r="AV311" s="186"/>
      <c r="AW311" s="186"/>
      <c r="AX311" s="186"/>
      <c r="AY311" s="186"/>
      <c r="AZ311" s="186"/>
      <c r="BA311" s="186"/>
      <c r="BB311" s="186"/>
      <c r="BC311" s="186"/>
      <c r="BD311" s="186"/>
      <c r="BE311" s="186"/>
      <c r="BF311" s="186"/>
      <c r="BG311" s="186"/>
      <c r="BH311" s="186"/>
      <c r="BI311" s="186"/>
      <c r="BJ311" s="186"/>
      <c r="BK311" s="186"/>
      <c r="BL311" s="186"/>
      <c r="BM311" s="186"/>
      <c r="BN311" s="186"/>
      <c r="BO311" s="186"/>
      <c r="BP311" s="186"/>
      <c r="BQ311" s="186"/>
      <c r="BR311" s="186"/>
      <c r="BS311" s="186"/>
      <c r="BT311" s="186"/>
      <c r="BU311" s="186"/>
      <c r="BV311" s="186"/>
      <c r="BW311" s="186"/>
      <c r="BX311" s="186"/>
      <c r="BY311" s="186"/>
      <c r="BZ311" s="186"/>
      <c r="CA311" s="186"/>
      <c r="CB311" s="186"/>
      <c r="CC311" s="186"/>
      <c r="CD311" s="186"/>
      <c r="CE311" s="186"/>
      <c r="CF311" s="186"/>
      <c r="CG311" s="186"/>
    </row>
    <row r="312" spans="1:85">
      <c r="A312" s="186"/>
      <c r="B312" s="916"/>
      <c r="C312" s="916"/>
      <c r="D312" s="916"/>
      <c r="E312" s="916"/>
      <c r="F312" s="916"/>
      <c r="G312" s="916"/>
      <c r="H312" s="916"/>
      <c r="I312" s="916"/>
      <c r="J312" s="916"/>
      <c r="K312" s="186"/>
      <c r="L312" s="186"/>
      <c r="M312" s="186"/>
      <c r="N312" s="186"/>
      <c r="O312" s="916"/>
      <c r="P312" s="916"/>
      <c r="Q312" s="916"/>
      <c r="R312" s="916"/>
      <c r="S312" s="916"/>
      <c r="T312" s="916"/>
      <c r="U312" s="916"/>
      <c r="V312" s="916"/>
      <c r="W312" s="916"/>
      <c r="X312" s="916"/>
      <c r="Y312" s="916"/>
      <c r="Z312" s="916"/>
      <c r="AA312" s="916"/>
      <c r="AB312" s="916"/>
      <c r="AC312" s="916"/>
      <c r="AD312" s="916"/>
      <c r="AE312" s="916"/>
      <c r="AF312" s="916"/>
      <c r="AG312" s="916"/>
      <c r="AH312" s="186"/>
      <c r="AI312" s="186"/>
      <c r="AJ312" s="916"/>
      <c r="AK312" s="916"/>
      <c r="AL312" s="916"/>
      <c r="AM312" s="916"/>
      <c r="AN312" s="916"/>
      <c r="AO312" s="916"/>
      <c r="AP312" s="916"/>
      <c r="AQ312" s="916"/>
      <c r="AR312" s="916"/>
      <c r="AS312" s="916"/>
      <c r="AT312" s="186"/>
      <c r="AU312" s="186"/>
      <c r="AV312" s="186"/>
      <c r="AW312" s="186"/>
      <c r="AX312" s="186"/>
      <c r="AY312" s="186"/>
      <c r="AZ312" s="186"/>
      <c r="BA312" s="186"/>
      <c r="BB312" s="186"/>
      <c r="BC312" s="186"/>
      <c r="BD312" s="186"/>
      <c r="BE312" s="186"/>
      <c r="BF312" s="186"/>
      <c r="BG312" s="186"/>
      <c r="BH312" s="186"/>
      <c r="BI312" s="186"/>
      <c r="BJ312" s="186"/>
      <c r="BK312" s="186"/>
      <c r="BL312" s="186"/>
      <c r="BM312" s="186"/>
      <c r="BN312" s="186"/>
      <c r="BO312" s="186"/>
      <c r="BP312" s="186"/>
      <c r="BQ312" s="186"/>
      <c r="BR312" s="186"/>
      <c r="BS312" s="186"/>
      <c r="BT312" s="186"/>
      <c r="BU312" s="186"/>
      <c r="BV312" s="186"/>
      <c r="BW312" s="186"/>
      <c r="BX312" s="186"/>
      <c r="BY312" s="186"/>
      <c r="BZ312" s="186"/>
      <c r="CA312" s="186"/>
      <c r="CB312" s="186"/>
      <c r="CC312" s="186"/>
      <c r="CD312" s="186"/>
      <c r="CE312" s="186"/>
      <c r="CF312" s="186"/>
      <c r="CG312" s="186"/>
    </row>
    <row r="313" spans="1:85">
      <c r="A313" s="186"/>
      <c r="B313" s="916"/>
      <c r="C313" s="916"/>
      <c r="D313" s="916"/>
      <c r="E313" s="916"/>
      <c r="F313" s="916"/>
      <c r="G313" s="916"/>
      <c r="H313" s="916"/>
      <c r="I313" s="916"/>
      <c r="J313" s="916"/>
      <c r="K313" s="186"/>
      <c r="L313" s="186"/>
      <c r="M313" s="186"/>
      <c r="N313" s="186"/>
      <c r="O313" s="916"/>
      <c r="P313" s="916"/>
      <c r="Q313" s="916"/>
      <c r="R313" s="916"/>
      <c r="S313" s="916"/>
      <c r="T313" s="916"/>
      <c r="U313" s="916"/>
      <c r="V313" s="916"/>
      <c r="W313" s="916"/>
      <c r="X313" s="916"/>
      <c r="Y313" s="916"/>
      <c r="Z313" s="916"/>
      <c r="AA313" s="916"/>
      <c r="AB313" s="916"/>
      <c r="AC313" s="916"/>
      <c r="AD313" s="916"/>
      <c r="AE313" s="916"/>
      <c r="AF313" s="916"/>
      <c r="AG313" s="916"/>
      <c r="AH313" s="186"/>
      <c r="AI313" s="186"/>
      <c r="AJ313" s="916"/>
      <c r="AK313" s="916"/>
      <c r="AL313" s="916"/>
      <c r="AM313" s="916"/>
      <c r="AN313" s="916"/>
      <c r="AO313" s="916"/>
      <c r="AP313" s="916"/>
      <c r="AQ313" s="916"/>
      <c r="AR313" s="916"/>
      <c r="AS313" s="916"/>
      <c r="AT313" s="186"/>
      <c r="AU313" s="186"/>
      <c r="AV313" s="186"/>
      <c r="AW313" s="186"/>
      <c r="AX313" s="186"/>
      <c r="AY313" s="186"/>
      <c r="AZ313" s="186"/>
      <c r="BA313" s="186"/>
      <c r="BB313" s="186"/>
      <c r="BC313" s="186"/>
      <c r="BD313" s="186"/>
      <c r="BE313" s="186"/>
      <c r="BF313" s="186"/>
      <c r="BG313" s="186"/>
      <c r="BH313" s="186"/>
      <c r="BI313" s="186"/>
      <c r="BJ313" s="186"/>
      <c r="BK313" s="186"/>
      <c r="BL313" s="186"/>
      <c r="BM313" s="186"/>
      <c r="BN313" s="186"/>
      <c r="BO313" s="186"/>
      <c r="BP313" s="186"/>
      <c r="BQ313" s="186"/>
      <c r="BR313" s="186"/>
      <c r="BS313" s="186"/>
      <c r="BT313" s="186"/>
      <c r="BU313" s="186"/>
      <c r="BV313" s="186"/>
      <c r="BW313" s="186"/>
      <c r="BX313" s="186"/>
      <c r="BY313" s="186"/>
      <c r="BZ313" s="186"/>
      <c r="CA313" s="186"/>
      <c r="CB313" s="186"/>
      <c r="CC313" s="186"/>
      <c r="CD313" s="186"/>
      <c r="CE313" s="186"/>
      <c r="CF313" s="186"/>
      <c r="CG313" s="186"/>
    </row>
    <row r="314" spans="1:85">
      <c r="A314" s="186"/>
      <c r="B314" s="916"/>
      <c r="C314" s="916"/>
      <c r="D314" s="916"/>
      <c r="E314" s="916"/>
      <c r="F314" s="916"/>
      <c r="G314" s="916"/>
      <c r="H314" s="916"/>
      <c r="I314" s="916"/>
      <c r="J314" s="916"/>
      <c r="K314" s="186"/>
      <c r="L314" s="186"/>
      <c r="M314" s="186"/>
      <c r="N314" s="186"/>
      <c r="O314" s="916"/>
      <c r="P314" s="916"/>
      <c r="Q314" s="916"/>
      <c r="R314" s="916"/>
      <c r="S314" s="916"/>
      <c r="T314" s="916"/>
      <c r="U314" s="916"/>
      <c r="V314" s="916"/>
      <c r="W314" s="916"/>
      <c r="X314" s="916"/>
      <c r="Y314" s="916"/>
      <c r="Z314" s="916"/>
      <c r="AA314" s="916"/>
      <c r="AB314" s="916"/>
      <c r="AC314" s="916"/>
      <c r="AD314" s="916"/>
      <c r="AE314" s="916"/>
      <c r="AF314" s="916"/>
      <c r="AG314" s="916"/>
      <c r="AH314" s="186"/>
      <c r="AI314" s="186"/>
      <c r="AJ314" s="916"/>
      <c r="AK314" s="916"/>
      <c r="AL314" s="916"/>
      <c r="AM314" s="916"/>
      <c r="AN314" s="916"/>
      <c r="AO314" s="916"/>
      <c r="AP314" s="916"/>
      <c r="AQ314" s="916"/>
      <c r="AR314" s="916"/>
      <c r="AS314" s="916"/>
      <c r="AT314" s="186"/>
      <c r="AU314" s="186"/>
      <c r="AV314" s="186"/>
      <c r="AW314" s="186"/>
      <c r="AX314" s="186"/>
      <c r="AY314" s="186"/>
      <c r="AZ314" s="186"/>
      <c r="BA314" s="186"/>
      <c r="BB314" s="186"/>
      <c r="BC314" s="186"/>
      <c r="BD314" s="186"/>
      <c r="BE314" s="186"/>
      <c r="BF314" s="186"/>
      <c r="BG314" s="186"/>
      <c r="BH314" s="186"/>
      <c r="BI314" s="186"/>
      <c r="BJ314" s="186"/>
      <c r="BK314" s="186"/>
      <c r="BL314" s="186"/>
      <c r="BM314" s="186"/>
      <c r="BN314" s="186"/>
      <c r="BO314" s="186"/>
      <c r="BP314" s="186"/>
      <c r="BQ314" s="186"/>
      <c r="BR314" s="186"/>
      <c r="BS314" s="186"/>
      <c r="BT314" s="186"/>
      <c r="BU314" s="186"/>
      <c r="BV314" s="186"/>
      <c r="BW314" s="186"/>
      <c r="BX314" s="186"/>
      <c r="BY314" s="186"/>
      <c r="BZ314" s="186"/>
      <c r="CA314" s="186"/>
      <c r="CB314" s="186"/>
      <c r="CC314" s="186"/>
      <c r="CD314" s="186"/>
      <c r="CE314" s="186"/>
      <c r="CF314" s="186"/>
      <c r="CG314" s="186"/>
    </row>
    <row r="315" spans="1:85">
      <c r="A315" s="186"/>
      <c r="B315" s="916"/>
      <c r="C315" s="916"/>
      <c r="D315" s="916"/>
      <c r="E315" s="916"/>
      <c r="F315" s="916"/>
      <c r="G315" s="916"/>
      <c r="H315" s="916"/>
      <c r="I315" s="916"/>
      <c r="J315" s="916"/>
      <c r="K315" s="186"/>
      <c r="L315" s="186"/>
      <c r="M315" s="186"/>
      <c r="N315" s="186"/>
      <c r="O315" s="916"/>
      <c r="P315" s="916"/>
      <c r="Q315" s="916"/>
      <c r="R315" s="916"/>
      <c r="S315" s="916"/>
      <c r="T315" s="916"/>
      <c r="U315" s="916"/>
      <c r="V315" s="916"/>
      <c r="W315" s="916"/>
      <c r="X315" s="916"/>
      <c r="Y315" s="916"/>
      <c r="Z315" s="916"/>
      <c r="AA315" s="916"/>
      <c r="AB315" s="916"/>
      <c r="AC315" s="916"/>
      <c r="AD315" s="916"/>
      <c r="AE315" s="916"/>
      <c r="AF315" s="916"/>
      <c r="AG315" s="916"/>
      <c r="AH315" s="186"/>
      <c r="AI315" s="186"/>
      <c r="AJ315" s="916"/>
      <c r="AK315" s="916"/>
      <c r="AL315" s="916"/>
      <c r="AM315" s="916"/>
      <c r="AN315" s="916"/>
      <c r="AO315" s="916"/>
      <c r="AP315" s="916"/>
      <c r="AQ315" s="916"/>
      <c r="AR315" s="916"/>
      <c r="AS315" s="916"/>
      <c r="AT315" s="186"/>
      <c r="AU315" s="186"/>
      <c r="AV315" s="186"/>
      <c r="AW315" s="186"/>
      <c r="AX315" s="186"/>
      <c r="AY315" s="186"/>
      <c r="AZ315" s="186"/>
      <c r="BA315" s="186"/>
      <c r="BB315" s="186"/>
      <c r="BC315" s="186"/>
      <c r="BD315" s="186"/>
      <c r="BE315" s="186"/>
      <c r="BF315" s="186"/>
      <c r="BG315" s="186"/>
      <c r="BH315" s="186"/>
      <c r="BI315" s="186"/>
      <c r="BJ315" s="186"/>
      <c r="BK315" s="186"/>
      <c r="BL315" s="186"/>
      <c r="BM315" s="186"/>
      <c r="BN315" s="186"/>
      <c r="BO315" s="186"/>
      <c r="BP315" s="186"/>
      <c r="BQ315" s="186"/>
      <c r="BR315" s="186"/>
      <c r="BS315" s="186"/>
      <c r="BT315" s="186"/>
      <c r="BU315" s="186"/>
      <c r="BV315" s="186"/>
      <c r="BW315" s="186"/>
      <c r="BX315" s="186"/>
      <c r="BY315" s="186"/>
      <c r="BZ315" s="186"/>
      <c r="CA315" s="186"/>
      <c r="CB315" s="186"/>
      <c r="CC315" s="186"/>
      <c r="CD315" s="186"/>
      <c r="CE315" s="186"/>
      <c r="CF315" s="186"/>
      <c r="CG315" s="186"/>
    </row>
    <row r="316" spans="1:85">
      <c r="A316" s="186"/>
      <c r="B316" s="916"/>
      <c r="C316" s="916"/>
      <c r="D316" s="916"/>
      <c r="E316" s="916"/>
      <c r="F316" s="916"/>
      <c r="G316" s="916"/>
      <c r="H316" s="916"/>
      <c r="I316" s="916"/>
      <c r="J316" s="916"/>
      <c r="K316" s="186"/>
      <c r="L316" s="186"/>
      <c r="M316" s="186"/>
      <c r="N316" s="186"/>
      <c r="O316" s="916"/>
      <c r="P316" s="916"/>
      <c r="Q316" s="916"/>
      <c r="R316" s="916"/>
      <c r="S316" s="916"/>
      <c r="T316" s="916"/>
      <c r="U316" s="916"/>
      <c r="V316" s="916"/>
      <c r="W316" s="916"/>
      <c r="X316" s="916"/>
      <c r="Y316" s="916"/>
      <c r="Z316" s="916"/>
      <c r="AA316" s="916"/>
      <c r="AB316" s="916"/>
      <c r="AC316" s="916"/>
      <c r="AD316" s="916"/>
      <c r="AE316" s="916"/>
      <c r="AF316" s="916"/>
      <c r="AG316" s="916"/>
      <c r="AH316" s="186"/>
      <c r="AI316" s="186"/>
      <c r="AJ316" s="916"/>
      <c r="AK316" s="916"/>
      <c r="AL316" s="916"/>
      <c r="AM316" s="916"/>
      <c r="AN316" s="916"/>
      <c r="AO316" s="916"/>
      <c r="AP316" s="916"/>
      <c r="AQ316" s="916"/>
      <c r="AR316" s="916"/>
      <c r="AS316" s="916"/>
      <c r="AT316" s="186"/>
      <c r="AU316" s="186"/>
      <c r="AV316" s="186"/>
      <c r="AW316" s="186"/>
      <c r="AX316" s="186"/>
      <c r="AY316" s="186"/>
      <c r="AZ316" s="186"/>
      <c r="BA316" s="186"/>
      <c r="BB316" s="186"/>
      <c r="BC316" s="186"/>
      <c r="BD316" s="186"/>
      <c r="BE316" s="186"/>
      <c r="BF316" s="186"/>
      <c r="BG316" s="186"/>
      <c r="BH316" s="186"/>
      <c r="BI316" s="186"/>
      <c r="BJ316" s="186"/>
      <c r="BK316" s="186"/>
      <c r="BL316" s="186"/>
      <c r="BM316" s="186"/>
      <c r="BN316" s="186"/>
      <c r="BO316" s="186"/>
      <c r="BP316" s="186"/>
      <c r="BQ316" s="186"/>
      <c r="BR316" s="186"/>
      <c r="BS316" s="186"/>
      <c r="BT316" s="186"/>
      <c r="BU316" s="186"/>
      <c r="BV316" s="186"/>
      <c r="BW316" s="186"/>
      <c r="BX316" s="186"/>
      <c r="BY316" s="186"/>
      <c r="BZ316" s="186"/>
      <c r="CA316" s="186"/>
      <c r="CB316" s="186"/>
      <c r="CC316" s="186"/>
      <c r="CD316" s="186"/>
      <c r="CE316" s="186"/>
      <c r="CF316" s="186"/>
      <c r="CG316" s="186"/>
    </row>
    <row r="317" spans="1:85">
      <c r="A317" s="186"/>
      <c r="B317" s="916"/>
      <c r="C317" s="916"/>
      <c r="D317" s="916"/>
      <c r="E317" s="916"/>
      <c r="F317" s="916"/>
      <c r="G317" s="916"/>
      <c r="H317" s="916"/>
      <c r="I317" s="916"/>
      <c r="J317" s="916"/>
      <c r="K317" s="186"/>
      <c r="L317" s="186"/>
      <c r="M317" s="186"/>
      <c r="N317" s="186"/>
      <c r="O317" s="916"/>
      <c r="P317" s="916"/>
      <c r="Q317" s="916"/>
      <c r="R317" s="916"/>
      <c r="S317" s="916"/>
      <c r="T317" s="916"/>
      <c r="U317" s="916"/>
      <c r="V317" s="916"/>
      <c r="W317" s="916"/>
      <c r="X317" s="916"/>
      <c r="Y317" s="916"/>
      <c r="Z317" s="916"/>
      <c r="AA317" s="916"/>
      <c r="AB317" s="916"/>
      <c r="AC317" s="916"/>
      <c r="AD317" s="916"/>
      <c r="AE317" s="916"/>
      <c r="AF317" s="916"/>
      <c r="AG317" s="916"/>
      <c r="AH317" s="186"/>
      <c r="AI317" s="186"/>
      <c r="AJ317" s="916"/>
      <c r="AK317" s="916"/>
      <c r="AL317" s="916"/>
      <c r="AM317" s="916"/>
      <c r="AN317" s="916"/>
      <c r="AO317" s="916"/>
      <c r="AP317" s="916"/>
      <c r="AQ317" s="916"/>
      <c r="AR317" s="916"/>
      <c r="AS317" s="916"/>
      <c r="AT317" s="186"/>
      <c r="AU317" s="186"/>
      <c r="AV317" s="186"/>
      <c r="AW317" s="186"/>
      <c r="AX317" s="186"/>
      <c r="AY317" s="186"/>
      <c r="AZ317" s="186"/>
      <c r="BA317" s="186"/>
      <c r="BB317" s="186"/>
      <c r="BC317" s="186"/>
      <c r="BD317" s="186"/>
      <c r="BE317" s="186"/>
      <c r="BF317" s="186"/>
      <c r="BG317" s="186"/>
      <c r="BH317" s="186"/>
      <c r="BI317" s="186"/>
      <c r="BJ317" s="186"/>
      <c r="BK317" s="186"/>
      <c r="BL317" s="186"/>
      <c r="BM317" s="186"/>
      <c r="BN317" s="186"/>
      <c r="BO317" s="186"/>
      <c r="BP317" s="186"/>
      <c r="BQ317" s="186"/>
      <c r="BR317" s="186"/>
      <c r="BS317" s="186"/>
      <c r="BT317" s="186"/>
      <c r="BU317" s="186"/>
      <c r="BV317" s="186"/>
      <c r="BW317" s="186"/>
      <c r="BX317" s="186"/>
      <c r="BY317" s="186"/>
      <c r="BZ317" s="186"/>
      <c r="CA317" s="186"/>
      <c r="CB317" s="186"/>
      <c r="CC317" s="186"/>
      <c r="CD317" s="186"/>
      <c r="CE317" s="186"/>
      <c r="CF317" s="186"/>
      <c r="CG317" s="186"/>
    </row>
    <row r="318" spans="1:85">
      <c r="A318" s="186"/>
      <c r="B318" s="916"/>
      <c r="C318" s="916"/>
      <c r="D318" s="916"/>
      <c r="E318" s="916"/>
      <c r="F318" s="916"/>
      <c r="G318" s="916"/>
      <c r="H318" s="916"/>
      <c r="I318" s="916"/>
      <c r="J318" s="916"/>
      <c r="K318" s="186"/>
      <c r="L318" s="186"/>
      <c r="M318" s="186"/>
      <c r="N318" s="186"/>
      <c r="O318" s="916"/>
      <c r="P318" s="916"/>
      <c r="Q318" s="916"/>
      <c r="R318" s="916"/>
      <c r="S318" s="916"/>
      <c r="T318" s="916"/>
      <c r="U318" s="916"/>
      <c r="V318" s="916"/>
      <c r="W318" s="916"/>
      <c r="X318" s="916"/>
      <c r="Y318" s="916"/>
      <c r="Z318" s="916"/>
      <c r="AA318" s="916"/>
      <c r="AB318" s="916"/>
      <c r="AC318" s="916"/>
      <c r="AD318" s="916"/>
      <c r="AE318" s="916"/>
      <c r="AF318" s="916"/>
      <c r="AG318" s="916"/>
      <c r="AH318" s="186"/>
      <c r="AI318" s="186"/>
      <c r="AJ318" s="916"/>
      <c r="AK318" s="916"/>
      <c r="AL318" s="916"/>
      <c r="AM318" s="916"/>
      <c r="AN318" s="916"/>
      <c r="AO318" s="916"/>
      <c r="AP318" s="916"/>
      <c r="AQ318" s="916"/>
      <c r="AR318" s="916"/>
      <c r="AS318" s="916"/>
      <c r="AT318" s="186"/>
      <c r="AU318" s="186"/>
      <c r="AV318" s="186"/>
      <c r="AW318" s="186"/>
      <c r="AX318" s="186"/>
      <c r="AY318" s="186"/>
      <c r="AZ318" s="186"/>
      <c r="BA318" s="186"/>
      <c r="BB318" s="186"/>
      <c r="BC318" s="186"/>
      <c r="BD318" s="186"/>
      <c r="BE318" s="186"/>
      <c r="BF318" s="186"/>
      <c r="BG318" s="186"/>
      <c r="BH318" s="186"/>
      <c r="BI318" s="186"/>
      <c r="BJ318" s="186"/>
      <c r="BK318" s="186"/>
      <c r="BL318" s="186"/>
      <c r="BM318" s="186"/>
      <c r="BN318" s="186"/>
      <c r="BO318" s="186"/>
      <c r="BP318" s="186"/>
      <c r="BQ318" s="186"/>
      <c r="BR318" s="186"/>
      <c r="BS318" s="186"/>
      <c r="BT318" s="186"/>
      <c r="BU318" s="186"/>
      <c r="BV318" s="186"/>
      <c r="BW318" s="186"/>
      <c r="BX318" s="186"/>
      <c r="BY318" s="186"/>
      <c r="BZ318" s="186"/>
      <c r="CA318" s="186"/>
      <c r="CB318" s="186"/>
      <c r="CC318" s="186"/>
      <c r="CD318" s="186"/>
      <c r="CE318" s="186"/>
      <c r="CF318" s="186"/>
      <c r="CG318" s="186"/>
    </row>
    <row r="319" spans="1:85">
      <c r="A319" s="186"/>
      <c r="B319" s="916"/>
      <c r="C319" s="916"/>
      <c r="D319" s="916"/>
      <c r="E319" s="916"/>
      <c r="F319" s="916"/>
      <c r="G319" s="916"/>
      <c r="H319" s="916"/>
      <c r="I319" s="916"/>
      <c r="J319" s="916"/>
      <c r="K319" s="186"/>
      <c r="L319" s="186"/>
      <c r="M319" s="186"/>
      <c r="N319" s="186"/>
      <c r="O319" s="916"/>
      <c r="P319" s="916"/>
      <c r="Q319" s="916"/>
      <c r="R319" s="916"/>
      <c r="S319" s="916"/>
      <c r="T319" s="916"/>
      <c r="U319" s="916"/>
      <c r="V319" s="916"/>
      <c r="W319" s="916"/>
      <c r="X319" s="916"/>
      <c r="Y319" s="916"/>
      <c r="Z319" s="916"/>
      <c r="AA319" s="916"/>
      <c r="AB319" s="916"/>
      <c r="AC319" s="916"/>
      <c r="AD319" s="916"/>
      <c r="AE319" s="916"/>
      <c r="AF319" s="916"/>
      <c r="AG319" s="916"/>
      <c r="AH319" s="186"/>
      <c r="AI319" s="186"/>
      <c r="AJ319" s="916"/>
      <c r="AK319" s="916"/>
      <c r="AL319" s="916"/>
      <c r="AM319" s="916"/>
      <c r="AN319" s="916"/>
      <c r="AO319" s="916"/>
      <c r="AP319" s="916"/>
      <c r="AQ319" s="916"/>
      <c r="AR319" s="916"/>
      <c r="AS319" s="916"/>
      <c r="AT319" s="186"/>
      <c r="AU319" s="186"/>
      <c r="AV319" s="186"/>
      <c r="AW319" s="186"/>
      <c r="AX319" s="186"/>
      <c r="AY319" s="186"/>
      <c r="AZ319" s="186"/>
      <c r="BA319" s="186"/>
      <c r="BB319" s="186"/>
      <c r="BC319" s="186"/>
      <c r="BD319" s="186"/>
      <c r="BE319" s="186"/>
      <c r="BF319" s="186"/>
      <c r="BG319" s="186"/>
      <c r="BH319" s="186"/>
      <c r="BI319" s="186"/>
      <c r="BJ319" s="186"/>
      <c r="BK319" s="186"/>
      <c r="BL319" s="186"/>
      <c r="BM319" s="186"/>
      <c r="BN319" s="186"/>
      <c r="BO319" s="186"/>
      <c r="BP319" s="186"/>
      <c r="BQ319" s="186"/>
      <c r="BR319" s="186"/>
      <c r="BS319" s="186"/>
      <c r="BT319" s="186"/>
      <c r="BU319" s="186"/>
      <c r="BV319" s="186"/>
      <c r="BW319" s="186"/>
      <c r="BX319" s="186"/>
      <c r="BY319" s="186"/>
      <c r="BZ319" s="186"/>
      <c r="CA319" s="186"/>
      <c r="CB319" s="186"/>
      <c r="CC319" s="186"/>
      <c r="CD319" s="186"/>
      <c r="CE319" s="186"/>
      <c r="CF319" s="186"/>
      <c r="CG319" s="186"/>
    </row>
    <row r="320" spans="1:85">
      <c r="A320" s="186"/>
      <c r="B320" s="916"/>
      <c r="C320" s="916"/>
      <c r="D320" s="916"/>
      <c r="E320" s="916"/>
      <c r="F320" s="916"/>
      <c r="G320" s="916"/>
      <c r="H320" s="916"/>
      <c r="I320" s="916"/>
      <c r="J320" s="916"/>
      <c r="K320" s="186"/>
      <c r="L320" s="186"/>
      <c r="M320" s="186"/>
      <c r="N320" s="186"/>
      <c r="O320" s="916"/>
      <c r="P320" s="916"/>
      <c r="Q320" s="916"/>
      <c r="R320" s="916"/>
      <c r="S320" s="916"/>
      <c r="T320" s="916"/>
      <c r="U320" s="916"/>
      <c r="V320" s="916"/>
      <c r="W320" s="916"/>
      <c r="X320" s="916"/>
      <c r="Y320" s="916"/>
      <c r="Z320" s="916"/>
      <c r="AA320" s="916"/>
      <c r="AB320" s="916"/>
      <c r="AC320" s="916"/>
      <c r="AD320" s="916"/>
      <c r="AE320" s="916"/>
      <c r="AF320" s="916"/>
      <c r="AG320" s="916"/>
      <c r="AH320" s="186"/>
      <c r="AI320" s="186"/>
      <c r="AJ320" s="916"/>
      <c r="AK320" s="916"/>
      <c r="AL320" s="916"/>
      <c r="AM320" s="916"/>
      <c r="AN320" s="916"/>
      <c r="AO320" s="916"/>
      <c r="AP320" s="916"/>
      <c r="AQ320" s="916"/>
      <c r="AR320" s="916"/>
      <c r="AS320" s="916"/>
      <c r="AT320" s="186"/>
      <c r="AU320" s="186"/>
      <c r="AV320" s="186"/>
      <c r="AW320" s="186"/>
      <c r="AX320" s="186"/>
      <c r="AY320" s="186"/>
      <c r="AZ320" s="186"/>
      <c r="BA320" s="186"/>
      <c r="BB320" s="186"/>
      <c r="BC320" s="186"/>
      <c r="BD320" s="186"/>
      <c r="BE320" s="186"/>
      <c r="BF320" s="186"/>
      <c r="BG320" s="186"/>
      <c r="BH320" s="186"/>
      <c r="BI320" s="186"/>
      <c r="BJ320" s="186"/>
      <c r="BK320" s="186"/>
      <c r="BL320" s="186"/>
      <c r="BM320" s="186"/>
      <c r="BN320" s="186"/>
      <c r="BO320" s="186"/>
      <c r="BP320" s="186"/>
      <c r="BQ320" s="186"/>
      <c r="BR320" s="186"/>
      <c r="BS320" s="186"/>
      <c r="BT320" s="186"/>
      <c r="BU320" s="186"/>
      <c r="BV320" s="186"/>
      <c r="BW320" s="186"/>
      <c r="BX320" s="186"/>
      <c r="BY320" s="186"/>
      <c r="BZ320" s="186"/>
      <c r="CA320" s="186"/>
      <c r="CB320" s="186"/>
      <c r="CC320" s="186"/>
      <c r="CD320" s="186"/>
      <c r="CE320" s="186"/>
      <c r="CF320" s="186"/>
      <c r="CG320" s="186"/>
    </row>
    <row r="321" spans="1:85">
      <c r="A321" s="186"/>
      <c r="B321" s="916"/>
      <c r="C321" s="916"/>
      <c r="D321" s="916"/>
      <c r="E321" s="916"/>
      <c r="F321" s="916"/>
      <c r="G321" s="916"/>
      <c r="H321" s="916"/>
      <c r="I321" s="916"/>
      <c r="J321" s="916"/>
      <c r="K321" s="186"/>
      <c r="L321" s="186"/>
      <c r="M321" s="186"/>
      <c r="N321" s="186"/>
      <c r="O321" s="916"/>
      <c r="P321" s="916"/>
      <c r="Q321" s="916"/>
      <c r="R321" s="916"/>
      <c r="S321" s="916"/>
      <c r="T321" s="916"/>
      <c r="U321" s="916"/>
      <c r="V321" s="916"/>
      <c r="W321" s="916"/>
      <c r="X321" s="916"/>
      <c r="Y321" s="916"/>
      <c r="Z321" s="916"/>
      <c r="AA321" s="916"/>
      <c r="AB321" s="916"/>
      <c r="AC321" s="916"/>
      <c r="AD321" s="916"/>
      <c r="AE321" s="916"/>
      <c r="AF321" s="916"/>
      <c r="AG321" s="916"/>
      <c r="AH321" s="186"/>
      <c r="AI321" s="186"/>
      <c r="AJ321" s="916"/>
      <c r="AK321" s="916"/>
      <c r="AL321" s="916"/>
      <c r="AM321" s="916"/>
      <c r="AN321" s="916"/>
      <c r="AO321" s="916"/>
      <c r="AP321" s="916"/>
      <c r="AQ321" s="916"/>
      <c r="AR321" s="916"/>
      <c r="AS321" s="916"/>
      <c r="AT321" s="186"/>
      <c r="AU321" s="186"/>
      <c r="AV321" s="186"/>
      <c r="AW321" s="186"/>
      <c r="AX321" s="186"/>
      <c r="AY321" s="186"/>
      <c r="AZ321" s="186"/>
      <c r="BA321" s="186"/>
      <c r="BB321" s="186"/>
      <c r="BC321" s="186"/>
      <c r="BD321" s="186"/>
      <c r="BE321" s="186"/>
      <c r="BF321" s="186"/>
      <c r="BG321" s="186"/>
      <c r="BH321" s="186"/>
      <c r="BI321" s="186"/>
      <c r="BJ321" s="186"/>
      <c r="BK321" s="186"/>
      <c r="BL321" s="186"/>
      <c r="BM321" s="186"/>
      <c r="BN321" s="186"/>
      <c r="BO321" s="186"/>
      <c r="BP321" s="186"/>
      <c r="BQ321" s="186"/>
      <c r="BR321" s="186"/>
      <c r="BS321" s="186"/>
      <c r="BT321" s="186"/>
      <c r="BU321" s="186"/>
      <c r="BV321" s="186"/>
      <c r="BW321" s="186"/>
      <c r="BX321" s="186"/>
      <c r="BY321" s="186"/>
      <c r="BZ321" s="186"/>
      <c r="CA321" s="186"/>
      <c r="CB321" s="186"/>
      <c r="CC321" s="186"/>
      <c r="CD321" s="186"/>
      <c r="CE321" s="186"/>
      <c r="CF321" s="186"/>
      <c r="CG321" s="186"/>
    </row>
    <row r="322" spans="1:85">
      <c r="A322" s="186"/>
      <c r="B322" s="916"/>
      <c r="C322" s="916"/>
      <c r="D322" s="916"/>
      <c r="E322" s="916"/>
      <c r="F322" s="916"/>
      <c r="G322" s="916"/>
      <c r="H322" s="916"/>
      <c r="I322" s="916"/>
      <c r="J322" s="916"/>
      <c r="K322" s="186"/>
      <c r="L322" s="186"/>
      <c r="M322" s="186"/>
      <c r="N322" s="186"/>
      <c r="O322" s="916"/>
      <c r="P322" s="916"/>
      <c r="Q322" s="916"/>
      <c r="R322" s="916"/>
      <c r="S322" s="916"/>
      <c r="T322" s="916"/>
      <c r="U322" s="916"/>
      <c r="V322" s="916"/>
      <c r="W322" s="916"/>
      <c r="X322" s="916"/>
      <c r="Y322" s="916"/>
      <c r="Z322" s="916"/>
      <c r="AA322" s="916"/>
      <c r="AB322" s="916"/>
      <c r="AC322" s="916"/>
      <c r="AD322" s="916"/>
      <c r="AE322" s="916"/>
      <c r="AF322" s="916"/>
      <c r="AG322" s="916"/>
      <c r="AH322" s="186"/>
      <c r="AI322" s="186"/>
      <c r="AJ322" s="916"/>
      <c r="AK322" s="916"/>
      <c r="AL322" s="916"/>
      <c r="AM322" s="916"/>
      <c r="AN322" s="916"/>
      <c r="AO322" s="916"/>
      <c r="AP322" s="916"/>
      <c r="AQ322" s="916"/>
      <c r="AR322" s="916"/>
      <c r="AS322" s="916"/>
      <c r="AT322" s="186"/>
      <c r="AU322" s="186"/>
      <c r="AV322" s="186"/>
      <c r="AW322" s="186"/>
      <c r="AX322" s="186"/>
      <c r="AY322" s="186"/>
      <c r="AZ322" s="186"/>
      <c r="BA322" s="186"/>
      <c r="BB322" s="186"/>
      <c r="BC322" s="186"/>
      <c r="BD322" s="186"/>
      <c r="BE322" s="186"/>
      <c r="BF322" s="186"/>
      <c r="BG322" s="186"/>
      <c r="BH322" s="186"/>
      <c r="BI322" s="186"/>
      <c r="BJ322" s="186"/>
      <c r="BK322" s="186"/>
      <c r="BL322" s="186"/>
      <c r="BM322" s="186"/>
      <c r="BN322" s="186"/>
      <c r="BO322" s="186"/>
      <c r="BP322" s="186"/>
      <c r="BQ322" s="186"/>
      <c r="BR322" s="186"/>
      <c r="BS322" s="186"/>
      <c r="BT322" s="186"/>
      <c r="BU322" s="186"/>
      <c r="BV322" s="186"/>
      <c r="BW322" s="186"/>
      <c r="BX322" s="186"/>
      <c r="BY322" s="186"/>
      <c r="BZ322" s="186"/>
      <c r="CA322" s="186"/>
      <c r="CB322" s="186"/>
      <c r="CC322" s="186"/>
      <c r="CD322" s="186"/>
      <c r="CE322" s="186"/>
      <c r="CF322" s="186"/>
      <c r="CG322" s="186"/>
    </row>
    <row r="323" spans="1:85">
      <c r="A323" s="186"/>
      <c r="B323" s="916"/>
      <c r="C323" s="916"/>
      <c r="D323" s="916"/>
      <c r="E323" s="916"/>
      <c r="F323" s="916"/>
      <c r="G323" s="916"/>
      <c r="H323" s="916"/>
      <c r="I323" s="916"/>
      <c r="J323" s="916"/>
      <c r="K323" s="186"/>
      <c r="L323" s="186"/>
      <c r="M323" s="186"/>
      <c r="N323" s="186"/>
      <c r="O323" s="916"/>
      <c r="P323" s="916"/>
      <c r="Q323" s="916"/>
      <c r="R323" s="916"/>
      <c r="S323" s="916"/>
      <c r="T323" s="916"/>
      <c r="U323" s="916"/>
      <c r="V323" s="916"/>
      <c r="W323" s="916"/>
      <c r="X323" s="916"/>
      <c r="Y323" s="916"/>
      <c r="Z323" s="916"/>
      <c r="AA323" s="916"/>
      <c r="AB323" s="916"/>
      <c r="AC323" s="916"/>
      <c r="AD323" s="916"/>
      <c r="AE323" s="916"/>
      <c r="AF323" s="916"/>
      <c r="AG323" s="916"/>
      <c r="AH323" s="186"/>
      <c r="AI323" s="186"/>
      <c r="AJ323" s="916"/>
      <c r="AK323" s="916"/>
      <c r="AL323" s="916"/>
      <c r="AM323" s="916"/>
      <c r="AN323" s="916"/>
      <c r="AO323" s="916"/>
      <c r="AP323" s="916"/>
      <c r="AQ323" s="916"/>
      <c r="AR323" s="916"/>
      <c r="AS323" s="916"/>
      <c r="AT323" s="186"/>
      <c r="AU323" s="186"/>
      <c r="AV323" s="186"/>
      <c r="AW323" s="186"/>
      <c r="AX323" s="186"/>
      <c r="AY323" s="186"/>
      <c r="AZ323" s="186"/>
      <c r="BA323" s="186"/>
      <c r="BB323" s="186"/>
      <c r="BC323" s="186"/>
      <c r="BD323" s="186"/>
      <c r="BE323" s="186"/>
      <c r="BF323" s="186"/>
      <c r="BG323" s="186"/>
      <c r="BH323" s="186"/>
      <c r="BI323" s="186"/>
      <c r="BJ323" s="186"/>
      <c r="BK323" s="186"/>
      <c r="BL323" s="186"/>
      <c r="BM323" s="186"/>
      <c r="BN323" s="186"/>
      <c r="BO323" s="186"/>
      <c r="BP323" s="186"/>
      <c r="BQ323" s="186"/>
      <c r="BR323" s="186"/>
      <c r="BS323" s="186"/>
      <c r="BT323" s="186"/>
      <c r="BU323" s="186"/>
      <c r="BV323" s="186"/>
      <c r="BW323" s="186"/>
      <c r="BX323" s="186"/>
      <c r="BY323" s="186"/>
      <c r="BZ323" s="186"/>
      <c r="CA323" s="186"/>
      <c r="CB323" s="186"/>
      <c r="CC323" s="186"/>
      <c r="CD323" s="186"/>
      <c r="CE323" s="186"/>
      <c r="CF323" s="186"/>
      <c r="CG323" s="186"/>
    </row>
    <row r="324" spans="1:85">
      <c r="A324" s="186"/>
      <c r="B324" s="916"/>
      <c r="C324" s="916"/>
      <c r="D324" s="916"/>
      <c r="E324" s="916"/>
      <c r="F324" s="916"/>
      <c r="G324" s="916"/>
      <c r="H324" s="916"/>
      <c r="I324" s="916"/>
      <c r="J324" s="916"/>
      <c r="K324" s="186"/>
      <c r="L324" s="186"/>
      <c r="M324" s="186"/>
      <c r="N324" s="186"/>
      <c r="O324" s="916"/>
      <c r="P324" s="916"/>
      <c r="Q324" s="916"/>
      <c r="R324" s="916"/>
      <c r="S324" s="916"/>
      <c r="T324" s="916"/>
      <c r="U324" s="916"/>
      <c r="V324" s="916"/>
      <c r="W324" s="916"/>
      <c r="X324" s="916"/>
      <c r="Y324" s="916"/>
      <c r="Z324" s="916"/>
      <c r="AA324" s="916"/>
      <c r="AB324" s="916"/>
      <c r="AC324" s="916"/>
      <c r="AD324" s="916"/>
      <c r="AE324" s="916"/>
      <c r="AF324" s="916"/>
      <c r="AG324" s="916"/>
      <c r="AH324" s="186"/>
      <c r="AI324" s="186"/>
      <c r="AJ324" s="916"/>
      <c r="AK324" s="916"/>
      <c r="AL324" s="916"/>
      <c r="AM324" s="916"/>
      <c r="AN324" s="916"/>
      <c r="AO324" s="916"/>
      <c r="AP324" s="916"/>
      <c r="AQ324" s="916"/>
      <c r="AR324" s="916"/>
      <c r="AS324" s="916"/>
      <c r="AT324" s="186"/>
      <c r="AU324" s="186"/>
      <c r="AV324" s="186"/>
      <c r="AW324" s="186"/>
      <c r="AX324" s="186"/>
      <c r="AY324" s="186"/>
      <c r="AZ324" s="186"/>
      <c r="BA324" s="186"/>
      <c r="BB324" s="186"/>
      <c r="BC324" s="186"/>
      <c r="BD324" s="186"/>
      <c r="BE324" s="186"/>
      <c r="BF324" s="186"/>
      <c r="BG324" s="186"/>
      <c r="BH324" s="186"/>
      <c r="BI324" s="186"/>
      <c r="BJ324" s="186"/>
      <c r="BK324" s="186"/>
      <c r="BL324" s="186"/>
      <c r="BM324" s="186"/>
      <c r="BN324" s="186"/>
      <c r="BO324" s="186"/>
      <c r="BP324" s="186"/>
      <c r="BQ324" s="186"/>
      <c r="BR324" s="186"/>
      <c r="BS324" s="186"/>
      <c r="BT324" s="186"/>
      <c r="BU324" s="186"/>
      <c r="BV324" s="186"/>
      <c r="BW324" s="186"/>
      <c r="BX324" s="186"/>
      <c r="BY324" s="186"/>
      <c r="BZ324" s="186"/>
      <c r="CA324" s="186"/>
      <c r="CB324" s="186"/>
      <c r="CC324" s="186"/>
      <c r="CD324" s="186"/>
      <c r="CE324" s="186"/>
      <c r="CF324" s="186"/>
      <c r="CG324" s="186"/>
    </row>
    <row r="325" spans="1:85">
      <c r="A325" s="186"/>
      <c r="B325" s="916"/>
      <c r="C325" s="916"/>
      <c r="D325" s="916"/>
      <c r="E325" s="916"/>
      <c r="F325" s="916"/>
      <c r="G325" s="916"/>
      <c r="H325" s="916"/>
      <c r="I325" s="916"/>
      <c r="J325" s="916"/>
      <c r="K325" s="186"/>
      <c r="L325" s="186"/>
      <c r="M325" s="186"/>
      <c r="N325" s="186"/>
      <c r="O325" s="916"/>
      <c r="P325" s="916"/>
      <c r="Q325" s="916"/>
      <c r="R325" s="916"/>
      <c r="S325" s="916"/>
      <c r="T325" s="916"/>
      <c r="U325" s="916"/>
      <c r="V325" s="916"/>
      <c r="W325" s="916"/>
      <c r="X325" s="916"/>
      <c r="Y325" s="916"/>
      <c r="Z325" s="916"/>
      <c r="AA325" s="916"/>
      <c r="AB325" s="916"/>
      <c r="AC325" s="916"/>
      <c r="AD325" s="916"/>
      <c r="AE325" s="916"/>
      <c r="AF325" s="916"/>
      <c r="AG325" s="916"/>
      <c r="AH325" s="186"/>
      <c r="AI325" s="186"/>
      <c r="AJ325" s="916"/>
      <c r="AK325" s="916"/>
      <c r="AL325" s="916"/>
      <c r="AM325" s="916"/>
      <c r="AN325" s="916"/>
      <c r="AO325" s="916"/>
      <c r="AP325" s="916"/>
      <c r="AQ325" s="916"/>
      <c r="AR325" s="916"/>
      <c r="AS325" s="916"/>
      <c r="AT325" s="186"/>
      <c r="AU325" s="186"/>
      <c r="AV325" s="186"/>
      <c r="AW325" s="186"/>
      <c r="AX325" s="186"/>
      <c r="AY325" s="186"/>
      <c r="AZ325" s="186"/>
      <c r="BA325" s="186"/>
      <c r="BB325" s="186"/>
      <c r="BC325" s="186"/>
      <c r="BD325" s="186"/>
      <c r="BE325" s="186"/>
      <c r="BF325" s="186"/>
      <c r="BG325" s="186"/>
      <c r="BH325" s="186"/>
      <c r="BI325" s="186"/>
      <c r="BJ325" s="186"/>
      <c r="BK325" s="186"/>
      <c r="BL325" s="186"/>
      <c r="BM325" s="186"/>
      <c r="BN325" s="186"/>
      <c r="BO325" s="186"/>
      <c r="BP325" s="186"/>
      <c r="BQ325" s="186"/>
      <c r="BR325" s="186"/>
      <c r="BS325" s="186"/>
      <c r="BT325" s="186"/>
      <c r="BU325" s="186"/>
      <c r="BV325" s="186"/>
      <c r="BW325" s="186"/>
      <c r="BX325" s="186"/>
      <c r="BY325" s="186"/>
      <c r="BZ325" s="186"/>
      <c r="CA325" s="186"/>
      <c r="CB325" s="186"/>
      <c r="CC325" s="186"/>
      <c r="CD325" s="186"/>
      <c r="CE325" s="186"/>
      <c r="CF325" s="186"/>
      <c r="CG325" s="186"/>
    </row>
    <row r="326" spans="1:85">
      <c r="A326" s="186"/>
      <c r="B326" s="916"/>
      <c r="C326" s="916"/>
      <c r="D326" s="916"/>
      <c r="E326" s="916"/>
      <c r="F326" s="916"/>
      <c r="G326" s="916"/>
      <c r="H326" s="916"/>
      <c r="I326" s="916"/>
      <c r="J326" s="916"/>
      <c r="K326" s="186"/>
      <c r="L326" s="186"/>
      <c r="M326" s="186"/>
      <c r="N326" s="186"/>
      <c r="O326" s="916"/>
      <c r="P326" s="916"/>
      <c r="Q326" s="916"/>
      <c r="R326" s="916"/>
      <c r="S326" s="916"/>
      <c r="T326" s="916"/>
      <c r="U326" s="916"/>
      <c r="V326" s="916"/>
      <c r="W326" s="916"/>
      <c r="X326" s="916"/>
      <c r="Y326" s="916"/>
      <c r="Z326" s="916"/>
      <c r="AA326" s="916"/>
      <c r="AB326" s="916"/>
      <c r="AC326" s="916"/>
      <c r="AD326" s="916"/>
      <c r="AE326" s="916"/>
      <c r="AF326" s="916"/>
      <c r="AG326" s="916"/>
      <c r="AH326" s="186"/>
      <c r="AI326" s="186"/>
      <c r="AJ326" s="916"/>
      <c r="AK326" s="916"/>
      <c r="AL326" s="916"/>
      <c r="AM326" s="916"/>
      <c r="AN326" s="916"/>
      <c r="AO326" s="916"/>
      <c r="AP326" s="916"/>
      <c r="AQ326" s="916"/>
      <c r="AR326" s="916"/>
      <c r="AS326" s="916"/>
      <c r="AT326" s="186"/>
      <c r="AU326" s="186"/>
      <c r="AV326" s="186"/>
      <c r="AW326" s="186"/>
      <c r="AX326" s="186"/>
      <c r="AY326" s="186"/>
      <c r="AZ326" s="186"/>
      <c r="BA326" s="186"/>
      <c r="BB326" s="186"/>
      <c r="BC326" s="186"/>
      <c r="BD326" s="186"/>
      <c r="BE326" s="186"/>
      <c r="BF326" s="186"/>
      <c r="BG326" s="186"/>
      <c r="BH326" s="186"/>
      <c r="BI326" s="186"/>
      <c r="BJ326" s="186"/>
      <c r="BK326" s="186"/>
      <c r="BL326" s="186"/>
      <c r="BM326" s="186"/>
      <c r="BN326" s="186"/>
      <c r="BO326" s="186"/>
      <c r="BP326" s="186"/>
      <c r="BQ326" s="186"/>
      <c r="BR326" s="186"/>
      <c r="BS326" s="186"/>
      <c r="BT326" s="186"/>
      <c r="BU326" s="186"/>
      <c r="BV326" s="186"/>
      <c r="BW326" s="186"/>
      <c r="BX326" s="186"/>
      <c r="BY326" s="186"/>
      <c r="BZ326" s="186"/>
      <c r="CA326" s="186"/>
      <c r="CB326" s="186"/>
      <c r="CC326" s="186"/>
      <c r="CD326" s="186"/>
      <c r="CE326" s="186"/>
      <c r="CF326" s="186"/>
      <c r="CG326" s="186"/>
    </row>
    <row r="327" spans="1:85">
      <c r="A327" s="186"/>
      <c r="B327" s="916"/>
      <c r="C327" s="916"/>
      <c r="D327" s="916"/>
      <c r="E327" s="916"/>
      <c r="F327" s="916"/>
      <c r="G327" s="916"/>
      <c r="H327" s="916"/>
      <c r="I327" s="916"/>
      <c r="J327" s="916"/>
      <c r="K327" s="186"/>
      <c r="L327" s="186"/>
      <c r="M327" s="186"/>
      <c r="N327" s="186"/>
      <c r="O327" s="916"/>
      <c r="P327" s="916"/>
      <c r="Q327" s="916"/>
      <c r="R327" s="916"/>
      <c r="S327" s="916"/>
      <c r="T327" s="916"/>
      <c r="U327" s="916"/>
      <c r="V327" s="916"/>
      <c r="W327" s="916"/>
      <c r="X327" s="916"/>
      <c r="Y327" s="916"/>
      <c r="Z327" s="916"/>
      <c r="AA327" s="916"/>
      <c r="AB327" s="916"/>
      <c r="AC327" s="916"/>
      <c r="AD327" s="916"/>
      <c r="AE327" s="916"/>
      <c r="AF327" s="916"/>
      <c r="AG327" s="916"/>
      <c r="AH327" s="186"/>
      <c r="AI327" s="186"/>
      <c r="AJ327" s="916"/>
      <c r="AK327" s="916"/>
      <c r="AL327" s="916"/>
      <c r="AM327" s="916"/>
      <c r="AN327" s="916"/>
      <c r="AO327" s="916"/>
      <c r="AP327" s="916"/>
      <c r="AQ327" s="916"/>
      <c r="AR327" s="916"/>
      <c r="AS327" s="916"/>
      <c r="AT327" s="186"/>
      <c r="AU327" s="186"/>
      <c r="AV327" s="186"/>
      <c r="AW327" s="186"/>
      <c r="AX327" s="186"/>
      <c r="AY327" s="186"/>
      <c r="AZ327" s="186"/>
      <c r="BA327" s="186"/>
      <c r="BB327" s="186"/>
      <c r="BC327" s="186"/>
      <c r="BD327" s="186"/>
      <c r="BE327" s="186"/>
      <c r="BF327" s="186"/>
      <c r="BG327" s="186"/>
      <c r="BH327" s="186"/>
      <c r="BI327" s="186"/>
      <c r="BJ327" s="186"/>
      <c r="BK327" s="186"/>
      <c r="BL327" s="186"/>
      <c r="BM327" s="186"/>
      <c r="BN327" s="186"/>
      <c r="BO327" s="186"/>
      <c r="BP327" s="186"/>
      <c r="BQ327" s="186"/>
      <c r="BR327" s="186"/>
      <c r="BS327" s="186"/>
      <c r="BT327" s="186"/>
      <c r="BU327" s="186"/>
      <c r="BV327" s="186"/>
      <c r="BW327" s="186"/>
      <c r="BX327" s="186"/>
      <c r="BY327" s="186"/>
      <c r="BZ327" s="186"/>
      <c r="CA327" s="186"/>
      <c r="CB327" s="186"/>
      <c r="CC327" s="186"/>
      <c r="CD327" s="186"/>
      <c r="CE327" s="186"/>
      <c r="CF327" s="186"/>
      <c r="CG327" s="186"/>
    </row>
    <row r="328" spans="1:85">
      <c r="A328" s="186"/>
      <c r="B328" s="916"/>
      <c r="C328" s="916"/>
      <c r="D328" s="916"/>
      <c r="E328" s="916"/>
      <c r="F328" s="916"/>
      <c r="G328" s="916"/>
      <c r="H328" s="916"/>
      <c r="I328" s="916"/>
      <c r="J328" s="916"/>
      <c r="K328" s="186"/>
      <c r="L328" s="186"/>
      <c r="M328" s="186"/>
      <c r="N328" s="186"/>
      <c r="O328" s="916"/>
      <c r="P328" s="916"/>
      <c r="Q328" s="916"/>
      <c r="R328" s="916"/>
      <c r="S328" s="916"/>
      <c r="T328" s="916"/>
      <c r="U328" s="916"/>
      <c r="V328" s="916"/>
      <c r="W328" s="916"/>
      <c r="X328" s="916"/>
      <c r="Y328" s="916"/>
      <c r="Z328" s="916"/>
      <c r="AA328" s="916"/>
      <c r="AB328" s="916"/>
      <c r="AC328" s="916"/>
      <c r="AD328" s="916"/>
      <c r="AE328" s="916"/>
      <c r="AF328" s="916"/>
      <c r="AG328" s="916"/>
      <c r="AH328" s="186"/>
      <c r="AI328" s="186"/>
      <c r="AJ328" s="916"/>
      <c r="AK328" s="916"/>
      <c r="AL328" s="916"/>
      <c r="AM328" s="916"/>
      <c r="AN328" s="916"/>
      <c r="AO328" s="916"/>
      <c r="AP328" s="916"/>
      <c r="AQ328" s="916"/>
      <c r="AR328" s="916"/>
      <c r="AS328" s="916"/>
      <c r="AT328" s="186"/>
      <c r="AU328" s="186"/>
      <c r="AV328" s="186"/>
      <c r="AW328" s="186"/>
      <c r="AX328" s="186"/>
      <c r="AY328" s="186"/>
      <c r="AZ328" s="186"/>
      <c r="BA328" s="186"/>
      <c r="BB328" s="186"/>
      <c r="BC328" s="186"/>
      <c r="BD328" s="186"/>
      <c r="BE328" s="186"/>
      <c r="BF328" s="186"/>
      <c r="BG328" s="186"/>
      <c r="BH328" s="186"/>
      <c r="BI328" s="186"/>
      <c r="BJ328" s="186"/>
      <c r="BK328" s="186"/>
      <c r="BL328" s="186"/>
      <c r="BM328" s="186"/>
      <c r="BN328" s="186"/>
      <c r="BO328" s="186"/>
      <c r="BP328" s="186"/>
      <c r="BQ328" s="186"/>
      <c r="BR328" s="186"/>
      <c r="BS328" s="186"/>
      <c r="BT328" s="186"/>
      <c r="BU328" s="186"/>
      <c r="BV328" s="186"/>
      <c r="BW328" s="186"/>
      <c r="BX328" s="186"/>
      <c r="BY328" s="186"/>
      <c r="BZ328" s="186"/>
      <c r="CA328" s="186"/>
      <c r="CB328" s="186"/>
      <c r="CC328" s="186"/>
      <c r="CD328" s="186"/>
      <c r="CE328" s="186"/>
      <c r="CF328" s="186"/>
      <c r="CG328" s="186"/>
    </row>
    <row r="329" spans="1:85">
      <c r="A329" s="186"/>
      <c r="B329" s="916"/>
      <c r="C329" s="916"/>
      <c r="D329" s="916"/>
      <c r="E329" s="916"/>
      <c r="F329" s="916"/>
      <c r="G329" s="916"/>
      <c r="H329" s="916"/>
      <c r="I329" s="916"/>
      <c r="J329" s="916"/>
      <c r="K329" s="186"/>
      <c r="L329" s="186"/>
      <c r="M329" s="186"/>
      <c r="N329" s="186"/>
      <c r="O329" s="916"/>
      <c r="P329" s="916"/>
      <c r="Q329" s="916"/>
      <c r="R329" s="916"/>
      <c r="S329" s="916"/>
      <c r="T329" s="916"/>
      <c r="U329" s="916"/>
      <c r="V329" s="916"/>
      <c r="W329" s="916"/>
      <c r="X329" s="916"/>
      <c r="Y329" s="916"/>
      <c r="Z329" s="916"/>
      <c r="AA329" s="916"/>
      <c r="AB329" s="916"/>
      <c r="AC329" s="916"/>
      <c r="AD329" s="916"/>
      <c r="AE329" s="916"/>
      <c r="AF329" s="916"/>
      <c r="AG329" s="916"/>
      <c r="AH329" s="186"/>
      <c r="AI329" s="186"/>
      <c r="AJ329" s="916"/>
      <c r="AK329" s="916"/>
      <c r="AL329" s="916"/>
      <c r="AM329" s="916"/>
      <c r="AN329" s="916"/>
      <c r="AO329" s="916"/>
      <c r="AP329" s="916"/>
      <c r="AQ329" s="916"/>
      <c r="AR329" s="916"/>
      <c r="AS329" s="916"/>
      <c r="AT329" s="186"/>
      <c r="AU329" s="186"/>
      <c r="AV329" s="186"/>
      <c r="AW329" s="186"/>
      <c r="AX329" s="186"/>
      <c r="AY329" s="186"/>
      <c r="AZ329" s="186"/>
      <c r="BA329" s="186"/>
      <c r="BB329" s="186"/>
      <c r="BC329" s="186"/>
      <c r="BD329" s="186"/>
      <c r="BE329" s="186"/>
      <c r="BF329" s="186"/>
      <c r="BG329" s="186"/>
      <c r="BH329" s="186"/>
      <c r="BI329" s="186"/>
      <c r="BJ329" s="186"/>
      <c r="BK329" s="186"/>
      <c r="BL329" s="186"/>
      <c r="BM329" s="186"/>
      <c r="BN329" s="186"/>
      <c r="BO329" s="186"/>
      <c r="BP329" s="186"/>
      <c r="BQ329" s="186"/>
      <c r="BR329" s="186"/>
      <c r="BS329" s="186"/>
      <c r="BT329" s="186"/>
      <c r="BU329" s="186"/>
      <c r="BV329" s="186"/>
      <c r="BW329" s="186"/>
      <c r="BX329" s="186"/>
      <c r="BY329" s="186"/>
      <c r="BZ329" s="186"/>
      <c r="CA329" s="186"/>
      <c r="CB329" s="186"/>
      <c r="CC329" s="186"/>
      <c r="CD329" s="186"/>
      <c r="CE329" s="186"/>
      <c r="CF329" s="186"/>
      <c r="CG329" s="186"/>
    </row>
    <row r="330" spans="1:85">
      <c r="A330" s="186"/>
      <c r="B330" s="916"/>
      <c r="C330" s="916"/>
      <c r="D330" s="916"/>
      <c r="E330" s="916"/>
      <c r="F330" s="916"/>
      <c r="G330" s="916"/>
      <c r="H330" s="916"/>
      <c r="I330" s="916"/>
      <c r="J330" s="916"/>
      <c r="K330" s="186"/>
      <c r="L330" s="186"/>
      <c r="M330" s="186"/>
      <c r="N330" s="186"/>
      <c r="O330" s="916"/>
      <c r="P330" s="916"/>
      <c r="Q330" s="916"/>
      <c r="R330" s="916"/>
      <c r="S330" s="916"/>
      <c r="T330" s="916"/>
      <c r="U330" s="916"/>
      <c r="V330" s="916"/>
      <c r="W330" s="916"/>
      <c r="X330" s="916"/>
      <c r="Y330" s="916"/>
      <c r="Z330" s="916"/>
      <c r="AA330" s="916"/>
      <c r="AB330" s="916"/>
      <c r="AC330" s="916"/>
      <c r="AD330" s="916"/>
      <c r="AE330" s="916"/>
      <c r="AF330" s="916"/>
      <c r="AG330" s="916"/>
      <c r="AH330" s="186"/>
      <c r="AI330" s="186"/>
      <c r="AJ330" s="916"/>
      <c r="AK330" s="916"/>
      <c r="AL330" s="916"/>
      <c r="AM330" s="916"/>
      <c r="AN330" s="916"/>
      <c r="AO330" s="916"/>
      <c r="AP330" s="916"/>
      <c r="AQ330" s="916"/>
      <c r="AR330" s="916"/>
      <c r="AS330" s="916"/>
      <c r="AT330" s="186"/>
      <c r="AU330" s="186"/>
      <c r="AV330" s="186"/>
      <c r="AW330" s="186"/>
      <c r="AX330" s="186"/>
      <c r="AY330" s="186"/>
      <c r="AZ330" s="186"/>
      <c r="BA330" s="186"/>
      <c r="BB330" s="186"/>
      <c r="BC330" s="186"/>
      <c r="BD330" s="186"/>
      <c r="BE330" s="186"/>
      <c r="BF330" s="186"/>
      <c r="BG330" s="186"/>
      <c r="BH330" s="186"/>
      <c r="BI330" s="186"/>
      <c r="BJ330" s="186"/>
      <c r="BK330" s="186"/>
      <c r="BL330" s="186"/>
      <c r="BM330" s="186"/>
      <c r="BN330" s="186"/>
      <c r="BO330" s="186"/>
      <c r="BP330" s="186"/>
      <c r="BQ330" s="186"/>
      <c r="BR330" s="186"/>
      <c r="BS330" s="186"/>
      <c r="BT330" s="186"/>
      <c r="BU330" s="186"/>
      <c r="BV330" s="186"/>
      <c r="BW330" s="186"/>
      <c r="BX330" s="186"/>
      <c r="BY330" s="186"/>
      <c r="BZ330" s="186"/>
      <c r="CA330" s="186"/>
      <c r="CB330" s="186"/>
      <c r="CC330" s="186"/>
      <c r="CD330" s="186"/>
      <c r="CE330" s="186"/>
      <c r="CF330" s="186"/>
      <c r="CG330" s="186"/>
    </row>
    <row r="331" spans="1:85">
      <c r="A331" s="186"/>
      <c r="B331" s="916"/>
      <c r="C331" s="916"/>
      <c r="D331" s="916"/>
      <c r="E331" s="916"/>
      <c r="F331" s="916"/>
      <c r="G331" s="916"/>
      <c r="H331" s="916"/>
      <c r="I331" s="916"/>
      <c r="J331" s="916"/>
      <c r="K331" s="186"/>
      <c r="L331" s="186"/>
      <c r="M331" s="186"/>
      <c r="N331" s="186"/>
      <c r="O331" s="916"/>
      <c r="P331" s="916"/>
      <c r="Q331" s="916"/>
      <c r="R331" s="916"/>
      <c r="S331" s="916"/>
      <c r="T331" s="916"/>
      <c r="U331" s="916"/>
      <c r="V331" s="916"/>
      <c r="W331" s="916"/>
      <c r="X331" s="916"/>
      <c r="Y331" s="916"/>
      <c r="Z331" s="916"/>
      <c r="AA331" s="916"/>
      <c r="AB331" s="916"/>
      <c r="AC331" s="916"/>
      <c r="AD331" s="916"/>
      <c r="AE331" s="916"/>
      <c r="AF331" s="916"/>
      <c r="AG331" s="916"/>
      <c r="AH331" s="186"/>
      <c r="AI331" s="186"/>
      <c r="AJ331" s="916"/>
      <c r="AK331" s="916"/>
      <c r="AL331" s="916"/>
      <c r="AM331" s="916"/>
      <c r="AN331" s="916"/>
      <c r="AO331" s="916"/>
      <c r="AP331" s="916"/>
      <c r="AQ331" s="916"/>
      <c r="AR331" s="916"/>
      <c r="AS331" s="916"/>
      <c r="AT331" s="186"/>
      <c r="AU331" s="186"/>
      <c r="AV331" s="186"/>
      <c r="AW331" s="186"/>
      <c r="AX331" s="186"/>
      <c r="AY331" s="186"/>
      <c r="AZ331" s="186"/>
      <c r="BA331" s="186"/>
      <c r="BB331" s="186"/>
      <c r="BC331" s="186"/>
      <c r="BD331" s="186"/>
      <c r="BE331" s="186"/>
      <c r="BF331" s="186"/>
      <c r="BG331" s="186"/>
      <c r="BH331" s="186"/>
      <c r="BI331" s="186"/>
      <c r="BJ331" s="186"/>
      <c r="BK331" s="186"/>
      <c r="BL331" s="186"/>
      <c r="BM331" s="186"/>
      <c r="BN331" s="186"/>
      <c r="BO331" s="186"/>
      <c r="BP331" s="186"/>
      <c r="BQ331" s="186"/>
      <c r="BR331" s="186"/>
      <c r="BS331" s="186"/>
      <c r="BT331" s="186"/>
      <c r="BU331" s="186"/>
      <c r="BV331" s="186"/>
      <c r="BW331" s="186"/>
      <c r="BX331" s="186"/>
      <c r="BY331" s="186"/>
      <c r="BZ331" s="186"/>
      <c r="CA331" s="186"/>
      <c r="CB331" s="186"/>
      <c r="CC331" s="186"/>
      <c r="CD331" s="186"/>
      <c r="CE331" s="186"/>
      <c r="CF331" s="186"/>
      <c r="CG331" s="186"/>
    </row>
    <row r="332" spans="1:85">
      <c r="A332" s="186"/>
      <c r="B332" s="916"/>
      <c r="C332" s="916"/>
      <c r="D332" s="916"/>
      <c r="E332" s="916"/>
      <c r="F332" s="916"/>
      <c r="G332" s="916"/>
      <c r="H332" s="916"/>
      <c r="I332" s="916"/>
      <c r="J332" s="916"/>
      <c r="K332" s="186"/>
      <c r="L332" s="186"/>
      <c r="M332" s="186"/>
      <c r="N332" s="186"/>
      <c r="O332" s="916"/>
      <c r="P332" s="916"/>
      <c r="Q332" s="916"/>
      <c r="R332" s="916"/>
      <c r="S332" s="916"/>
      <c r="T332" s="916"/>
      <c r="U332" s="916"/>
      <c r="V332" s="916"/>
      <c r="W332" s="916"/>
      <c r="X332" s="916"/>
      <c r="Y332" s="916"/>
      <c r="Z332" s="916"/>
      <c r="AA332" s="916"/>
      <c r="AB332" s="916"/>
      <c r="AC332" s="916"/>
      <c r="AD332" s="916"/>
      <c r="AE332" s="916"/>
      <c r="AF332" s="916"/>
      <c r="AG332" s="916"/>
      <c r="AH332" s="186"/>
      <c r="AI332" s="186"/>
      <c r="AJ332" s="916"/>
      <c r="AK332" s="916"/>
      <c r="AL332" s="916"/>
      <c r="AM332" s="916"/>
      <c r="AN332" s="916"/>
      <c r="AO332" s="916"/>
      <c r="AP332" s="916"/>
      <c r="AQ332" s="916"/>
      <c r="AR332" s="916"/>
      <c r="AS332" s="916"/>
      <c r="AT332" s="186"/>
      <c r="AU332" s="186"/>
      <c r="AV332" s="186"/>
      <c r="AW332" s="186"/>
      <c r="AX332" s="186"/>
      <c r="AY332" s="186"/>
      <c r="AZ332" s="186"/>
      <c r="BA332" s="186"/>
      <c r="BB332" s="186"/>
      <c r="BC332" s="186"/>
      <c r="BD332" s="186"/>
      <c r="BE332" s="186"/>
      <c r="BF332" s="186"/>
      <c r="BG332" s="186"/>
      <c r="BH332" s="186"/>
      <c r="BI332" s="186"/>
      <c r="BJ332" s="186"/>
      <c r="BK332" s="186"/>
      <c r="BL332" s="186"/>
      <c r="BM332" s="186"/>
      <c r="BN332" s="186"/>
      <c r="BO332" s="186"/>
      <c r="BP332" s="186"/>
      <c r="BQ332" s="186"/>
      <c r="BR332" s="186"/>
      <c r="BS332" s="186"/>
      <c r="BT332" s="186"/>
      <c r="BU332" s="186"/>
      <c r="BV332" s="186"/>
      <c r="BW332" s="186"/>
      <c r="BX332" s="186"/>
      <c r="BY332" s="186"/>
      <c r="BZ332" s="186"/>
      <c r="CA332" s="186"/>
      <c r="CB332" s="186"/>
      <c r="CC332" s="186"/>
      <c r="CD332" s="186"/>
      <c r="CE332" s="186"/>
      <c r="CF332" s="186"/>
      <c r="CG332" s="186"/>
    </row>
    <row r="333" spans="1:85">
      <c r="A333" s="186"/>
      <c r="B333" s="916"/>
      <c r="C333" s="916"/>
      <c r="D333" s="916"/>
      <c r="E333" s="916"/>
      <c r="F333" s="916"/>
      <c r="G333" s="916"/>
      <c r="H333" s="916"/>
      <c r="I333" s="916"/>
      <c r="J333" s="916"/>
      <c r="K333" s="186"/>
      <c r="L333" s="186"/>
      <c r="M333" s="186"/>
      <c r="N333" s="186"/>
      <c r="O333" s="916"/>
      <c r="P333" s="916"/>
      <c r="Q333" s="916"/>
      <c r="R333" s="916"/>
      <c r="S333" s="916"/>
      <c r="T333" s="916"/>
      <c r="U333" s="916"/>
      <c r="V333" s="916"/>
      <c r="W333" s="916"/>
      <c r="X333" s="916"/>
      <c r="Y333" s="916"/>
      <c r="Z333" s="916"/>
      <c r="AA333" s="916"/>
      <c r="AB333" s="916"/>
      <c r="AC333" s="916"/>
      <c r="AD333" s="916"/>
      <c r="AE333" s="916"/>
      <c r="AF333" s="916"/>
      <c r="AG333" s="916"/>
      <c r="AH333" s="186"/>
      <c r="AI333" s="186"/>
      <c r="AJ333" s="916"/>
      <c r="AK333" s="916"/>
      <c r="AL333" s="916"/>
      <c r="AM333" s="916"/>
      <c r="AN333" s="916"/>
      <c r="AO333" s="916"/>
      <c r="AP333" s="916"/>
      <c r="AQ333" s="916"/>
      <c r="AR333" s="916"/>
      <c r="AS333" s="916"/>
      <c r="AT333" s="186"/>
      <c r="AU333" s="186"/>
      <c r="AV333" s="186"/>
      <c r="AW333" s="186"/>
      <c r="AX333" s="186"/>
      <c r="AY333" s="186"/>
      <c r="AZ333" s="186"/>
      <c r="BA333" s="186"/>
      <c r="BB333" s="186"/>
      <c r="BC333" s="186"/>
      <c r="BD333" s="186"/>
      <c r="BE333" s="186"/>
      <c r="BF333" s="186"/>
      <c r="BG333" s="186"/>
      <c r="BH333" s="186"/>
      <c r="BI333" s="186"/>
      <c r="BJ333" s="186"/>
      <c r="BK333" s="186"/>
      <c r="BL333" s="186"/>
      <c r="BM333" s="186"/>
      <c r="BN333" s="186"/>
      <c r="BO333" s="186"/>
      <c r="BP333" s="186"/>
      <c r="BQ333" s="186"/>
      <c r="BR333" s="186"/>
      <c r="BS333" s="186"/>
      <c r="BT333" s="186"/>
      <c r="BU333" s="186"/>
      <c r="BV333" s="186"/>
      <c r="BW333" s="186"/>
      <c r="BX333" s="186"/>
      <c r="BY333" s="186"/>
      <c r="BZ333" s="186"/>
      <c r="CA333" s="186"/>
      <c r="CB333" s="186"/>
      <c r="CC333" s="186"/>
      <c r="CD333" s="186"/>
      <c r="CE333" s="186"/>
      <c r="CF333" s="186"/>
      <c r="CG333" s="186"/>
    </row>
    <row r="334" spans="1:85">
      <c r="A334" s="186"/>
      <c r="B334" s="916"/>
      <c r="C334" s="916"/>
      <c r="D334" s="916"/>
      <c r="E334" s="916"/>
      <c r="F334" s="916"/>
      <c r="G334" s="916"/>
      <c r="H334" s="916"/>
      <c r="I334" s="916"/>
      <c r="J334" s="916"/>
      <c r="K334" s="186"/>
      <c r="L334" s="186"/>
      <c r="M334" s="186"/>
      <c r="N334" s="186"/>
      <c r="O334" s="916"/>
      <c r="P334" s="916"/>
      <c r="Q334" s="916"/>
      <c r="R334" s="916"/>
      <c r="S334" s="916"/>
      <c r="T334" s="916"/>
      <c r="U334" s="916"/>
      <c r="V334" s="916"/>
      <c r="W334" s="916"/>
      <c r="X334" s="916"/>
      <c r="Y334" s="916"/>
      <c r="Z334" s="916"/>
      <c r="AA334" s="916"/>
      <c r="AB334" s="916"/>
      <c r="AC334" s="916"/>
      <c r="AD334" s="916"/>
      <c r="AE334" s="916"/>
      <c r="AF334" s="916"/>
      <c r="AG334" s="916"/>
      <c r="AH334" s="186"/>
      <c r="AI334" s="186"/>
      <c r="AJ334" s="916"/>
      <c r="AK334" s="916"/>
      <c r="AL334" s="916"/>
      <c r="AM334" s="916"/>
      <c r="AN334" s="916"/>
      <c r="AO334" s="916"/>
      <c r="AP334" s="916"/>
      <c r="AQ334" s="916"/>
      <c r="AR334" s="916"/>
      <c r="AS334" s="916"/>
      <c r="AT334" s="186"/>
      <c r="AU334" s="186"/>
      <c r="AV334" s="186"/>
      <c r="AW334" s="186"/>
      <c r="AX334" s="186"/>
      <c r="AY334" s="186"/>
      <c r="AZ334" s="186"/>
      <c r="BA334" s="186"/>
      <c r="BB334" s="186"/>
      <c r="BC334" s="186"/>
      <c r="BD334" s="186"/>
      <c r="BE334" s="186"/>
      <c r="BF334" s="186"/>
      <c r="BG334" s="186"/>
      <c r="BH334" s="186"/>
      <c r="BI334" s="186"/>
      <c r="BJ334" s="186"/>
      <c r="BK334" s="186"/>
      <c r="BL334" s="186"/>
      <c r="BM334" s="186"/>
      <c r="BN334" s="186"/>
      <c r="BO334" s="186"/>
      <c r="BP334" s="186"/>
      <c r="BQ334" s="186"/>
      <c r="BR334" s="186"/>
      <c r="BS334" s="186"/>
      <c r="BT334" s="186"/>
      <c r="BU334" s="186"/>
      <c r="BV334" s="186"/>
      <c r="BW334" s="186"/>
      <c r="BX334" s="186"/>
      <c r="BY334" s="186"/>
      <c r="BZ334" s="186"/>
      <c r="CA334" s="186"/>
      <c r="CB334" s="186"/>
      <c r="CC334" s="186"/>
      <c r="CD334" s="186"/>
      <c r="CE334" s="186"/>
      <c r="CF334" s="186"/>
      <c r="CG334" s="186"/>
    </row>
    <row r="335" spans="1:85">
      <c r="A335" s="186"/>
      <c r="B335" s="916"/>
      <c r="C335" s="916"/>
      <c r="D335" s="916"/>
      <c r="E335" s="916"/>
      <c r="F335" s="916"/>
      <c r="G335" s="916"/>
      <c r="H335" s="916"/>
      <c r="I335" s="916"/>
      <c r="J335" s="916"/>
      <c r="K335" s="186"/>
      <c r="L335" s="186"/>
      <c r="M335" s="186"/>
      <c r="N335" s="186"/>
      <c r="O335" s="916"/>
      <c r="P335" s="916"/>
      <c r="Q335" s="916"/>
      <c r="R335" s="916"/>
      <c r="S335" s="916"/>
      <c r="T335" s="916"/>
      <c r="U335" s="916"/>
      <c r="V335" s="916"/>
      <c r="W335" s="916"/>
      <c r="X335" s="916"/>
      <c r="Y335" s="916"/>
      <c r="Z335" s="916"/>
      <c r="AA335" s="916"/>
      <c r="AB335" s="916"/>
      <c r="AC335" s="916"/>
      <c r="AD335" s="916"/>
      <c r="AE335" s="916"/>
      <c r="AF335" s="916"/>
      <c r="AG335" s="916"/>
      <c r="AH335" s="186"/>
      <c r="AI335" s="186"/>
      <c r="AJ335" s="916"/>
      <c r="AK335" s="916"/>
      <c r="AL335" s="916"/>
      <c r="AM335" s="916"/>
      <c r="AN335" s="916"/>
      <c r="AO335" s="916"/>
      <c r="AP335" s="916"/>
      <c r="AQ335" s="916"/>
      <c r="AR335" s="916"/>
      <c r="AS335" s="916"/>
      <c r="AT335" s="186"/>
      <c r="AU335" s="186"/>
      <c r="AV335" s="186"/>
      <c r="AW335" s="186"/>
      <c r="AX335" s="186"/>
      <c r="AY335" s="186"/>
      <c r="AZ335" s="186"/>
      <c r="BA335" s="186"/>
      <c r="BB335" s="186"/>
      <c r="BC335" s="186"/>
      <c r="BD335" s="186"/>
      <c r="BE335" s="186"/>
      <c r="BF335" s="186"/>
      <c r="BG335" s="186"/>
      <c r="BH335" s="186"/>
      <c r="BI335" s="186"/>
      <c r="BJ335" s="186"/>
      <c r="BK335" s="186"/>
      <c r="BL335" s="186"/>
      <c r="BM335" s="186"/>
      <c r="BN335" s="186"/>
      <c r="BO335" s="186"/>
      <c r="BP335" s="186"/>
      <c r="BQ335" s="186"/>
      <c r="BR335" s="186"/>
      <c r="BS335" s="186"/>
      <c r="BT335" s="186"/>
      <c r="BU335" s="186"/>
      <c r="BV335" s="186"/>
      <c r="BW335" s="186"/>
      <c r="BX335" s="186"/>
      <c r="BY335" s="186"/>
      <c r="BZ335" s="186"/>
      <c r="CA335" s="186"/>
      <c r="CB335" s="186"/>
      <c r="CC335" s="186"/>
      <c r="CD335" s="186"/>
      <c r="CE335" s="186"/>
      <c r="CF335" s="186"/>
      <c r="CG335" s="186"/>
    </row>
    <row r="336" spans="1:85">
      <c r="A336" s="186"/>
      <c r="B336" s="916"/>
      <c r="C336" s="916"/>
      <c r="D336" s="916"/>
      <c r="E336" s="916"/>
      <c r="F336" s="916"/>
      <c r="G336" s="916"/>
      <c r="H336" s="916"/>
      <c r="I336" s="916"/>
      <c r="J336" s="916"/>
      <c r="K336" s="186"/>
      <c r="L336" s="186"/>
      <c r="M336" s="186"/>
      <c r="N336" s="186"/>
      <c r="O336" s="916"/>
      <c r="P336" s="916"/>
      <c r="Q336" s="916"/>
      <c r="R336" s="916"/>
      <c r="S336" s="916"/>
      <c r="T336" s="916"/>
      <c r="U336" s="916"/>
      <c r="V336" s="916"/>
      <c r="W336" s="916"/>
      <c r="X336" s="916"/>
      <c r="Y336" s="916"/>
      <c r="Z336" s="916"/>
      <c r="AA336" s="916"/>
      <c r="AB336" s="916"/>
      <c r="AC336" s="916"/>
      <c r="AD336" s="916"/>
      <c r="AE336" s="916"/>
      <c r="AF336" s="916"/>
      <c r="AG336" s="916"/>
      <c r="AH336" s="186"/>
      <c r="AI336" s="186"/>
      <c r="AJ336" s="916"/>
      <c r="AK336" s="916"/>
      <c r="AL336" s="916"/>
      <c r="AM336" s="916"/>
      <c r="AN336" s="916"/>
      <c r="AO336" s="916"/>
      <c r="AP336" s="916"/>
      <c r="AQ336" s="916"/>
      <c r="AR336" s="916"/>
      <c r="AS336" s="916"/>
      <c r="AT336" s="186"/>
      <c r="AU336" s="186"/>
      <c r="AV336" s="186"/>
      <c r="AW336" s="186"/>
      <c r="AX336" s="186"/>
      <c r="AY336" s="186"/>
      <c r="AZ336" s="186"/>
      <c r="BA336" s="186"/>
      <c r="BB336" s="186"/>
      <c r="BC336" s="186"/>
      <c r="BD336" s="186"/>
      <c r="BE336" s="186"/>
      <c r="BF336" s="186"/>
      <c r="BG336" s="186"/>
      <c r="BH336" s="186"/>
      <c r="BI336" s="186"/>
      <c r="BJ336" s="186"/>
      <c r="BK336" s="186"/>
      <c r="BL336" s="186"/>
      <c r="BM336" s="186"/>
      <c r="BN336" s="186"/>
      <c r="BO336" s="186"/>
      <c r="BP336" s="186"/>
      <c r="BQ336" s="186"/>
      <c r="BR336" s="186"/>
      <c r="BS336" s="186"/>
      <c r="BT336" s="186"/>
      <c r="BU336" s="186"/>
      <c r="BV336" s="186"/>
      <c r="BW336" s="186"/>
      <c r="BX336" s="186"/>
      <c r="BY336" s="186"/>
      <c r="BZ336" s="186"/>
      <c r="CA336" s="186"/>
      <c r="CB336" s="186"/>
      <c r="CC336" s="186"/>
      <c r="CD336" s="186"/>
      <c r="CE336" s="186"/>
      <c r="CF336" s="186"/>
      <c r="CG336" s="186"/>
    </row>
    <row r="337" spans="1:85">
      <c r="A337" s="186"/>
      <c r="B337" s="916"/>
      <c r="C337" s="916"/>
      <c r="D337" s="916"/>
      <c r="E337" s="916"/>
      <c r="F337" s="916"/>
      <c r="G337" s="916"/>
      <c r="H337" s="916"/>
      <c r="I337" s="916"/>
      <c r="J337" s="916"/>
      <c r="K337" s="186"/>
      <c r="L337" s="186"/>
      <c r="M337" s="186"/>
      <c r="N337" s="186"/>
      <c r="O337" s="916"/>
      <c r="P337" s="916"/>
      <c r="Q337" s="916"/>
      <c r="R337" s="916"/>
      <c r="S337" s="916"/>
      <c r="T337" s="916"/>
      <c r="U337" s="916"/>
      <c r="V337" s="916"/>
      <c r="W337" s="916"/>
      <c r="X337" s="916"/>
      <c r="Y337" s="916"/>
      <c r="Z337" s="916"/>
      <c r="AA337" s="916"/>
      <c r="AB337" s="916"/>
      <c r="AC337" s="916"/>
      <c r="AD337" s="916"/>
      <c r="AE337" s="916"/>
      <c r="AF337" s="916"/>
      <c r="AG337" s="916"/>
      <c r="AH337" s="186"/>
      <c r="AI337" s="186"/>
      <c r="AJ337" s="916"/>
      <c r="AK337" s="916"/>
      <c r="AL337" s="916"/>
      <c r="AM337" s="916"/>
      <c r="AN337" s="916"/>
      <c r="AO337" s="916"/>
      <c r="AP337" s="916"/>
      <c r="AQ337" s="916"/>
      <c r="AR337" s="916"/>
      <c r="AS337" s="916"/>
      <c r="AT337" s="186"/>
      <c r="AU337" s="186"/>
      <c r="AV337" s="186"/>
      <c r="AW337" s="186"/>
      <c r="AX337" s="186"/>
      <c r="AY337" s="186"/>
      <c r="AZ337" s="186"/>
      <c r="BA337" s="186"/>
      <c r="BB337" s="186"/>
      <c r="BC337" s="186"/>
      <c r="BD337" s="186"/>
      <c r="BE337" s="186"/>
      <c r="BF337" s="186"/>
      <c r="BG337" s="186"/>
      <c r="BH337" s="186"/>
      <c r="BI337" s="186"/>
      <c r="BJ337" s="186"/>
      <c r="BK337" s="186"/>
      <c r="BL337" s="186"/>
      <c r="BM337" s="186"/>
      <c r="BN337" s="186"/>
      <c r="BO337" s="186"/>
      <c r="BP337" s="186"/>
      <c r="BQ337" s="186"/>
      <c r="BR337" s="186"/>
      <c r="BS337" s="186"/>
      <c r="BT337" s="186"/>
      <c r="BU337" s="186"/>
      <c r="BV337" s="186"/>
      <c r="BW337" s="186"/>
      <c r="BX337" s="186"/>
      <c r="BY337" s="186"/>
      <c r="BZ337" s="186"/>
      <c r="CA337" s="186"/>
      <c r="CB337" s="186"/>
      <c r="CC337" s="186"/>
      <c r="CD337" s="186"/>
      <c r="CE337" s="186"/>
      <c r="CF337" s="186"/>
      <c r="CG337" s="186"/>
    </row>
    <row r="338" spans="1:85">
      <c r="A338" s="186"/>
      <c r="B338" s="916"/>
      <c r="C338" s="916"/>
      <c r="D338" s="916"/>
      <c r="E338" s="916"/>
      <c r="F338" s="916"/>
      <c r="G338" s="916"/>
      <c r="H338" s="916"/>
      <c r="I338" s="916"/>
      <c r="J338" s="916"/>
      <c r="K338" s="186"/>
      <c r="L338" s="186"/>
      <c r="M338" s="186"/>
      <c r="N338" s="186"/>
      <c r="O338" s="916"/>
      <c r="P338" s="916"/>
      <c r="Q338" s="916"/>
      <c r="R338" s="916"/>
      <c r="S338" s="916"/>
      <c r="T338" s="916"/>
      <c r="U338" s="916"/>
      <c r="V338" s="916"/>
      <c r="W338" s="916"/>
      <c r="X338" s="916"/>
      <c r="Y338" s="916"/>
      <c r="Z338" s="916"/>
      <c r="AA338" s="916"/>
      <c r="AB338" s="916"/>
      <c r="AC338" s="916"/>
      <c r="AD338" s="916"/>
      <c r="AE338" s="916"/>
      <c r="AF338" s="916"/>
      <c r="AG338" s="916"/>
      <c r="AH338" s="186"/>
      <c r="AI338" s="186"/>
      <c r="AJ338" s="916"/>
      <c r="AK338" s="916"/>
      <c r="AL338" s="916"/>
      <c r="AM338" s="916"/>
      <c r="AN338" s="916"/>
      <c r="AO338" s="916"/>
      <c r="AP338" s="916"/>
      <c r="AQ338" s="916"/>
      <c r="AR338" s="916"/>
      <c r="AS338" s="916"/>
      <c r="AT338" s="186"/>
      <c r="AU338" s="186"/>
      <c r="AV338" s="186"/>
      <c r="AW338" s="186"/>
      <c r="AX338" s="186"/>
      <c r="AY338" s="186"/>
      <c r="AZ338" s="186"/>
      <c r="BA338" s="186"/>
      <c r="BB338" s="186"/>
      <c r="BC338" s="186"/>
      <c r="BD338" s="186"/>
      <c r="BE338" s="186"/>
      <c r="BF338" s="186"/>
      <c r="BG338" s="186"/>
      <c r="BH338" s="186"/>
      <c r="BI338" s="186"/>
      <c r="BJ338" s="186"/>
      <c r="BK338" s="186"/>
      <c r="BL338" s="186"/>
      <c r="BM338" s="186"/>
      <c r="BN338" s="186"/>
      <c r="BO338" s="186"/>
      <c r="BP338" s="186"/>
      <c r="BQ338" s="186"/>
      <c r="BR338" s="186"/>
      <c r="BS338" s="186"/>
      <c r="BT338" s="186"/>
      <c r="BU338" s="186"/>
      <c r="BV338" s="186"/>
      <c r="BW338" s="186"/>
      <c r="BX338" s="186"/>
      <c r="BY338" s="186"/>
      <c r="BZ338" s="186"/>
      <c r="CA338" s="186"/>
      <c r="CB338" s="186"/>
      <c r="CC338" s="186"/>
      <c r="CD338" s="186"/>
      <c r="CE338" s="186"/>
      <c r="CF338" s="186"/>
      <c r="CG338" s="186"/>
    </row>
    <row r="339" spans="1:85">
      <c r="A339" s="186"/>
      <c r="B339" s="916"/>
      <c r="C339" s="916"/>
      <c r="D339" s="916"/>
      <c r="E339" s="916"/>
      <c r="F339" s="916"/>
      <c r="G339" s="916"/>
      <c r="H339" s="916"/>
      <c r="I339" s="916"/>
      <c r="J339" s="916"/>
      <c r="K339" s="186"/>
      <c r="L339" s="186"/>
      <c r="M339" s="186"/>
      <c r="N339" s="186"/>
      <c r="O339" s="916"/>
      <c r="P339" s="916"/>
      <c r="Q339" s="916"/>
      <c r="R339" s="916"/>
      <c r="S339" s="916"/>
      <c r="T339" s="916"/>
      <c r="U339" s="916"/>
      <c r="V339" s="916"/>
      <c r="W339" s="916"/>
      <c r="X339" s="916"/>
      <c r="Y339" s="916"/>
      <c r="Z339" s="916"/>
      <c r="AA339" s="916"/>
      <c r="AB339" s="916"/>
      <c r="AC339" s="916"/>
      <c r="AD339" s="916"/>
      <c r="AE339" s="916"/>
      <c r="AF339" s="916"/>
      <c r="AG339" s="916"/>
      <c r="AH339" s="186"/>
      <c r="AI339" s="186"/>
      <c r="AJ339" s="916"/>
      <c r="AK339" s="916"/>
      <c r="AL339" s="916"/>
      <c r="AM339" s="916"/>
      <c r="AN339" s="916"/>
      <c r="AO339" s="916"/>
      <c r="AP339" s="916"/>
      <c r="AQ339" s="916"/>
      <c r="AR339" s="916"/>
      <c r="AS339" s="916"/>
      <c r="AT339" s="186"/>
      <c r="AU339" s="186"/>
      <c r="AV339" s="186"/>
      <c r="AW339" s="186"/>
      <c r="AX339" s="186"/>
      <c r="AY339" s="186"/>
      <c r="AZ339" s="186"/>
      <c r="BA339" s="186"/>
      <c r="BB339" s="186"/>
      <c r="BC339" s="186"/>
      <c r="BD339" s="186"/>
      <c r="BE339" s="186"/>
      <c r="BF339" s="186"/>
      <c r="BG339" s="186"/>
      <c r="BH339" s="186"/>
      <c r="BI339" s="186"/>
      <c r="BJ339" s="186"/>
      <c r="BK339" s="186"/>
      <c r="BL339" s="186"/>
      <c r="BM339" s="186"/>
      <c r="BN339" s="186"/>
      <c r="BO339" s="186"/>
      <c r="BP339" s="186"/>
      <c r="BQ339" s="186"/>
      <c r="BR339" s="186"/>
      <c r="BS339" s="186"/>
      <c r="BT339" s="186"/>
      <c r="BU339" s="186"/>
      <c r="BV339" s="186"/>
      <c r="BW339" s="186"/>
      <c r="BX339" s="186"/>
      <c r="BY339" s="186"/>
      <c r="BZ339" s="186"/>
      <c r="CA339" s="186"/>
      <c r="CB339" s="186"/>
      <c r="CC339" s="186"/>
      <c r="CD339" s="186"/>
      <c r="CE339" s="186"/>
      <c r="CF339" s="186"/>
      <c r="CG339" s="186"/>
    </row>
    <row r="340" spans="1:85">
      <c r="A340" s="186"/>
      <c r="B340" s="916"/>
      <c r="C340" s="916"/>
      <c r="D340" s="916"/>
      <c r="E340" s="916"/>
      <c r="F340" s="916"/>
      <c r="G340" s="916"/>
      <c r="H340" s="916"/>
      <c r="I340" s="916"/>
      <c r="J340" s="916"/>
      <c r="K340" s="186"/>
      <c r="L340" s="186"/>
      <c r="M340" s="186"/>
      <c r="N340" s="186"/>
      <c r="O340" s="916"/>
      <c r="P340" s="916"/>
      <c r="Q340" s="916"/>
      <c r="R340" s="916"/>
      <c r="S340" s="916"/>
      <c r="T340" s="916"/>
      <c r="U340" s="916"/>
      <c r="V340" s="916"/>
      <c r="W340" s="916"/>
      <c r="X340" s="916"/>
      <c r="Y340" s="916"/>
      <c r="Z340" s="916"/>
      <c r="AA340" s="916"/>
      <c r="AB340" s="916"/>
      <c r="AC340" s="916"/>
      <c r="AD340" s="916"/>
      <c r="AE340" s="916"/>
      <c r="AF340" s="916"/>
      <c r="AG340" s="916"/>
      <c r="AH340" s="186"/>
      <c r="AI340" s="186"/>
      <c r="AJ340" s="916"/>
      <c r="AK340" s="916"/>
      <c r="AL340" s="916"/>
      <c r="AM340" s="916"/>
      <c r="AN340" s="916"/>
      <c r="AO340" s="916"/>
      <c r="AP340" s="916"/>
      <c r="AQ340" s="916"/>
      <c r="AR340" s="916"/>
      <c r="AS340" s="916"/>
      <c r="AT340" s="186"/>
      <c r="AU340" s="186"/>
      <c r="AV340" s="186"/>
      <c r="AW340" s="186"/>
      <c r="AX340" s="186"/>
      <c r="AY340" s="186"/>
      <c r="AZ340" s="186"/>
      <c r="BA340" s="186"/>
      <c r="BB340" s="186"/>
      <c r="BC340" s="186"/>
      <c r="BD340" s="186"/>
      <c r="BE340" s="186"/>
      <c r="BF340" s="186"/>
      <c r="BG340" s="186"/>
      <c r="BH340" s="186"/>
      <c r="BI340" s="186"/>
      <c r="BJ340" s="186"/>
      <c r="BK340" s="186"/>
      <c r="BL340" s="186"/>
      <c r="BM340" s="186"/>
      <c r="BN340" s="186"/>
      <c r="BO340" s="186"/>
      <c r="BP340" s="186"/>
      <c r="BQ340" s="186"/>
      <c r="BR340" s="186"/>
      <c r="BS340" s="186"/>
      <c r="BT340" s="186"/>
      <c r="BU340" s="186"/>
      <c r="BV340" s="186"/>
      <c r="BW340" s="186"/>
      <c r="BX340" s="186"/>
      <c r="BY340" s="186"/>
      <c r="BZ340" s="186"/>
      <c r="CA340" s="186"/>
      <c r="CB340" s="186"/>
      <c r="CC340" s="186"/>
      <c r="CD340" s="186"/>
      <c r="CE340" s="186"/>
      <c r="CF340" s="186"/>
      <c r="CG340" s="186"/>
    </row>
    <row r="341" spans="1:85">
      <c r="A341" s="186"/>
      <c r="B341" s="916"/>
      <c r="C341" s="916"/>
      <c r="D341" s="916"/>
      <c r="E341" s="916"/>
      <c r="F341" s="916"/>
      <c r="G341" s="916"/>
      <c r="H341" s="916"/>
      <c r="I341" s="916"/>
      <c r="J341" s="916"/>
      <c r="K341" s="186"/>
      <c r="L341" s="186"/>
      <c r="M341" s="186"/>
      <c r="N341" s="186"/>
      <c r="O341" s="916"/>
      <c r="P341" s="916"/>
      <c r="Q341" s="916"/>
      <c r="R341" s="916"/>
      <c r="S341" s="916"/>
      <c r="T341" s="916"/>
      <c r="U341" s="916"/>
      <c r="V341" s="916"/>
      <c r="W341" s="916"/>
      <c r="X341" s="916"/>
      <c r="Y341" s="916"/>
      <c r="Z341" s="916"/>
      <c r="AA341" s="916"/>
      <c r="AB341" s="916"/>
      <c r="AC341" s="916"/>
      <c r="AD341" s="916"/>
      <c r="AE341" s="916"/>
      <c r="AF341" s="916"/>
      <c r="AG341" s="916"/>
      <c r="AH341" s="186"/>
      <c r="AI341" s="186"/>
      <c r="AJ341" s="916"/>
      <c r="AK341" s="916"/>
      <c r="AL341" s="916"/>
      <c r="AM341" s="916"/>
      <c r="AN341" s="916"/>
      <c r="AO341" s="916"/>
      <c r="AP341" s="916"/>
      <c r="AQ341" s="916"/>
      <c r="AR341" s="916"/>
      <c r="AS341" s="916"/>
      <c r="AT341" s="186"/>
      <c r="AU341" s="186"/>
      <c r="AV341" s="186"/>
      <c r="AW341" s="186"/>
      <c r="AX341" s="186"/>
      <c r="AY341" s="186"/>
      <c r="AZ341" s="186"/>
      <c r="BA341" s="186"/>
      <c r="BB341" s="186"/>
      <c r="BC341" s="186"/>
      <c r="BD341" s="186"/>
      <c r="BE341" s="186"/>
      <c r="BF341" s="186"/>
      <c r="BG341" s="186"/>
      <c r="BH341" s="186"/>
      <c r="BI341" s="186"/>
      <c r="BJ341" s="186"/>
      <c r="BK341" s="186"/>
      <c r="BL341" s="186"/>
      <c r="BM341" s="186"/>
      <c r="BN341" s="186"/>
      <c r="BO341" s="186"/>
      <c r="BP341" s="186"/>
      <c r="BQ341" s="186"/>
      <c r="BR341" s="186"/>
      <c r="BS341" s="186"/>
      <c r="BT341" s="186"/>
      <c r="BU341" s="186"/>
      <c r="BV341" s="186"/>
      <c r="BW341" s="186"/>
      <c r="BX341" s="186"/>
      <c r="BY341" s="186"/>
      <c r="BZ341" s="186"/>
      <c r="CA341" s="186"/>
      <c r="CB341" s="186"/>
      <c r="CC341" s="186"/>
      <c r="CD341" s="186"/>
      <c r="CE341" s="186"/>
      <c r="CF341" s="186"/>
      <c r="CG341" s="186"/>
    </row>
    <row r="342" spans="1:85">
      <c r="A342" s="186"/>
      <c r="B342" s="916"/>
      <c r="C342" s="916"/>
      <c r="D342" s="916"/>
      <c r="E342" s="916"/>
      <c r="F342" s="916"/>
      <c r="G342" s="916"/>
      <c r="H342" s="916"/>
      <c r="I342" s="916"/>
      <c r="J342" s="916"/>
      <c r="K342" s="186"/>
      <c r="L342" s="186"/>
      <c r="M342" s="186"/>
      <c r="N342" s="186"/>
      <c r="O342" s="916"/>
      <c r="P342" s="916"/>
      <c r="Q342" s="916"/>
      <c r="R342" s="916"/>
      <c r="S342" s="916"/>
      <c r="T342" s="916"/>
      <c r="U342" s="916"/>
      <c r="V342" s="916"/>
      <c r="W342" s="916"/>
      <c r="X342" s="916"/>
      <c r="Y342" s="916"/>
      <c r="Z342" s="916"/>
      <c r="AA342" s="916"/>
      <c r="AB342" s="916"/>
      <c r="AC342" s="916"/>
      <c r="AD342" s="916"/>
      <c r="AE342" s="916"/>
      <c r="AF342" s="916"/>
      <c r="AG342" s="916"/>
      <c r="AH342" s="186"/>
      <c r="AI342" s="186"/>
      <c r="AJ342" s="916"/>
      <c r="AK342" s="916"/>
      <c r="AL342" s="916"/>
      <c r="AM342" s="916"/>
      <c r="AN342" s="916"/>
      <c r="AO342" s="916"/>
      <c r="AP342" s="916"/>
      <c r="AQ342" s="916"/>
      <c r="AR342" s="916"/>
      <c r="AS342" s="916"/>
      <c r="AT342" s="186"/>
      <c r="AU342" s="186"/>
      <c r="AV342" s="186"/>
      <c r="AW342" s="186"/>
      <c r="AX342" s="186"/>
      <c r="AY342" s="186"/>
      <c r="AZ342" s="186"/>
      <c r="BA342" s="186"/>
      <c r="BB342" s="186"/>
      <c r="BC342" s="186"/>
      <c r="BD342" s="186"/>
      <c r="BE342" s="186"/>
      <c r="BF342" s="186"/>
      <c r="BG342" s="186"/>
      <c r="BH342" s="186"/>
      <c r="BI342" s="186"/>
      <c r="BJ342" s="186"/>
      <c r="BK342" s="186"/>
      <c r="BL342" s="186"/>
      <c r="BM342" s="186"/>
      <c r="BN342" s="186"/>
      <c r="BO342" s="186"/>
      <c r="BP342" s="186"/>
      <c r="BQ342" s="186"/>
      <c r="BR342" s="186"/>
      <c r="BS342" s="186"/>
      <c r="BT342" s="186"/>
      <c r="BU342" s="186"/>
      <c r="BV342" s="186"/>
      <c r="BW342" s="186"/>
      <c r="BX342" s="186"/>
      <c r="BY342" s="186"/>
      <c r="BZ342" s="186"/>
      <c r="CA342" s="186"/>
      <c r="CB342" s="186"/>
      <c r="CC342" s="186"/>
      <c r="CD342" s="186"/>
      <c r="CE342" s="186"/>
      <c r="CF342" s="186"/>
      <c r="CG342" s="186"/>
    </row>
    <row r="343" spans="1:85">
      <c r="A343" s="186"/>
      <c r="B343" s="916"/>
      <c r="C343" s="916"/>
      <c r="D343" s="916"/>
      <c r="E343" s="916"/>
      <c r="F343" s="916"/>
      <c r="G343" s="916"/>
      <c r="H343" s="916"/>
      <c r="I343" s="916"/>
      <c r="J343" s="916"/>
      <c r="K343" s="186"/>
      <c r="L343" s="186"/>
      <c r="M343" s="186"/>
      <c r="N343" s="186"/>
      <c r="O343" s="916"/>
      <c r="P343" s="916"/>
      <c r="Q343" s="916"/>
      <c r="R343" s="916"/>
      <c r="S343" s="916"/>
      <c r="T343" s="916"/>
      <c r="U343" s="916"/>
      <c r="V343" s="916"/>
      <c r="W343" s="916"/>
      <c r="X343" s="916"/>
      <c r="Y343" s="916"/>
      <c r="Z343" s="916"/>
      <c r="AA343" s="916"/>
      <c r="AB343" s="916"/>
      <c r="AC343" s="916"/>
      <c r="AD343" s="916"/>
      <c r="AE343" s="916"/>
      <c r="AF343" s="916"/>
      <c r="AG343" s="916"/>
      <c r="AH343" s="186"/>
      <c r="AI343" s="186"/>
      <c r="AJ343" s="916"/>
      <c r="AK343" s="916"/>
      <c r="AL343" s="916"/>
      <c r="AM343" s="916"/>
      <c r="AN343" s="916"/>
      <c r="AO343" s="916"/>
      <c r="AP343" s="916"/>
      <c r="AQ343" s="916"/>
      <c r="AR343" s="916"/>
      <c r="AS343" s="916"/>
      <c r="AT343" s="186"/>
      <c r="AU343" s="186"/>
      <c r="AV343" s="186"/>
      <c r="AW343" s="186"/>
      <c r="AX343" s="186"/>
      <c r="AY343" s="186"/>
      <c r="AZ343" s="186"/>
      <c r="BA343" s="186"/>
      <c r="BB343" s="186"/>
      <c r="BC343" s="186"/>
      <c r="BD343" s="186"/>
      <c r="BE343" s="186"/>
      <c r="BF343" s="186"/>
      <c r="BG343" s="186"/>
      <c r="BH343" s="186"/>
      <c r="BI343" s="186"/>
      <c r="BJ343" s="186"/>
      <c r="BK343" s="186"/>
      <c r="BL343" s="186"/>
      <c r="BM343" s="186"/>
      <c r="BN343" s="186"/>
      <c r="BO343" s="186"/>
      <c r="BP343" s="186"/>
      <c r="BQ343" s="186"/>
      <c r="BR343" s="186"/>
      <c r="BS343" s="186"/>
      <c r="BT343" s="186"/>
      <c r="BU343" s="186"/>
      <c r="BV343" s="186"/>
      <c r="BW343" s="186"/>
      <c r="BX343" s="186"/>
      <c r="BY343" s="186"/>
      <c r="BZ343" s="186"/>
      <c r="CA343" s="186"/>
      <c r="CB343" s="186"/>
      <c r="CC343" s="186"/>
      <c r="CD343" s="186"/>
      <c r="CE343" s="186"/>
      <c r="CF343" s="186"/>
      <c r="CG343" s="186"/>
    </row>
    <row r="344" spans="1:85">
      <c r="A344" s="186"/>
      <c r="B344" s="916"/>
      <c r="C344" s="916"/>
      <c r="D344" s="916"/>
      <c r="E344" s="916"/>
      <c r="F344" s="916"/>
      <c r="G344" s="916"/>
      <c r="H344" s="916"/>
      <c r="I344" s="916"/>
      <c r="J344" s="916"/>
      <c r="K344" s="186"/>
      <c r="L344" s="186"/>
      <c r="M344" s="186"/>
      <c r="N344" s="186"/>
      <c r="O344" s="916"/>
      <c r="P344" s="916"/>
      <c r="Q344" s="916"/>
      <c r="R344" s="916"/>
      <c r="S344" s="916"/>
      <c r="T344" s="916"/>
      <c r="U344" s="916"/>
      <c r="V344" s="916"/>
      <c r="W344" s="916"/>
      <c r="X344" s="916"/>
      <c r="Y344" s="916"/>
      <c r="Z344" s="916"/>
      <c r="AA344" s="916"/>
      <c r="AB344" s="916"/>
      <c r="AC344" s="916"/>
      <c r="AD344" s="916"/>
      <c r="AE344" s="916"/>
      <c r="AF344" s="916"/>
      <c r="AG344" s="916"/>
      <c r="AH344" s="186"/>
      <c r="AI344" s="186"/>
      <c r="AJ344" s="916"/>
      <c r="AK344" s="916"/>
      <c r="AL344" s="916"/>
      <c r="AM344" s="916"/>
      <c r="AN344" s="916"/>
      <c r="AO344" s="916"/>
      <c r="AP344" s="916"/>
      <c r="AQ344" s="916"/>
      <c r="AR344" s="916"/>
      <c r="AS344" s="916"/>
      <c r="AT344" s="186"/>
      <c r="AU344" s="186"/>
      <c r="AV344" s="186"/>
      <c r="AW344" s="186"/>
      <c r="AX344" s="186"/>
      <c r="AY344" s="186"/>
      <c r="AZ344" s="186"/>
      <c r="BA344" s="186"/>
      <c r="BB344" s="186"/>
      <c r="BC344" s="186"/>
      <c r="BD344" s="186"/>
      <c r="BE344" s="186"/>
      <c r="BF344" s="186"/>
      <c r="BG344" s="186"/>
      <c r="BH344" s="186"/>
      <c r="BI344" s="186"/>
      <c r="BJ344" s="186"/>
      <c r="BK344" s="186"/>
      <c r="BL344" s="186"/>
      <c r="BM344" s="186"/>
      <c r="BN344" s="186"/>
      <c r="BO344" s="186"/>
      <c r="BP344" s="186"/>
      <c r="BQ344" s="186"/>
      <c r="BR344" s="186"/>
      <c r="BS344" s="186"/>
      <c r="BT344" s="186"/>
      <c r="BU344" s="186"/>
      <c r="BV344" s="186"/>
      <c r="BW344" s="186"/>
      <c r="BX344" s="186"/>
      <c r="BY344" s="186"/>
      <c r="BZ344" s="186"/>
      <c r="CA344" s="186"/>
      <c r="CB344" s="186"/>
      <c r="CC344" s="186"/>
      <c r="CD344" s="186"/>
      <c r="CE344" s="186"/>
      <c r="CF344" s="186"/>
      <c r="CG344" s="186"/>
    </row>
    <row r="345" spans="1:85">
      <c r="A345" s="186"/>
      <c r="B345" s="916"/>
      <c r="C345" s="916"/>
      <c r="D345" s="916"/>
      <c r="E345" s="916"/>
      <c r="F345" s="916"/>
      <c r="G345" s="916"/>
      <c r="H345" s="916"/>
      <c r="I345" s="916"/>
      <c r="J345" s="916"/>
      <c r="K345" s="186"/>
      <c r="L345" s="186"/>
      <c r="M345" s="186"/>
      <c r="N345" s="186"/>
      <c r="O345" s="916"/>
      <c r="P345" s="916"/>
      <c r="Q345" s="916"/>
      <c r="R345" s="916"/>
      <c r="S345" s="916"/>
      <c r="T345" s="916"/>
      <c r="U345" s="916"/>
      <c r="V345" s="916"/>
      <c r="W345" s="916"/>
      <c r="X345" s="916"/>
      <c r="Y345" s="916"/>
      <c r="Z345" s="916"/>
      <c r="AA345" s="916"/>
      <c r="AB345" s="916"/>
      <c r="AC345" s="916"/>
      <c r="AD345" s="916"/>
      <c r="AE345" s="916"/>
      <c r="AF345" s="916"/>
      <c r="AG345" s="916"/>
      <c r="AH345" s="186"/>
      <c r="AI345" s="186"/>
      <c r="AJ345" s="916"/>
      <c r="AK345" s="916"/>
      <c r="AL345" s="916"/>
      <c r="AM345" s="916"/>
      <c r="AN345" s="916"/>
      <c r="AO345" s="916"/>
      <c r="AP345" s="916"/>
      <c r="AQ345" s="916"/>
      <c r="AR345" s="916"/>
      <c r="AS345" s="916"/>
      <c r="AT345" s="186"/>
      <c r="AU345" s="186"/>
      <c r="AV345" s="186"/>
      <c r="AW345" s="186"/>
      <c r="AX345" s="186"/>
      <c r="AY345" s="186"/>
      <c r="AZ345" s="186"/>
      <c r="BA345" s="186"/>
      <c r="BB345" s="186"/>
      <c r="BC345" s="186"/>
      <c r="BD345" s="186"/>
      <c r="BE345" s="186"/>
      <c r="BF345" s="186"/>
      <c r="BG345" s="186"/>
      <c r="BH345" s="186"/>
      <c r="BI345" s="186"/>
      <c r="BJ345" s="186"/>
      <c r="BK345" s="186"/>
      <c r="BL345" s="186"/>
      <c r="BM345" s="186"/>
      <c r="BN345" s="186"/>
      <c r="BO345" s="186"/>
      <c r="BP345" s="186"/>
      <c r="BQ345" s="186"/>
      <c r="BR345" s="186"/>
      <c r="BS345" s="186"/>
      <c r="BT345" s="186"/>
      <c r="BU345" s="186"/>
      <c r="BV345" s="186"/>
      <c r="BW345" s="186"/>
      <c r="BX345" s="186"/>
      <c r="BY345" s="186"/>
      <c r="BZ345" s="186"/>
      <c r="CA345" s="186"/>
      <c r="CB345" s="186"/>
      <c r="CC345" s="186"/>
      <c r="CD345" s="186"/>
      <c r="CE345" s="186"/>
      <c r="CF345" s="186"/>
      <c r="CG345" s="186"/>
    </row>
    <row r="346" spans="1:85">
      <c r="A346" s="186"/>
      <c r="B346" s="916"/>
      <c r="C346" s="916"/>
      <c r="D346" s="916"/>
      <c r="E346" s="916"/>
      <c r="F346" s="916"/>
      <c r="G346" s="916"/>
      <c r="H346" s="916"/>
      <c r="I346" s="916"/>
      <c r="J346" s="916"/>
      <c r="K346" s="186"/>
      <c r="L346" s="186"/>
      <c r="M346" s="186"/>
      <c r="N346" s="186"/>
      <c r="O346" s="916"/>
      <c r="P346" s="916"/>
      <c r="Q346" s="916"/>
      <c r="R346" s="916"/>
      <c r="S346" s="916"/>
      <c r="T346" s="916"/>
      <c r="U346" s="916"/>
      <c r="V346" s="916"/>
      <c r="W346" s="916"/>
      <c r="X346" s="916"/>
      <c r="Y346" s="916"/>
      <c r="Z346" s="916"/>
      <c r="AA346" s="916"/>
      <c r="AB346" s="916"/>
      <c r="AC346" s="916"/>
      <c r="AD346" s="916"/>
      <c r="AE346" s="916"/>
      <c r="AF346" s="916"/>
      <c r="AG346" s="916"/>
      <c r="AH346" s="186"/>
      <c r="AI346" s="186"/>
      <c r="AJ346" s="916"/>
      <c r="AK346" s="916"/>
      <c r="AL346" s="916"/>
      <c r="AM346" s="916"/>
      <c r="AN346" s="916"/>
      <c r="AO346" s="916"/>
      <c r="AP346" s="916"/>
      <c r="AQ346" s="916"/>
      <c r="AR346" s="916"/>
      <c r="AS346" s="916"/>
      <c r="AT346" s="186"/>
      <c r="AU346" s="186"/>
      <c r="AV346" s="186"/>
      <c r="AW346" s="186"/>
      <c r="AX346" s="186"/>
      <c r="AY346" s="186"/>
      <c r="AZ346" s="186"/>
      <c r="BA346" s="186"/>
      <c r="BB346" s="186"/>
      <c r="BC346" s="186"/>
      <c r="BD346" s="186"/>
      <c r="BE346" s="186"/>
      <c r="BF346" s="186"/>
      <c r="BG346" s="186"/>
      <c r="BH346" s="186"/>
      <c r="BI346" s="186"/>
      <c r="BJ346" s="186"/>
      <c r="BK346" s="186"/>
      <c r="BL346" s="186"/>
      <c r="BM346" s="186"/>
      <c r="BN346" s="186"/>
      <c r="BO346" s="186"/>
      <c r="BP346" s="186"/>
      <c r="BQ346" s="186"/>
      <c r="BR346" s="186"/>
      <c r="BS346" s="186"/>
      <c r="BT346" s="186"/>
      <c r="BU346" s="186"/>
      <c r="BV346" s="186"/>
      <c r="BW346" s="186"/>
      <c r="BX346" s="186"/>
      <c r="BY346" s="186"/>
      <c r="BZ346" s="186"/>
      <c r="CA346" s="186"/>
      <c r="CB346" s="186"/>
      <c r="CC346" s="186"/>
      <c r="CD346" s="186"/>
      <c r="CE346" s="186"/>
      <c r="CF346" s="186"/>
      <c r="CG346" s="186"/>
    </row>
    <row r="347" spans="1:85">
      <c r="A347" s="186"/>
      <c r="B347" s="916"/>
      <c r="C347" s="916"/>
      <c r="D347" s="916"/>
      <c r="E347" s="916"/>
      <c r="F347" s="916"/>
      <c r="G347" s="916"/>
      <c r="H347" s="916"/>
      <c r="I347" s="916"/>
      <c r="J347" s="916"/>
      <c r="K347" s="186"/>
      <c r="L347" s="186"/>
      <c r="M347" s="186"/>
      <c r="N347" s="186"/>
      <c r="O347" s="916"/>
      <c r="P347" s="916"/>
      <c r="Q347" s="916"/>
      <c r="R347" s="916"/>
      <c r="S347" s="916"/>
      <c r="T347" s="916"/>
      <c r="U347" s="916"/>
      <c r="V347" s="916"/>
      <c r="W347" s="916"/>
      <c r="X347" s="916"/>
      <c r="Y347" s="916"/>
      <c r="Z347" s="916"/>
      <c r="AA347" s="916"/>
      <c r="AB347" s="916"/>
      <c r="AC347" s="916"/>
      <c r="AD347" s="916"/>
      <c r="AE347" s="916"/>
      <c r="AF347" s="916"/>
      <c r="AG347" s="916"/>
      <c r="AH347" s="186"/>
      <c r="AI347" s="186"/>
      <c r="AJ347" s="916"/>
      <c r="AK347" s="916"/>
      <c r="AL347" s="916"/>
      <c r="AM347" s="916"/>
      <c r="AN347" s="916"/>
      <c r="AO347" s="916"/>
      <c r="AP347" s="916"/>
      <c r="AQ347" s="916"/>
      <c r="AR347" s="916"/>
      <c r="AS347" s="916"/>
      <c r="AT347" s="186"/>
      <c r="AU347" s="186"/>
      <c r="AV347" s="186"/>
      <c r="AW347" s="186"/>
      <c r="AX347" s="186"/>
      <c r="AY347" s="186"/>
      <c r="AZ347" s="186"/>
      <c r="BA347" s="186"/>
      <c r="BB347" s="186"/>
      <c r="BC347" s="186"/>
      <c r="BD347" s="186"/>
      <c r="BE347" s="186"/>
      <c r="BF347" s="186"/>
      <c r="BG347" s="186"/>
      <c r="BH347" s="186"/>
      <c r="BI347" s="186"/>
      <c r="BJ347" s="186"/>
      <c r="BK347" s="186"/>
      <c r="BL347" s="186"/>
      <c r="BM347" s="186"/>
      <c r="BN347" s="186"/>
      <c r="BO347" s="186"/>
      <c r="BP347" s="186"/>
      <c r="BQ347" s="186"/>
      <c r="BR347" s="186"/>
      <c r="BS347" s="186"/>
      <c r="BT347" s="186"/>
      <c r="BU347" s="186"/>
      <c r="BV347" s="186"/>
      <c r="BW347" s="186"/>
      <c r="BX347" s="186"/>
      <c r="BY347" s="186"/>
      <c r="BZ347" s="186"/>
      <c r="CA347" s="186"/>
      <c r="CB347" s="186"/>
      <c r="CC347" s="186"/>
      <c r="CD347" s="186"/>
      <c r="CE347" s="186"/>
      <c r="CF347" s="186"/>
      <c r="CG347" s="186"/>
    </row>
    <row r="348" spans="1:85">
      <c r="A348" s="186"/>
      <c r="B348" s="916"/>
      <c r="C348" s="916"/>
      <c r="D348" s="916"/>
      <c r="E348" s="916"/>
      <c r="F348" s="916"/>
      <c r="G348" s="916"/>
      <c r="H348" s="916"/>
      <c r="I348" s="916"/>
      <c r="J348" s="916"/>
      <c r="K348" s="186"/>
      <c r="L348" s="186"/>
      <c r="M348" s="186"/>
      <c r="N348" s="186"/>
      <c r="O348" s="916"/>
      <c r="P348" s="916"/>
      <c r="Q348" s="916"/>
      <c r="R348" s="916"/>
      <c r="S348" s="916"/>
      <c r="T348" s="916"/>
      <c r="U348" s="916"/>
      <c r="V348" s="916"/>
      <c r="W348" s="916"/>
      <c r="X348" s="916"/>
      <c r="Y348" s="916"/>
      <c r="Z348" s="916"/>
      <c r="AA348" s="916"/>
      <c r="AB348" s="916"/>
      <c r="AC348" s="916"/>
      <c r="AD348" s="916"/>
      <c r="AE348" s="916"/>
      <c r="AF348" s="916"/>
      <c r="AG348" s="916"/>
      <c r="AH348" s="186"/>
      <c r="AI348" s="186"/>
      <c r="AJ348" s="916"/>
      <c r="AK348" s="916"/>
      <c r="AL348" s="916"/>
      <c r="AM348" s="916"/>
      <c r="AN348" s="916"/>
      <c r="AO348" s="916"/>
      <c r="AP348" s="916"/>
      <c r="AQ348" s="916"/>
      <c r="AR348" s="916"/>
      <c r="AS348" s="916"/>
      <c r="AT348" s="186"/>
      <c r="AU348" s="186"/>
      <c r="AV348" s="186"/>
      <c r="AW348" s="186"/>
      <c r="AX348" s="186"/>
      <c r="AY348" s="186"/>
      <c r="AZ348" s="186"/>
      <c r="BA348" s="186"/>
      <c r="BB348" s="186"/>
      <c r="BC348" s="186"/>
      <c r="BD348" s="186"/>
      <c r="BE348" s="186"/>
      <c r="BF348" s="186"/>
      <c r="BG348" s="186"/>
      <c r="BH348" s="186"/>
      <c r="BI348" s="186"/>
      <c r="BJ348" s="186"/>
      <c r="BK348" s="186"/>
      <c r="BL348" s="186"/>
      <c r="BM348" s="186"/>
      <c r="BN348" s="186"/>
      <c r="BO348" s="186"/>
      <c r="BP348" s="186"/>
      <c r="BQ348" s="186"/>
      <c r="BR348" s="186"/>
      <c r="BS348" s="186"/>
      <c r="BT348" s="186"/>
      <c r="BU348" s="186"/>
      <c r="BV348" s="186"/>
      <c r="BW348" s="186"/>
      <c r="BX348" s="186"/>
      <c r="BY348" s="186"/>
      <c r="BZ348" s="186"/>
      <c r="CA348" s="186"/>
      <c r="CB348" s="186"/>
      <c r="CC348" s="186"/>
      <c r="CD348" s="186"/>
      <c r="CE348" s="186"/>
      <c r="CF348" s="186"/>
      <c r="CG348" s="186"/>
    </row>
    <row r="349" spans="1:85">
      <c r="A349" s="186"/>
      <c r="B349" s="916"/>
      <c r="C349" s="916"/>
      <c r="D349" s="916"/>
      <c r="E349" s="916"/>
      <c r="F349" s="916"/>
      <c r="G349" s="916"/>
      <c r="H349" s="916"/>
      <c r="I349" s="916"/>
      <c r="J349" s="916"/>
      <c r="K349" s="186"/>
      <c r="L349" s="186"/>
      <c r="M349" s="186"/>
      <c r="N349" s="186"/>
      <c r="O349" s="916"/>
      <c r="P349" s="916"/>
      <c r="Q349" s="916"/>
      <c r="R349" s="916"/>
      <c r="S349" s="916"/>
      <c r="T349" s="916"/>
      <c r="U349" s="916"/>
      <c r="V349" s="916"/>
      <c r="W349" s="916"/>
      <c r="X349" s="916"/>
      <c r="Y349" s="916"/>
      <c r="Z349" s="916"/>
      <c r="AA349" s="916"/>
      <c r="AB349" s="916"/>
      <c r="AC349" s="916"/>
      <c r="AD349" s="916"/>
      <c r="AE349" s="916"/>
      <c r="AF349" s="916"/>
      <c r="AG349" s="916"/>
      <c r="AH349" s="186"/>
      <c r="AI349" s="186"/>
      <c r="AJ349" s="916"/>
      <c r="AK349" s="916"/>
      <c r="AL349" s="916"/>
      <c r="AM349" s="916"/>
      <c r="AN349" s="916"/>
      <c r="AO349" s="916"/>
      <c r="AP349" s="916"/>
      <c r="AQ349" s="916"/>
      <c r="AR349" s="916"/>
      <c r="AS349" s="916"/>
      <c r="AT349" s="186"/>
      <c r="AU349" s="186"/>
      <c r="AV349" s="186"/>
      <c r="AW349" s="186"/>
      <c r="AX349" s="186"/>
      <c r="AY349" s="186"/>
      <c r="AZ349" s="186"/>
      <c r="BA349" s="186"/>
      <c r="BB349" s="186"/>
      <c r="BC349" s="186"/>
      <c r="BD349" s="186"/>
      <c r="BE349" s="186"/>
      <c r="BF349" s="186"/>
      <c r="BG349" s="186"/>
      <c r="BH349" s="186"/>
      <c r="BI349" s="186"/>
      <c r="BJ349" s="186"/>
      <c r="BK349" s="186"/>
      <c r="BL349" s="186"/>
      <c r="BM349" s="186"/>
      <c r="BN349" s="186"/>
      <c r="BO349" s="186"/>
      <c r="BP349" s="186"/>
      <c r="BQ349" s="186"/>
      <c r="BR349" s="186"/>
      <c r="BS349" s="186"/>
      <c r="BT349" s="186"/>
      <c r="BU349" s="186"/>
      <c r="BV349" s="186"/>
      <c r="BW349" s="186"/>
      <c r="BX349" s="186"/>
      <c r="BY349" s="186"/>
      <c r="BZ349" s="186"/>
      <c r="CA349" s="186"/>
      <c r="CB349" s="186"/>
      <c r="CC349" s="186"/>
      <c r="CD349" s="186"/>
      <c r="CE349" s="186"/>
      <c r="CF349" s="186"/>
      <c r="CG349" s="186"/>
    </row>
    <row r="350" spans="1:85">
      <c r="A350" s="186"/>
      <c r="B350" s="916"/>
      <c r="C350" s="916"/>
      <c r="D350" s="916"/>
      <c r="E350" s="916"/>
      <c r="F350" s="916"/>
      <c r="G350" s="916"/>
      <c r="H350" s="916"/>
      <c r="I350" s="916"/>
      <c r="J350" s="916"/>
      <c r="K350" s="186"/>
      <c r="L350" s="186"/>
      <c r="M350" s="186"/>
      <c r="N350" s="186"/>
      <c r="O350" s="916"/>
      <c r="P350" s="916"/>
      <c r="Q350" s="916"/>
      <c r="R350" s="916"/>
      <c r="S350" s="916"/>
      <c r="T350" s="916"/>
      <c r="U350" s="916"/>
      <c r="V350" s="916"/>
      <c r="W350" s="916"/>
      <c r="X350" s="916"/>
      <c r="Y350" s="916"/>
      <c r="Z350" s="916"/>
      <c r="AA350" s="916"/>
      <c r="AB350" s="916"/>
      <c r="AC350" s="916"/>
      <c r="AD350" s="916"/>
      <c r="AE350" s="916"/>
      <c r="AF350" s="916"/>
      <c r="AG350" s="916"/>
      <c r="AH350" s="186"/>
      <c r="AI350" s="186"/>
      <c r="AJ350" s="916"/>
      <c r="AK350" s="916"/>
      <c r="AL350" s="916"/>
      <c r="AM350" s="916"/>
      <c r="AN350" s="916"/>
      <c r="AO350" s="916"/>
      <c r="AP350" s="916"/>
      <c r="AQ350" s="916"/>
      <c r="AR350" s="916"/>
      <c r="AS350" s="916"/>
      <c r="AT350" s="186"/>
      <c r="AU350" s="186"/>
      <c r="AV350" s="186"/>
      <c r="AW350" s="186"/>
      <c r="AX350" s="186"/>
      <c r="AY350" s="186"/>
      <c r="AZ350" s="186"/>
      <c r="BA350" s="186"/>
      <c r="BB350" s="186"/>
      <c r="BC350" s="186"/>
      <c r="BD350" s="186"/>
      <c r="BE350" s="186"/>
      <c r="BF350" s="186"/>
      <c r="BG350" s="186"/>
      <c r="BH350" s="186"/>
      <c r="BI350" s="186"/>
      <c r="BJ350" s="186"/>
      <c r="BK350" s="186"/>
      <c r="BL350" s="186"/>
      <c r="BM350" s="186"/>
      <c r="BN350" s="186"/>
      <c r="BO350" s="186"/>
      <c r="BP350" s="186"/>
      <c r="BQ350" s="186"/>
      <c r="BR350" s="186"/>
      <c r="BS350" s="186"/>
      <c r="BT350" s="186"/>
      <c r="BU350" s="186"/>
      <c r="BV350" s="186"/>
      <c r="BW350" s="186"/>
      <c r="BX350" s="186"/>
      <c r="BY350" s="186"/>
      <c r="BZ350" s="186"/>
      <c r="CA350" s="186"/>
      <c r="CB350" s="186"/>
      <c r="CC350" s="186"/>
      <c r="CD350" s="186"/>
      <c r="CE350" s="186"/>
      <c r="CF350" s="186"/>
      <c r="CG350" s="186"/>
    </row>
    <row r="351" spans="1:85">
      <c r="A351" s="186"/>
      <c r="B351" s="916"/>
      <c r="C351" s="916"/>
      <c r="D351" s="916"/>
      <c r="E351" s="916"/>
      <c r="F351" s="916"/>
      <c r="G351" s="916"/>
      <c r="H351" s="916"/>
      <c r="I351" s="916"/>
      <c r="J351" s="916"/>
      <c r="K351" s="186"/>
      <c r="L351" s="186"/>
      <c r="M351" s="186"/>
      <c r="N351" s="186"/>
      <c r="O351" s="916"/>
      <c r="P351" s="916"/>
      <c r="Q351" s="916"/>
      <c r="R351" s="916"/>
      <c r="S351" s="916"/>
      <c r="T351" s="916"/>
      <c r="U351" s="916"/>
      <c r="V351" s="916"/>
      <c r="W351" s="916"/>
      <c r="X351" s="916"/>
      <c r="Y351" s="916"/>
      <c r="Z351" s="916"/>
      <c r="AA351" s="916"/>
      <c r="AB351" s="916"/>
      <c r="AC351" s="916"/>
      <c r="AD351" s="916"/>
      <c r="AE351" s="916"/>
      <c r="AF351" s="916"/>
      <c r="AG351" s="916"/>
      <c r="AH351" s="186"/>
      <c r="AI351" s="186"/>
      <c r="AJ351" s="916"/>
      <c r="AK351" s="916"/>
      <c r="AL351" s="916"/>
      <c r="AM351" s="916"/>
      <c r="AN351" s="916"/>
      <c r="AO351" s="916"/>
      <c r="AP351" s="916"/>
      <c r="AQ351" s="916"/>
      <c r="AR351" s="916"/>
      <c r="AS351" s="916"/>
      <c r="AT351" s="186"/>
      <c r="AU351" s="186"/>
      <c r="AV351" s="186"/>
      <c r="AW351" s="186"/>
      <c r="AX351" s="186"/>
      <c r="AY351" s="186"/>
      <c r="AZ351" s="186"/>
      <c r="BA351" s="186"/>
      <c r="BB351" s="186"/>
      <c r="BC351" s="186"/>
      <c r="BD351" s="186"/>
      <c r="BE351" s="186"/>
      <c r="BF351" s="186"/>
      <c r="BG351" s="186"/>
      <c r="BH351" s="186"/>
      <c r="BI351" s="186"/>
      <c r="BJ351" s="186"/>
      <c r="BK351" s="186"/>
      <c r="BL351" s="186"/>
      <c r="BM351" s="186"/>
      <c r="BN351" s="186"/>
      <c r="BO351" s="186"/>
      <c r="BP351" s="186"/>
      <c r="BQ351" s="186"/>
      <c r="BR351" s="186"/>
      <c r="BS351" s="186"/>
      <c r="BT351" s="186"/>
      <c r="BU351" s="186"/>
      <c r="BV351" s="186"/>
      <c r="BW351" s="186"/>
      <c r="BX351" s="186"/>
      <c r="BY351" s="186"/>
      <c r="BZ351" s="186"/>
      <c r="CA351" s="186"/>
      <c r="CB351" s="186"/>
      <c r="CC351" s="186"/>
      <c r="CD351" s="186"/>
      <c r="CE351" s="186"/>
      <c r="CF351" s="186"/>
      <c r="CG351" s="186"/>
    </row>
    <row r="352" spans="1:85">
      <c r="A352" s="186"/>
      <c r="B352" s="916"/>
      <c r="C352" s="916"/>
      <c r="D352" s="916"/>
      <c r="E352" s="916"/>
      <c r="F352" s="916"/>
      <c r="G352" s="916"/>
      <c r="H352" s="916"/>
      <c r="I352" s="916"/>
      <c r="J352" s="916"/>
      <c r="K352" s="186"/>
      <c r="L352" s="186"/>
      <c r="M352" s="186"/>
      <c r="N352" s="186"/>
      <c r="O352" s="916"/>
      <c r="P352" s="916"/>
      <c r="Q352" s="916"/>
      <c r="R352" s="916"/>
      <c r="S352" s="916"/>
      <c r="T352" s="916"/>
      <c r="U352" s="916"/>
      <c r="V352" s="916"/>
      <c r="W352" s="916"/>
      <c r="X352" s="916"/>
      <c r="Y352" s="916"/>
      <c r="Z352" s="916"/>
      <c r="AA352" s="916"/>
      <c r="AB352" s="916"/>
      <c r="AC352" s="916"/>
      <c r="AD352" s="916"/>
      <c r="AE352" s="916"/>
      <c r="AF352" s="916"/>
      <c r="AG352" s="916"/>
      <c r="AH352" s="186"/>
      <c r="AI352" s="186"/>
      <c r="AJ352" s="916"/>
      <c r="AK352" s="916"/>
      <c r="AL352" s="916"/>
      <c r="AM352" s="916"/>
      <c r="AN352" s="916"/>
      <c r="AO352" s="916"/>
      <c r="AP352" s="916"/>
      <c r="AQ352" s="916"/>
      <c r="AR352" s="916"/>
      <c r="AS352" s="916"/>
      <c r="AT352" s="186"/>
      <c r="AU352" s="186"/>
      <c r="AV352" s="186"/>
      <c r="AW352" s="186"/>
      <c r="AX352" s="186"/>
      <c r="AY352" s="186"/>
      <c r="AZ352" s="186"/>
      <c r="BA352" s="186"/>
      <c r="BB352" s="186"/>
      <c r="BC352" s="186"/>
      <c r="BD352" s="186"/>
      <c r="BE352" s="186"/>
      <c r="BF352" s="186"/>
      <c r="BG352" s="186"/>
      <c r="BH352" s="186"/>
      <c r="BI352" s="186"/>
      <c r="BJ352" s="186"/>
      <c r="BK352" s="186"/>
      <c r="BL352" s="186"/>
      <c r="BM352" s="186"/>
      <c r="BN352" s="186"/>
      <c r="BO352" s="186"/>
      <c r="BP352" s="186"/>
      <c r="BQ352" s="186"/>
      <c r="BR352" s="186"/>
      <c r="BS352" s="186"/>
      <c r="BT352" s="186"/>
      <c r="BU352" s="186"/>
      <c r="BV352" s="186"/>
      <c r="BW352" s="186"/>
      <c r="BX352" s="186"/>
      <c r="BY352" s="186"/>
      <c r="BZ352" s="186"/>
      <c r="CA352" s="186"/>
      <c r="CB352" s="186"/>
      <c r="CC352" s="186"/>
      <c r="CD352" s="186"/>
      <c r="CE352" s="186"/>
      <c r="CF352" s="186"/>
      <c r="CG352" s="186"/>
    </row>
    <row r="353" spans="1:85">
      <c r="A353" s="186"/>
      <c r="B353" s="916"/>
      <c r="C353" s="916"/>
      <c r="D353" s="916"/>
      <c r="E353" s="916"/>
      <c r="F353" s="916"/>
      <c r="G353" s="916"/>
      <c r="H353" s="916"/>
      <c r="I353" s="916"/>
      <c r="J353" s="916"/>
      <c r="K353" s="186"/>
      <c r="L353" s="186"/>
      <c r="M353" s="186"/>
      <c r="N353" s="186"/>
      <c r="O353" s="916"/>
      <c r="P353" s="916"/>
      <c r="Q353" s="916"/>
      <c r="R353" s="916"/>
      <c r="S353" s="916"/>
      <c r="T353" s="916"/>
      <c r="U353" s="916"/>
      <c r="V353" s="916"/>
      <c r="W353" s="916"/>
      <c r="X353" s="916"/>
      <c r="Y353" s="916"/>
      <c r="Z353" s="916"/>
      <c r="AA353" s="916"/>
      <c r="AB353" s="916"/>
      <c r="AC353" s="916"/>
      <c r="AD353" s="916"/>
      <c r="AE353" s="916"/>
      <c r="AF353" s="916"/>
      <c r="AG353" s="916"/>
      <c r="AH353" s="186"/>
      <c r="AI353" s="186"/>
      <c r="AJ353" s="916"/>
      <c r="AK353" s="916"/>
      <c r="AL353" s="916"/>
      <c r="AM353" s="916"/>
      <c r="AN353" s="916"/>
      <c r="AO353" s="916"/>
      <c r="AP353" s="916"/>
      <c r="AQ353" s="916"/>
      <c r="AR353" s="916"/>
      <c r="AS353" s="916"/>
      <c r="AT353" s="186"/>
      <c r="AU353" s="186"/>
      <c r="AV353" s="186"/>
      <c r="AW353" s="186"/>
      <c r="AX353" s="186"/>
      <c r="AY353" s="186"/>
      <c r="AZ353" s="186"/>
      <c r="BA353" s="186"/>
      <c r="BB353" s="186"/>
      <c r="BC353" s="186"/>
      <c r="BD353" s="186"/>
      <c r="BE353" s="186"/>
      <c r="BF353" s="186"/>
      <c r="BG353" s="186"/>
      <c r="BH353" s="186"/>
      <c r="BI353" s="186"/>
      <c r="BJ353" s="186"/>
      <c r="BK353" s="186"/>
      <c r="BL353" s="186"/>
      <c r="BM353" s="186"/>
      <c r="BN353" s="186"/>
      <c r="BO353" s="186"/>
      <c r="BP353" s="186"/>
      <c r="BQ353" s="186"/>
      <c r="BR353" s="186"/>
      <c r="BS353" s="186"/>
      <c r="BT353" s="186"/>
      <c r="BU353" s="186"/>
      <c r="BV353" s="186"/>
      <c r="BW353" s="186"/>
      <c r="BX353" s="186"/>
      <c r="BY353" s="186"/>
      <c r="BZ353" s="186"/>
      <c r="CA353" s="186"/>
      <c r="CB353" s="186"/>
      <c r="CC353" s="186"/>
      <c r="CD353" s="186"/>
      <c r="CE353" s="186"/>
      <c r="CF353" s="186"/>
      <c r="CG353" s="186"/>
    </row>
    <row r="354" spans="1:85">
      <c r="A354" s="186"/>
      <c r="B354" s="916"/>
      <c r="C354" s="916"/>
      <c r="D354" s="916"/>
      <c r="E354" s="916"/>
      <c r="F354" s="916"/>
      <c r="G354" s="916"/>
      <c r="H354" s="916"/>
      <c r="I354" s="916"/>
      <c r="J354" s="916"/>
      <c r="K354" s="186"/>
      <c r="L354" s="186"/>
      <c r="M354" s="186"/>
      <c r="N354" s="186"/>
      <c r="O354" s="916"/>
      <c r="P354" s="916"/>
      <c r="Q354" s="916"/>
      <c r="R354" s="916"/>
      <c r="S354" s="916"/>
      <c r="T354" s="916"/>
      <c r="U354" s="916"/>
      <c r="V354" s="916"/>
      <c r="W354" s="916"/>
      <c r="X354" s="916"/>
      <c r="Y354" s="916"/>
      <c r="Z354" s="916"/>
      <c r="AA354" s="916"/>
      <c r="AB354" s="916"/>
      <c r="AC354" s="916"/>
      <c r="AD354" s="916"/>
      <c r="AE354" s="916"/>
      <c r="AF354" s="916"/>
      <c r="AG354" s="916"/>
      <c r="AH354" s="186"/>
      <c r="AI354" s="186"/>
      <c r="AJ354" s="916"/>
      <c r="AK354" s="916"/>
      <c r="AL354" s="916"/>
      <c r="AM354" s="916"/>
      <c r="AN354" s="916"/>
      <c r="AO354" s="916"/>
      <c r="AP354" s="916"/>
      <c r="AQ354" s="916"/>
      <c r="AR354" s="916"/>
      <c r="AS354" s="916"/>
      <c r="AT354" s="186"/>
      <c r="AU354" s="186"/>
      <c r="AV354" s="186"/>
      <c r="AW354" s="186"/>
      <c r="AX354" s="186"/>
      <c r="AY354" s="186"/>
      <c r="AZ354" s="186"/>
      <c r="BA354" s="186"/>
      <c r="BB354" s="186"/>
      <c r="BC354" s="186"/>
      <c r="BD354" s="186"/>
      <c r="BE354" s="186"/>
      <c r="BF354" s="186"/>
      <c r="BG354" s="186"/>
      <c r="BH354" s="186"/>
      <c r="BI354" s="186"/>
      <c r="BJ354" s="186"/>
      <c r="BK354" s="186"/>
      <c r="BL354" s="186"/>
      <c r="BM354" s="186"/>
      <c r="BN354" s="186"/>
      <c r="BO354" s="186"/>
      <c r="BP354" s="186"/>
      <c r="BQ354" s="186"/>
      <c r="BR354" s="186"/>
      <c r="BS354" s="186"/>
      <c r="BT354" s="186"/>
      <c r="BU354" s="186"/>
      <c r="BV354" s="186"/>
      <c r="BW354" s="186"/>
      <c r="BX354" s="186"/>
      <c r="BY354" s="186"/>
      <c r="BZ354" s="186"/>
      <c r="CA354" s="186"/>
      <c r="CB354" s="186"/>
      <c r="CC354" s="186"/>
      <c r="CD354" s="186"/>
      <c r="CE354" s="186"/>
      <c r="CF354" s="186"/>
      <c r="CG354" s="186"/>
    </row>
    <row r="355" spans="1:85">
      <c r="A355" s="186"/>
      <c r="B355" s="916"/>
      <c r="C355" s="916"/>
      <c r="D355" s="916"/>
      <c r="E355" s="916"/>
      <c r="F355" s="916"/>
      <c r="G355" s="916"/>
      <c r="H355" s="916"/>
      <c r="I355" s="916"/>
      <c r="J355" s="916"/>
      <c r="K355" s="186"/>
      <c r="L355" s="186"/>
      <c r="M355" s="186"/>
      <c r="N355" s="186"/>
      <c r="O355" s="916"/>
      <c r="P355" s="916"/>
      <c r="Q355" s="916"/>
      <c r="R355" s="916"/>
      <c r="S355" s="916"/>
      <c r="T355" s="916"/>
      <c r="U355" s="916"/>
      <c r="V355" s="916"/>
      <c r="W355" s="916"/>
      <c r="X355" s="916"/>
      <c r="Y355" s="916"/>
      <c r="Z355" s="916"/>
      <c r="AA355" s="916"/>
      <c r="AB355" s="916"/>
      <c r="AC355" s="916"/>
      <c r="AD355" s="916"/>
      <c r="AE355" s="916"/>
      <c r="AF355" s="916"/>
      <c r="AG355" s="916"/>
      <c r="AH355" s="186"/>
      <c r="AI355" s="186"/>
      <c r="AJ355" s="916"/>
      <c r="AK355" s="916"/>
      <c r="AL355" s="916"/>
      <c r="AM355" s="916"/>
      <c r="AN355" s="916"/>
      <c r="AO355" s="916"/>
      <c r="AP355" s="916"/>
      <c r="AQ355" s="916"/>
      <c r="AR355" s="916"/>
      <c r="AS355" s="916"/>
      <c r="AT355" s="186"/>
      <c r="AU355" s="186"/>
      <c r="AV355" s="186"/>
      <c r="AW355" s="186"/>
      <c r="AX355" s="186"/>
      <c r="AY355" s="186"/>
      <c r="AZ355" s="186"/>
      <c r="BA355" s="186"/>
      <c r="BB355" s="186"/>
      <c r="BC355" s="186"/>
      <c r="BD355" s="186"/>
      <c r="BE355" s="186"/>
      <c r="BF355" s="186"/>
      <c r="BG355" s="186"/>
      <c r="BH355" s="186"/>
      <c r="BI355" s="186"/>
      <c r="BJ355" s="186"/>
      <c r="BK355" s="186"/>
      <c r="BL355" s="186"/>
      <c r="BM355" s="186"/>
      <c r="BN355" s="186"/>
      <c r="BO355" s="186"/>
      <c r="BP355" s="186"/>
      <c r="BQ355" s="186"/>
      <c r="BR355" s="186"/>
      <c r="BS355" s="186"/>
      <c r="BT355" s="186"/>
      <c r="BU355" s="186"/>
      <c r="BV355" s="186"/>
      <c r="BW355" s="186"/>
      <c r="BX355" s="186"/>
      <c r="BY355" s="186"/>
      <c r="BZ355" s="186"/>
      <c r="CA355" s="186"/>
      <c r="CB355" s="186"/>
      <c r="CC355" s="186"/>
      <c r="CD355" s="186"/>
      <c r="CE355" s="186"/>
      <c r="CF355" s="186"/>
      <c r="CG355" s="186"/>
    </row>
    <row r="356" spans="1:85">
      <c r="A356" s="186"/>
      <c r="B356" s="916"/>
      <c r="C356" s="916"/>
      <c r="D356" s="916"/>
      <c r="E356" s="916"/>
      <c r="F356" s="916"/>
      <c r="G356" s="916"/>
      <c r="H356" s="916"/>
      <c r="I356" s="916"/>
      <c r="J356" s="916"/>
      <c r="K356" s="186"/>
      <c r="L356" s="186"/>
      <c r="M356" s="186"/>
      <c r="N356" s="186"/>
      <c r="O356" s="916"/>
      <c r="P356" s="916"/>
      <c r="Q356" s="916"/>
      <c r="R356" s="916"/>
      <c r="S356" s="916"/>
      <c r="T356" s="916"/>
      <c r="U356" s="916"/>
      <c r="V356" s="916"/>
      <c r="W356" s="916"/>
      <c r="X356" s="916"/>
      <c r="Y356" s="916"/>
      <c r="Z356" s="916"/>
      <c r="AA356" s="916"/>
      <c r="AB356" s="916"/>
      <c r="AC356" s="916"/>
      <c r="AD356" s="916"/>
      <c r="AE356" s="916"/>
      <c r="AF356" s="916"/>
      <c r="AG356" s="916"/>
      <c r="AH356" s="186"/>
      <c r="AI356" s="186"/>
      <c r="AJ356" s="916"/>
      <c r="AK356" s="916"/>
      <c r="AL356" s="916"/>
      <c r="AM356" s="916"/>
      <c r="AN356" s="916"/>
      <c r="AO356" s="916"/>
      <c r="AP356" s="916"/>
      <c r="AQ356" s="916"/>
      <c r="AR356" s="916"/>
      <c r="AS356" s="916"/>
      <c r="AT356" s="186"/>
      <c r="AU356" s="186"/>
      <c r="AV356" s="186"/>
      <c r="AW356" s="186"/>
      <c r="AX356" s="186"/>
      <c r="AY356" s="186"/>
      <c r="AZ356" s="186"/>
      <c r="BA356" s="186"/>
      <c r="BB356" s="186"/>
      <c r="BC356" s="186"/>
      <c r="BD356" s="186"/>
      <c r="BE356" s="186"/>
      <c r="BF356" s="186"/>
      <c r="BG356" s="186"/>
      <c r="BH356" s="186"/>
      <c r="BI356" s="186"/>
      <c r="BJ356" s="186"/>
      <c r="BK356" s="186"/>
      <c r="BL356" s="186"/>
      <c r="BM356" s="186"/>
      <c r="BN356" s="186"/>
      <c r="BO356" s="186"/>
      <c r="BP356" s="186"/>
      <c r="BQ356" s="186"/>
      <c r="BR356" s="186"/>
      <c r="BS356" s="186"/>
      <c r="BT356" s="186"/>
      <c r="BU356" s="186"/>
      <c r="BV356" s="186"/>
      <c r="BW356" s="186"/>
      <c r="BX356" s="186"/>
      <c r="BY356" s="186"/>
      <c r="BZ356" s="186"/>
      <c r="CA356" s="186"/>
      <c r="CB356" s="186"/>
      <c r="CC356" s="186"/>
      <c r="CD356" s="186"/>
      <c r="CE356" s="186"/>
      <c r="CF356" s="186"/>
      <c r="CG356" s="186"/>
    </row>
    <row r="357" spans="1:85">
      <c r="A357" s="186"/>
      <c r="B357" s="916"/>
      <c r="C357" s="916"/>
      <c r="D357" s="916"/>
      <c r="E357" s="916"/>
      <c r="F357" s="916"/>
      <c r="G357" s="916"/>
      <c r="H357" s="916"/>
      <c r="I357" s="916"/>
      <c r="J357" s="916"/>
      <c r="K357" s="186"/>
      <c r="L357" s="186"/>
      <c r="M357" s="186"/>
      <c r="N357" s="186"/>
      <c r="O357" s="916"/>
      <c r="P357" s="916"/>
      <c r="Q357" s="916"/>
      <c r="R357" s="916"/>
      <c r="S357" s="916"/>
      <c r="T357" s="916"/>
      <c r="U357" s="916"/>
      <c r="V357" s="916"/>
      <c r="W357" s="916"/>
      <c r="X357" s="916"/>
      <c r="Y357" s="916"/>
      <c r="Z357" s="916"/>
      <c r="AA357" s="916"/>
      <c r="AB357" s="916"/>
      <c r="AC357" s="916"/>
      <c r="AD357" s="916"/>
      <c r="AE357" s="916"/>
      <c r="AF357" s="916"/>
      <c r="AG357" s="916"/>
      <c r="AH357" s="186"/>
      <c r="AI357" s="186"/>
      <c r="AJ357" s="916"/>
      <c r="AK357" s="916"/>
      <c r="AL357" s="916"/>
      <c r="AM357" s="916"/>
      <c r="AN357" s="916"/>
      <c r="AO357" s="916"/>
      <c r="AP357" s="916"/>
      <c r="AQ357" s="916"/>
      <c r="AR357" s="916"/>
      <c r="AS357" s="916"/>
      <c r="AT357" s="186"/>
      <c r="AU357" s="186"/>
      <c r="AV357" s="186"/>
      <c r="AW357" s="186"/>
      <c r="AX357" s="186"/>
      <c r="AY357" s="186"/>
      <c r="AZ357" s="186"/>
      <c r="BA357" s="186"/>
      <c r="BB357" s="186"/>
      <c r="BC357" s="186"/>
      <c r="BD357" s="186"/>
      <c r="BE357" s="186"/>
      <c r="BF357" s="186"/>
      <c r="BG357" s="186"/>
      <c r="BH357" s="186"/>
      <c r="BI357" s="186"/>
      <c r="BJ357" s="186"/>
      <c r="BK357" s="186"/>
      <c r="BL357" s="186"/>
      <c r="BM357" s="186"/>
      <c r="BN357" s="186"/>
      <c r="BO357" s="186"/>
      <c r="BP357" s="186"/>
      <c r="BQ357" s="186"/>
      <c r="BR357" s="186"/>
      <c r="BS357" s="186"/>
      <c r="BT357" s="186"/>
      <c r="BU357" s="186"/>
      <c r="BV357" s="186"/>
      <c r="BW357" s="186"/>
      <c r="BX357" s="186"/>
      <c r="BY357" s="186"/>
      <c r="BZ357" s="186"/>
      <c r="CA357" s="186"/>
      <c r="CB357" s="186"/>
      <c r="CC357" s="186"/>
      <c r="CD357" s="186"/>
      <c r="CE357" s="186"/>
      <c r="CF357" s="186"/>
      <c r="CG357" s="186"/>
    </row>
    <row r="358" spans="1:85">
      <c r="A358" s="186"/>
      <c r="B358" s="916"/>
      <c r="C358" s="916"/>
      <c r="D358" s="916"/>
      <c r="E358" s="916"/>
      <c r="F358" s="916"/>
      <c r="G358" s="916"/>
      <c r="H358" s="916"/>
      <c r="I358" s="916"/>
      <c r="J358" s="916"/>
      <c r="K358" s="186"/>
      <c r="L358" s="186"/>
      <c r="M358" s="186"/>
      <c r="N358" s="186"/>
      <c r="O358" s="916"/>
      <c r="P358" s="916"/>
      <c r="Q358" s="916"/>
      <c r="R358" s="916"/>
      <c r="S358" s="916"/>
      <c r="T358" s="916"/>
      <c r="U358" s="916"/>
      <c r="V358" s="916"/>
      <c r="W358" s="916"/>
      <c r="X358" s="916"/>
      <c r="Y358" s="916"/>
      <c r="Z358" s="916"/>
      <c r="AA358" s="916"/>
      <c r="AB358" s="916"/>
      <c r="AC358" s="916"/>
      <c r="AD358" s="916"/>
      <c r="AE358" s="916"/>
      <c r="AF358" s="916"/>
      <c r="AG358" s="916"/>
      <c r="AH358" s="186"/>
      <c r="AI358" s="186"/>
      <c r="AJ358" s="916"/>
      <c r="AK358" s="916"/>
      <c r="AL358" s="916"/>
      <c r="AM358" s="916"/>
      <c r="AN358" s="916"/>
      <c r="AO358" s="916"/>
      <c r="AP358" s="916"/>
      <c r="AQ358" s="916"/>
      <c r="AR358" s="916"/>
      <c r="AS358" s="916"/>
      <c r="AT358" s="186"/>
      <c r="AU358" s="186"/>
      <c r="AV358" s="186"/>
      <c r="AW358" s="186"/>
      <c r="AX358" s="186"/>
      <c r="AY358" s="186"/>
      <c r="AZ358" s="186"/>
      <c r="BA358" s="186"/>
      <c r="BB358" s="186"/>
      <c r="BC358" s="186"/>
      <c r="BD358" s="186"/>
      <c r="BE358" s="186"/>
      <c r="BF358" s="186"/>
      <c r="BG358" s="186"/>
      <c r="BH358" s="186"/>
      <c r="BI358" s="186"/>
      <c r="BJ358" s="186"/>
      <c r="BK358" s="186"/>
      <c r="BL358" s="186"/>
      <c r="BM358" s="186"/>
      <c r="BN358" s="186"/>
      <c r="BO358" s="186"/>
      <c r="BP358" s="186"/>
      <c r="BQ358" s="186"/>
      <c r="BR358" s="186"/>
      <c r="BS358" s="186"/>
      <c r="BT358" s="186"/>
      <c r="BU358" s="186"/>
      <c r="BV358" s="186"/>
      <c r="BW358" s="186"/>
      <c r="BX358" s="186"/>
      <c r="BY358" s="186"/>
      <c r="BZ358" s="186"/>
      <c r="CA358" s="186"/>
      <c r="CB358" s="186"/>
      <c r="CC358" s="186"/>
      <c r="CD358" s="186"/>
      <c r="CE358" s="186"/>
      <c r="CF358" s="186"/>
      <c r="CG358" s="186"/>
    </row>
    <row r="359" spans="1:85">
      <c r="A359" s="186"/>
      <c r="B359" s="916"/>
      <c r="C359" s="916"/>
      <c r="D359" s="916"/>
      <c r="E359" s="916"/>
      <c r="F359" s="916"/>
      <c r="G359" s="916"/>
      <c r="H359" s="916"/>
      <c r="I359" s="916"/>
      <c r="J359" s="916"/>
      <c r="K359" s="186"/>
      <c r="L359" s="186"/>
      <c r="M359" s="186"/>
      <c r="N359" s="186"/>
      <c r="O359" s="916"/>
      <c r="P359" s="916"/>
      <c r="Q359" s="916"/>
      <c r="R359" s="916"/>
      <c r="S359" s="916"/>
      <c r="T359" s="916"/>
      <c r="U359" s="916"/>
      <c r="V359" s="916"/>
      <c r="W359" s="916"/>
      <c r="X359" s="916"/>
      <c r="Y359" s="916"/>
      <c r="Z359" s="916"/>
      <c r="AA359" s="916"/>
      <c r="AB359" s="916"/>
      <c r="AC359" s="916"/>
      <c r="AD359" s="916"/>
      <c r="AE359" s="916"/>
      <c r="AF359" s="916"/>
      <c r="AG359" s="916"/>
      <c r="AH359" s="186"/>
      <c r="AI359" s="186"/>
      <c r="AJ359" s="916"/>
      <c r="AK359" s="916"/>
      <c r="AL359" s="916"/>
      <c r="AM359" s="916"/>
      <c r="AN359" s="916"/>
      <c r="AO359" s="916"/>
      <c r="AP359" s="916"/>
      <c r="AQ359" s="916"/>
      <c r="AR359" s="916"/>
      <c r="AS359" s="916"/>
      <c r="AT359" s="186"/>
      <c r="AU359" s="186"/>
      <c r="AV359" s="186"/>
      <c r="AW359" s="186"/>
      <c r="AX359" s="186"/>
      <c r="AY359" s="186"/>
      <c r="AZ359" s="186"/>
      <c r="BA359" s="186"/>
      <c r="BB359" s="186"/>
      <c r="BC359" s="186"/>
      <c r="BD359" s="186"/>
      <c r="BE359" s="186"/>
      <c r="BF359" s="186"/>
      <c r="BG359" s="186"/>
      <c r="BH359" s="186"/>
      <c r="BI359" s="186"/>
      <c r="BJ359" s="186"/>
      <c r="BK359" s="186"/>
      <c r="BL359" s="186"/>
      <c r="BM359" s="186"/>
      <c r="BN359" s="186"/>
      <c r="BO359" s="186"/>
      <c r="BP359" s="186"/>
      <c r="BQ359" s="186"/>
      <c r="BR359" s="186"/>
      <c r="BS359" s="186"/>
      <c r="BT359" s="186"/>
      <c r="BU359" s="186"/>
      <c r="BV359" s="186"/>
      <c r="BW359" s="186"/>
      <c r="BX359" s="186"/>
      <c r="BY359" s="186"/>
      <c r="BZ359" s="186"/>
      <c r="CA359" s="186"/>
      <c r="CB359" s="186"/>
      <c r="CC359" s="186"/>
      <c r="CD359" s="186"/>
      <c r="CE359" s="186"/>
      <c r="CF359" s="186"/>
      <c r="CG359" s="186"/>
    </row>
    <row r="360" spans="1:85">
      <c r="A360" s="186"/>
      <c r="B360" s="916"/>
      <c r="C360" s="916"/>
      <c r="D360" s="916"/>
      <c r="E360" s="916"/>
      <c r="F360" s="916"/>
      <c r="G360" s="916"/>
      <c r="H360" s="916"/>
      <c r="I360" s="916"/>
      <c r="J360" s="916"/>
      <c r="K360" s="186"/>
      <c r="L360" s="186"/>
      <c r="M360" s="186"/>
      <c r="N360" s="186"/>
      <c r="O360" s="916"/>
      <c r="P360" s="916"/>
      <c r="Q360" s="916"/>
      <c r="R360" s="916"/>
      <c r="S360" s="916"/>
      <c r="T360" s="916"/>
      <c r="U360" s="916"/>
      <c r="V360" s="916"/>
      <c r="W360" s="916"/>
      <c r="X360" s="916"/>
      <c r="Y360" s="916"/>
      <c r="Z360" s="916"/>
      <c r="AA360" s="916"/>
      <c r="AB360" s="916"/>
      <c r="AC360" s="916"/>
      <c r="AD360" s="916"/>
      <c r="AE360" s="916"/>
      <c r="AF360" s="916"/>
      <c r="AG360" s="916"/>
      <c r="AH360" s="186"/>
      <c r="AI360" s="186"/>
      <c r="AJ360" s="916"/>
      <c r="AK360" s="916"/>
      <c r="AL360" s="916"/>
      <c r="AM360" s="916"/>
      <c r="AN360" s="916"/>
      <c r="AO360" s="916"/>
      <c r="AP360" s="916"/>
      <c r="AQ360" s="916"/>
      <c r="AR360" s="916"/>
      <c r="AS360" s="916"/>
      <c r="AT360" s="186"/>
      <c r="AU360" s="186"/>
      <c r="AV360" s="186"/>
      <c r="AW360" s="186"/>
      <c r="AX360" s="186"/>
      <c r="AY360" s="186"/>
      <c r="AZ360" s="186"/>
      <c r="BA360" s="186"/>
      <c r="BB360" s="186"/>
      <c r="BC360" s="186"/>
      <c r="BD360" s="186"/>
      <c r="BE360" s="186"/>
      <c r="BF360" s="186"/>
      <c r="BG360" s="186"/>
      <c r="BH360" s="186"/>
      <c r="BI360" s="186"/>
      <c r="BJ360" s="186"/>
      <c r="BK360" s="186"/>
      <c r="BL360" s="186"/>
      <c r="BM360" s="186"/>
      <c r="BN360" s="186"/>
      <c r="BO360" s="186"/>
      <c r="BP360" s="186"/>
      <c r="BQ360" s="186"/>
      <c r="BR360" s="186"/>
      <c r="BS360" s="186"/>
      <c r="BT360" s="186"/>
      <c r="BU360" s="186"/>
      <c r="BV360" s="186"/>
      <c r="BW360" s="186"/>
      <c r="BX360" s="186"/>
      <c r="BY360" s="186"/>
      <c r="BZ360" s="186"/>
      <c r="CA360" s="186"/>
      <c r="CB360" s="186"/>
      <c r="CC360" s="186"/>
      <c r="CD360" s="186"/>
      <c r="CE360" s="186"/>
      <c r="CF360" s="186"/>
      <c r="CG360" s="186"/>
    </row>
    <row r="361" spans="1:85">
      <c r="A361" s="186"/>
      <c r="B361" s="916"/>
      <c r="C361" s="916"/>
      <c r="D361" s="916"/>
      <c r="E361" s="916"/>
      <c r="F361" s="916"/>
      <c r="G361" s="916"/>
      <c r="H361" s="916"/>
      <c r="I361" s="916"/>
      <c r="J361" s="916"/>
      <c r="K361" s="186"/>
      <c r="L361" s="186"/>
      <c r="M361" s="186"/>
      <c r="N361" s="186"/>
      <c r="O361" s="916"/>
      <c r="P361" s="916"/>
      <c r="Q361" s="916"/>
      <c r="R361" s="916"/>
      <c r="S361" s="916"/>
      <c r="T361" s="916"/>
      <c r="U361" s="916"/>
      <c r="V361" s="916"/>
      <c r="W361" s="916"/>
      <c r="X361" s="916"/>
      <c r="Y361" s="916"/>
      <c r="Z361" s="916"/>
      <c r="AA361" s="916"/>
      <c r="AB361" s="916"/>
      <c r="AC361" s="916"/>
      <c r="AD361" s="916"/>
      <c r="AE361" s="916"/>
      <c r="AF361" s="916"/>
      <c r="AG361" s="916"/>
      <c r="AH361" s="186"/>
      <c r="AI361" s="186"/>
      <c r="AJ361" s="916"/>
      <c r="AK361" s="916"/>
      <c r="AL361" s="916"/>
      <c r="AM361" s="916"/>
      <c r="AN361" s="916"/>
      <c r="AO361" s="916"/>
      <c r="AP361" s="916"/>
      <c r="AQ361" s="916"/>
      <c r="AR361" s="916"/>
      <c r="AS361" s="916"/>
      <c r="AT361" s="186"/>
      <c r="AU361" s="186"/>
      <c r="AV361" s="186"/>
      <c r="AW361" s="186"/>
      <c r="AX361" s="186"/>
      <c r="AY361" s="186"/>
      <c r="AZ361" s="186"/>
      <c r="BA361" s="186"/>
      <c r="BB361" s="186"/>
      <c r="BC361" s="186"/>
      <c r="BD361" s="186"/>
      <c r="BE361" s="186"/>
      <c r="BF361" s="186"/>
      <c r="BG361" s="186"/>
      <c r="BH361" s="186"/>
      <c r="BI361" s="186"/>
      <c r="BJ361" s="186"/>
      <c r="BK361" s="186"/>
      <c r="BL361" s="186"/>
      <c r="BM361" s="186"/>
      <c r="BN361" s="186"/>
      <c r="BO361" s="186"/>
      <c r="BP361" s="186"/>
      <c r="BQ361" s="186"/>
      <c r="BR361" s="186"/>
      <c r="BS361" s="186"/>
      <c r="BT361" s="186"/>
      <c r="BU361" s="186"/>
      <c r="BV361" s="186"/>
      <c r="BW361" s="186"/>
      <c r="BX361" s="186"/>
      <c r="BY361" s="186"/>
      <c r="BZ361" s="186"/>
      <c r="CA361" s="186"/>
      <c r="CB361" s="186"/>
      <c r="CC361" s="186"/>
      <c r="CD361" s="186"/>
      <c r="CE361" s="186"/>
      <c r="CF361" s="186"/>
      <c r="CG361" s="186"/>
    </row>
    <row r="362" spans="1:85">
      <c r="A362" s="186"/>
      <c r="B362" s="916"/>
      <c r="C362" s="916"/>
      <c r="D362" s="916"/>
      <c r="E362" s="916"/>
      <c r="F362" s="916"/>
      <c r="G362" s="916"/>
      <c r="H362" s="916"/>
      <c r="I362" s="916"/>
      <c r="J362" s="916"/>
      <c r="K362" s="186"/>
      <c r="L362" s="186"/>
      <c r="M362" s="186"/>
      <c r="N362" s="186"/>
      <c r="O362" s="916"/>
      <c r="P362" s="916"/>
      <c r="Q362" s="916"/>
      <c r="R362" s="916"/>
      <c r="S362" s="916"/>
      <c r="T362" s="916"/>
      <c r="U362" s="916"/>
      <c r="V362" s="916"/>
      <c r="W362" s="916"/>
      <c r="X362" s="916"/>
      <c r="Y362" s="916"/>
      <c r="Z362" s="916"/>
      <c r="AA362" s="916"/>
      <c r="AB362" s="916"/>
      <c r="AC362" s="916"/>
      <c r="AD362" s="916"/>
      <c r="AE362" s="916"/>
      <c r="AF362" s="916"/>
      <c r="AG362" s="916"/>
      <c r="AH362" s="186"/>
      <c r="AI362" s="186"/>
      <c r="AJ362" s="916"/>
      <c r="AK362" s="916"/>
      <c r="AL362" s="916"/>
      <c r="AM362" s="916"/>
      <c r="AN362" s="916"/>
      <c r="AO362" s="916"/>
      <c r="AP362" s="916"/>
      <c r="AQ362" s="916"/>
      <c r="AR362" s="916"/>
      <c r="AS362" s="916"/>
      <c r="AT362" s="186"/>
      <c r="AU362" s="186"/>
      <c r="AV362" s="186"/>
      <c r="AW362" s="186"/>
      <c r="AX362" s="186"/>
      <c r="AY362" s="186"/>
      <c r="AZ362" s="186"/>
      <c r="BA362" s="186"/>
      <c r="BB362" s="186"/>
      <c r="BC362" s="186"/>
      <c r="BD362" s="186"/>
      <c r="BE362" s="186"/>
      <c r="BF362" s="186"/>
      <c r="BG362" s="186"/>
      <c r="BH362" s="186"/>
      <c r="BI362" s="186"/>
      <c r="BJ362" s="186"/>
      <c r="BK362" s="186"/>
      <c r="BL362" s="186"/>
      <c r="BM362" s="186"/>
      <c r="BN362" s="186"/>
      <c r="BO362" s="186"/>
      <c r="BP362" s="186"/>
      <c r="BQ362" s="186"/>
      <c r="BR362" s="186"/>
      <c r="BS362" s="186"/>
      <c r="BT362" s="186"/>
      <c r="BU362" s="186"/>
      <c r="BV362" s="186"/>
      <c r="BW362" s="186"/>
      <c r="BX362" s="186"/>
      <c r="BY362" s="186"/>
      <c r="BZ362" s="186"/>
      <c r="CA362" s="186"/>
      <c r="CB362" s="186"/>
      <c r="CC362" s="186"/>
      <c r="CD362" s="186"/>
      <c r="CE362" s="186"/>
      <c r="CF362" s="186"/>
      <c r="CG362" s="186"/>
    </row>
    <row r="363" spans="1:85">
      <c r="A363" s="186"/>
      <c r="B363" s="916"/>
      <c r="C363" s="916"/>
      <c r="D363" s="916"/>
      <c r="E363" s="916"/>
      <c r="F363" s="916"/>
      <c r="G363" s="916"/>
      <c r="H363" s="916"/>
      <c r="I363" s="916"/>
      <c r="J363" s="916"/>
      <c r="K363" s="186"/>
      <c r="L363" s="186"/>
      <c r="M363" s="186"/>
      <c r="N363" s="186"/>
      <c r="O363" s="916"/>
      <c r="P363" s="916"/>
      <c r="Q363" s="916"/>
      <c r="R363" s="916"/>
      <c r="S363" s="916"/>
      <c r="T363" s="916"/>
      <c r="U363" s="916"/>
      <c r="V363" s="916"/>
      <c r="W363" s="916"/>
      <c r="X363" s="916"/>
      <c r="Y363" s="916"/>
      <c r="Z363" s="916"/>
      <c r="AA363" s="916"/>
      <c r="AB363" s="916"/>
      <c r="AC363" s="916"/>
      <c r="AD363" s="916"/>
      <c r="AE363" s="916"/>
      <c r="AF363" s="916"/>
      <c r="AG363" s="916"/>
      <c r="AH363" s="186"/>
      <c r="AI363" s="186"/>
      <c r="AJ363" s="916"/>
      <c r="AK363" s="916"/>
      <c r="AL363" s="916"/>
      <c r="AM363" s="916"/>
      <c r="AN363" s="916"/>
      <c r="AO363" s="916"/>
      <c r="AP363" s="916"/>
      <c r="AQ363" s="916"/>
      <c r="AR363" s="916"/>
      <c r="AS363" s="916"/>
      <c r="AT363" s="186"/>
      <c r="AU363" s="186"/>
      <c r="AV363" s="186"/>
      <c r="AW363" s="186"/>
      <c r="AX363" s="186"/>
      <c r="AY363" s="186"/>
      <c r="AZ363" s="186"/>
      <c r="BA363" s="186"/>
      <c r="BB363" s="186"/>
      <c r="BC363" s="186"/>
      <c r="BD363" s="186"/>
      <c r="BE363" s="186"/>
      <c r="BF363" s="186"/>
      <c r="BG363" s="186"/>
      <c r="BH363" s="186"/>
      <c r="BI363" s="186"/>
      <c r="BJ363" s="186"/>
      <c r="BK363" s="186"/>
      <c r="BL363" s="186"/>
      <c r="BM363" s="186"/>
      <c r="BN363" s="186"/>
      <c r="BO363" s="186"/>
      <c r="BP363" s="186"/>
      <c r="BQ363" s="186"/>
      <c r="BR363" s="186"/>
      <c r="BS363" s="186"/>
      <c r="BT363" s="186"/>
      <c r="BU363" s="186"/>
      <c r="BV363" s="186"/>
      <c r="BW363" s="186"/>
      <c r="BX363" s="186"/>
      <c r="BY363" s="186"/>
      <c r="BZ363" s="186"/>
      <c r="CA363" s="186"/>
      <c r="CB363" s="186"/>
      <c r="CC363" s="186"/>
      <c r="CD363" s="186"/>
      <c r="CE363" s="186"/>
      <c r="CF363" s="186"/>
      <c r="CG363" s="186"/>
    </row>
    <row r="364" spans="1:85">
      <c r="A364" s="186"/>
      <c r="B364" s="916"/>
      <c r="C364" s="916"/>
      <c r="D364" s="916"/>
      <c r="E364" s="916"/>
      <c r="F364" s="916"/>
      <c r="G364" s="916"/>
      <c r="H364" s="916"/>
      <c r="I364" s="916"/>
      <c r="J364" s="916"/>
      <c r="K364" s="186"/>
      <c r="L364" s="186"/>
      <c r="M364" s="186"/>
      <c r="N364" s="186"/>
      <c r="O364" s="916"/>
      <c r="P364" s="916"/>
      <c r="Q364" s="916"/>
      <c r="R364" s="916"/>
      <c r="S364" s="916"/>
      <c r="T364" s="916"/>
      <c r="U364" s="916"/>
      <c r="V364" s="916"/>
      <c r="W364" s="916"/>
      <c r="X364" s="916"/>
      <c r="Y364" s="916"/>
      <c r="Z364" s="916"/>
      <c r="AA364" s="916"/>
      <c r="AB364" s="916"/>
      <c r="AC364" s="916"/>
      <c r="AD364" s="916"/>
      <c r="AE364" s="916"/>
      <c r="AF364" s="916"/>
      <c r="AG364" s="916"/>
      <c r="AH364" s="186"/>
      <c r="AI364" s="186"/>
      <c r="AJ364" s="916"/>
      <c r="AK364" s="916"/>
      <c r="AL364" s="916"/>
      <c r="AM364" s="916"/>
      <c r="AN364" s="916"/>
      <c r="AO364" s="916"/>
      <c r="AP364" s="916"/>
      <c r="AQ364" s="916"/>
      <c r="AR364" s="916"/>
      <c r="AS364" s="916"/>
      <c r="AT364" s="186"/>
      <c r="AU364" s="186"/>
      <c r="AV364" s="186"/>
      <c r="AW364" s="186"/>
      <c r="AX364" s="186"/>
      <c r="AY364" s="186"/>
      <c r="AZ364" s="186"/>
      <c r="BA364" s="186"/>
      <c r="BB364" s="186"/>
      <c r="BC364" s="186"/>
      <c r="BD364" s="186"/>
      <c r="BE364" s="186"/>
      <c r="BF364" s="186"/>
      <c r="BG364" s="186"/>
      <c r="BH364" s="186"/>
      <c r="BI364" s="186"/>
      <c r="BJ364" s="186"/>
      <c r="BK364" s="186"/>
      <c r="BL364" s="186"/>
      <c r="BM364" s="186"/>
      <c r="BN364" s="186"/>
      <c r="BO364" s="186"/>
      <c r="BP364" s="186"/>
      <c r="BQ364" s="186"/>
      <c r="BR364" s="186"/>
      <c r="BS364" s="186"/>
      <c r="BT364" s="186"/>
      <c r="BU364" s="186"/>
      <c r="BV364" s="186"/>
      <c r="BW364" s="186"/>
      <c r="BX364" s="186"/>
      <c r="BY364" s="186"/>
      <c r="BZ364" s="186"/>
      <c r="CA364" s="186"/>
      <c r="CB364" s="186"/>
      <c r="CC364" s="186"/>
      <c r="CD364" s="186"/>
      <c r="CE364" s="186"/>
      <c r="CF364" s="186"/>
      <c r="CG364" s="186"/>
    </row>
    <row r="365" spans="1:85">
      <c r="A365" s="186"/>
      <c r="B365" s="916"/>
      <c r="C365" s="916"/>
      <c r="D365" s="916"/>
      <c r="E365" s="916"/>
      <c r="F365" s="916"/>
      <c r="G365" s="916"/>
      <c r="H365" s="916"/>
      <c r="I365" s="916"/>
      <c r="J365" s="916"/>
      <c r="K365" s="186"/>
      <c r="L365" s="186"/>
      <c r="M365" s="186"/>
      <c r="N365" s="186"/>
      <c r="O365" s="916"/>
      <c r="P365" s="916"/>
      <c r="Q365" s="916"/>
      <c r="R365" s="916"/>
      <c r="S365" s="916"/>
      <c r="T365" s="916"/>
      <c r="U365" s="916"/>
      <c r="V365" s="916"/>
      <c r="W365" s="916"/>
      <c r="X365" s="916"/>
      <c r="Y365" s="916"/>
      <c r="Z365" s="916"/>
      <c r="AA365" s="916"/>
      <c r="AB365" s="916"/>
      <c r="AC365" s="916"/>
      <c r="AD365" s="916"/>
      <c r="AE365" s="916"/>
      <c r="AF365" s="916"/>
      <c r="AG365" s="916"/>
      <c r="AH365" s="186"/>
      <c r="AI365" s="186"/>
      <c r="AJ365" s="916"/>
      <c r="AK365" s="916"/>
      <c r="AL365" s="916"/>
      <c r="AM365" s="916"/>
      <c r="AN365" s="916"/>
      <c r="AO365" s="916"/>
      <c r="AP365" s="916"/>
      <c r="AQ365" s="916"/>
      <c r="AR365" s="916"/>
      <c r="AS365" s="916"/>
      <c r="AT365" s="186"/>
      <c r="AU365" s="186"/>
      <c r="AV365" s="186"/>
      <c r="AW365" s="186"/>
      <c r="AX365" s="186"/>
      <c r="AY365" s="186"/>
      <c r="AZ365" s="186"/>
      <c r="BA365" s="186"/>
      <c r="BB365" s="186"/>
      <c r="BC365" s="186"/>
      <c r="BD365" s="186"/>
      <c r="BE365" s="186"/>
      <c r="BF365" s="186"/>
      <c r="BG365" s="186"/>
      <c r="BH365" s="186"/>
      <c r="BI365" s="186"/>
      <c r="BJ365" s="186"/>
      <c r="BK365" s="186"/>
      <c r="BL365" s="186"/>
      <c r="BM365" s="186"/>
      <c r="BN365" s="186"/>
      <c r="BO365" s="186"/>
      <c r="BP365" s="186"/>
      <c r="BQ365" s="186"/>
      <c r="BR365" s="186"/>
      <c r="BS365" s="186"/>
      <c r="BT365" s="186"/>
      <c r="BU365" s="186"/>
      <c r="BV365" s="186"/>
      <c r="BW365" s="186"/>
      <c r="BX365" s="186"/>
      <c r="BY365" s="186"/>
      <c r="BZ365" s="186"/>
      <c r="CA365" s="186"/>
      <c r="CB365" s="186"/>
      <c r="CC365" s="186"/>
      <c r="CD365" s="186"/>
      <c r="CE365" s="186"/>
      <c r="CF365" s="186"/>
      <c r="CG365" s="186"/>
    </row>
    <row r="366" spans="1:85">
      <c r="A366" s="186"/>
      <c r="B366" s="916"/>
      <c r="C366" s="916"/>
      <c r="D366" s="916"/>
      <c r="E366" s="916"/>
      <c r="F366" s="916"/>
      <c r="G366" s="916"/>
      <c r="H366" s="916"/>
      <c r="I366" s="916"/>
      <c r="J366" s="916"/>
      <c r="K366" s="186"/>
      <c r="L366" s="186"/>
      <c r="M366" s="186"/>
      <c r="N366" s="186"/>
      <c r="O366" s="916"/>
      <c r="P366" s="916"/>
      <c r="Q366" s="916"/>
      <c r="R366" s="916"/>
      <c r="S366" s="916"/>
      <c r="T366" s="916"/>
      <c r="U366" s="916"/>
      <c r="V366" s="916"/>
      <c r="W366" s="916"/>
      <c r="X366" s="916"/>
      <c r="Y366" s="916"/>
      <c r="Z366" s="916"/>
      <c r="AA366" s="916"/>
      <c r="AB366" s="916"/>
      <c r="AC366" s="916"/>
      <c r="AD366" s="916"/>
      <c r="AE366" s="916"/>
      <c r="AF366" s="916"/>
      <c r="AG366" s="916"/>
      <c r="AH366" s="186"/>
      <c r="AI366" s="186"/>
      <c r="AJ366" s="916"/>
      <c r="AK366" s="916"/>
      <c r="AL366" s="916"/>
      <c r="AM366" s="916"/>
      <c r="AN366" s="916"/>
      <c r="AO366" s="916"/>
      <c r="AP366" s="916"/>
      <c r="AQ366" s="916"/>
      <c r="AR366" s="916"/>
      <c r="AS366" s="916"/>
      <c r="AT366" s="186"/>
      <c r="AU366" s="186"/>
      <c r="AV366" s="186"/>
      <c r="AW366" s="186"/>
      <c r="AX366" s="186"/>
      <c r="AY366" s="186"/>
      <c r="AZ366" s="186"/>
      <c r="BA366" s="186"/>
      <c r="BB366" s="186"/>
      <c r="BC366" s="186"/>
      <c r="BD366" s="186"/>
      <c r="BE366" s="186"/>
      <c r="BF366" s="186"/>
      <c r="BG366" s="186"/>
      <c r="BH366" s="186"/>
      <c r="BI366" s="186"/>
      <c r="BJ366" s="186"/>
      <c r="BK366" s="186"/>
      <c r="BL366" s="186"/>
      <c r="BM366" s="186"/>
      <c r="BN366" s="186"/>
      <c r="BO366" s="186"/>
      <c r="BP366" s="186"/>
      <c r="BQ366" s="186"/>
      <c r="BR366" s="186"/>
      <c r="BS366" s="186"/>
      <c r="BT366" s="186"/>
      <c r="BU366" s="186"/>
      <c r="BV366" s="186"/>
      <c r="BW366" s="186"/>
      <c r="BX366" s="186"/>
      <c r="BY366" s="186"/>
      <c r="BZ366" s="186"/>
      <c r="CA366" s="186"/>
      <c r="CB366" s="186"/>
      <c r="CC366" s="186"/>
      <c r="CD366" s="186"/>
      <c r="CE366" s="186"/>
      <c r="CF366" s="186"/>
      <c r="CG366" s="186"/>
    </row>
    <row r="367" spans="1:85">
      <c r="A367" s="186"/>
      <c r="B367" s="916"/>
      <c r="C367" s="916"/>
      <c r="D367" s="916"/>
      <c r="E367" s="916"/>
      <c r="F367" s="916"/>
      <c r="G367" s="916"/>
      <c r="H367" s="916"/>
      <c r="I367" s="916"/>
      <c r="J367" s="916"/>
      <c r="K367" s="186"/>
      <c r="L367" s="186"/>
      <c r="M367" s="186"/>
      <c r="N367" s="186"/>
      <c r="O367" s="916"/>
      <c r="P367" s="916"/>
      <c r="Q367" s="916"/>
      <c r="R367" s="916"/>
      <c r="S367" s="916"/>
      <c r="T367" s="916"/>
      <c r="U367" s="916"/>
      <c r="V367" s="916"/>
      <c r="W367" s="916"/>
      <c r="X367" s="916"/>
      <c r="Y367" s="916"/>
      <c r="Z367" s="916"/>
      <c r="AA367" s="916"/>
      <c r="AB367" s="916"/>
      <c r="AC367" s="916"/>
      <c r="AD367" s="916"/>
      <c r="AE367" s="916"/>
      <c r="AF367" s="916"/>
      <c r="AG367" s="916"/>
      <c r="AH367" s="186"/>
      <c r="AI367" s="186"/>
      <c r="AJ367" s="916"/>
      <c r="AK367" s="916"/>
      <c r="AL367" s="916"/>
      <c r="AM367" s="916"/>
      <c r="AN367" s="916"/>
      <c r="AO367" s="916"/>
      <c r="AP367" s="916"/>
      <c r="AQ367" s="916"/>
      <c r="AR367" s="916"/>
      <c r="AS367" s="916"/>
      <c r="AT367" s="186"/>
      <c r="AU367" s="186"/>
      <c r="AV367" s="186"/>
      <c r="AW367" s="186"/>
      <c r="AX367" s="186"/>
      <c r="AY367" s="186"/>
      <c r="AZ367" s="186"/>
      <c r="BA367" s="186"/>
      <c r="BB367" s="186"/>
      <c r="BC367" s="186"/>
      <c r="BD367" s="186"/>
      <c r="BE367" s="186"/>
      <c r="BF367" s="186"/>
      <c r="BG367" s="186"/>
      <c r="BH367" s="186"/>
      <c r="BI367" s="186"/>
      <c r="BJ367" s="186"/>
      <c r="BK367" s="186"/>
      <c r="BL367" s="186"/>
      <c r="BM367" s="186"/>
      <c r="BN367" s="186"/>
      <c r="BO367" s="186"/>
      <c r="BP367" s="186"/>
      <c r="BQ367" s="186"/>
      <c r="BR367" s="186"/>
      <c r="BS367" s="186"/>
      <c r="BT367" s="186"/>
      <c r="BU367" s="186"/>
      <c r="BV367" s="186"/>
      <c r="BW367" s="186"/>
      <c r="BX367" s="186"/>
      <c r="BY367" s="186"/>
      <c r="BZ367" s="186"/>
      <c r="CA367" s="186"/>
      <c r="CB367" s="186"/>
      <c r="CC367" s="186"/>
      <c r="CD367" s="186"/>
      <c r="CE367" s="186"/>
      <c r="CF367" s="186"/>
      <c r="CG367" s="186"/>
    </row>
    <row r="368" spans="1:85">
      <c r="A368" s="186"/>
      <c r="B368" s="916"/>
      <c r="C368" s="916"/>
      <c r="D368" s="916"/>
      <c r="E368" s="916"/>
      <c r="F368" s="916"/>
      <c r="G368" s="916"/>
      <c r="H368" s="916"/>
      <c r="I368" s="916"/>
      <c r="J368" s="916"/>
      <c r="K368" s="186"/>
      <c r="L368" s="186"/>
      <c r="M368" s="186"/>
      <c r="N368" s="186"/>
      <c r="O368" s="916"/>
      <c r="P368" s="916"/>
      <c r="Q368" s="916"/>
      <c r="R368" s="916"/>
      <c r="S368" s="916"/>
      <c r="T368" s="916"/>
      <c r="U368" s="916"/>
      <c r="V368" s="916"/>
      <c r="W368" s="916"/>
      <c r="X368" s="916"/>
      <c r="Y368" s="916"/>
      <c r="Z368" s="916"/>
      <c r="AA368" s="916"/>
      <c r="AB368" s="916"/>
      <c r="AC368" s="916"/>
      <c r="AD368" s="916"/>
      <c r="AE368" s="916"/>
      <c r="AF368" s="916"/>
      <c r="AG368" s="916"/>
      <c r="AH368" s="186"/>
      <c r="AI368" s="186"/>
      <c r="AJ368" s="916"/>
      <c r="AK368" s="916"/>
      <c r="AL368" s="916"/>
      <c r="AM368" s="916"/>
      <c r="AN368" s="916"/>
      <c r="AO368" s="916"/>
      <c r="AP368" s="916"/>
      <c r="AQ368" s="916"/>
      <c r="AR368" s="916"/>
      <c r="AS368" s="916"/>
      <c r="AT368" s="186"/>
      <c r="AU368" s="186"/>
      <c r="AV368" s="186"/>
      <c r="AW368" s="186"/>
      <c r="AX368" s="186"/>
      <c r="AY368" s="186"/>
      <c r="AZ368" s="186"/>
      <c r="BA368" s="186"/>
      <c r="BB368" s="186"/>
      <c r="BC368" s="186"/>
      <c r="BD368" s="186"/>
      <c r="BE368" s="186"/>
      <c r="BF368" s="186"/>
      <c r="BG368" s="186"/>
      <c r="BH368" s="186"/>
      <c r="BI368" s="186"/>
      <c r="BJ368" s="186"/>
      <c r="BK368" s="186"/>
      <c r="BL368" s="186"/>
      <c r="BM368" s="186"/>
      <c r="BN368" s="186"/>
      <c r="BO368" s="186"/>
      <c r="BP368" s="186"/>
      <c r="BQ368" s="186"/>
      <c r="BR368" s="186"/>
      <c r="BS368" s="186"/>
      <c r="BT368" s="186"/>
      <c r="BU368" s="186"/>
      <c r="BV368" s="186"/>
      <c r="BW368" s="186"/>
      <c r="BX368" s="186"/>
      <c r="BY368" s="186"/>
      <c r="BZ368" s="186"/>
      <c r="CA368" s="186"/>
      <c r="CB368" s="186"/>
      <c r="CC368" s="186"/>
      <c r="CD368" s="186"/>
      <c r="CE368" s="186"/>
      <c r="CF368" s="186"/>
      <c r="CG368" s="186"/>
    </row>
    <row r="369" spans="1:85">
      <c r="A369" s="186"/>
      <c r="B369" s="916"/>
      <c r="C369" s="916"/>
      <c r="D369" s="916"/>
      <c r="E369" s="916"/>
      <c r="F369" s="916"/>
      <c r="G369" s="916"/>
      <c r="H369" s="916"/>
      <c r="I369" s="916"/>
      <c r="J369" s="916"/>
      <c r="K369" s="186"/>
      <c r="L369" s="186"/>
      <c r="M369" s="186"/>
      <c r="N369" s="186"/>
      <c r="O369" s="916"/>
      <c r="P369" s="916"/>
      <c r="Q369" s="916"/>
      <c r="R369" s="916"/>
      <c r="S369" s="916"/>
      <c r="T369" s="916"/>
      <c r="U369" s="916"/>
      <c r="V369" s="916"/>
      <c r="W369" s="916"/>
      <c r="X369" s="916"/>
      <c r="Y369" s="916"/>
      <c r="Z369" s="916"/>
      <c r="AA369" s="916"/>
      <c r="AB369" s="916"/>
      <c r="AC369" s="916"/>
      <c r="AD369" s="916"/>
      <c r="AE369" s="916"/>
      <c r="AF369" s="916"/>
      <c r="AG369" s="916"/>
      <c r="AH369" s="186"/>
      <c r="AI369" s="186"/>
      <c r="AJ369" s="916"/>
      <c r="AK369" s="916"/>
      <c r="AL369" s="916"/>
      <c r="AM369" s="916"/>
      <c r="AN369" s="916"/>
      <c r="AO369" s="916"/>
      <c r="AP369" s="916"/>
      <c r="AQ369" s="916"/>
      <c r="AR369" s="916"/>
      <c r="AS369" s="916"/>
      <c r="AT369" s="186"/>
      <c r="AU369" s="186"/>
      <c r="AV369" s="186"/>
      <c r="AW369" s="186"/>
      <c r="AX369" s="186"/>
      <c r="AY369" s="186"/>
      <c r="AZ369" s="186"/>
      <c r="BA369" s="186"/>
      <c r="BB369" s="186"/>
      <c r="BC369" s="186"/>
      <c r="BD369" s="186"/>
      <c r="BE369" s="186"/>
      <c r="BF369" s="186"/>
      <c r="BG369" s="186"/>
      <c r="BH369" s="186"/>
      <c r="BI369" s="186"/>
      <c r="BJ369" s="186"/>
      <c r="BK369" s="186"/>
      <c r="BL369" s="186"/>
      <c r="BM369" s="186"/>
      <c r="BN369" s="186"/>
      <c r="BO369" s="186"/>
      <c r="BP369" s="186"/>
      <c r="BQ369" s="186"/>
      <c r="BR369" s="186"/>
      <c r="BS369" s="186"/>
      <c r="BT369" s="186"/>
      <c r="BU369" s="186"/>
      <c r="BV369" s="186"/>
      <c r="BW369" s="186"/>
      <c r="BX369" s="186"/>
      <c r="BY369" s="186"/>
      <c r="BZ369" s="186"/>
      <c r="CA369" s="186"/>
      <c r="CB369" s="186"/>
      <c r="CC369" s="186"/>
      <c r="CD369" s="186"/>
      <c r="CE369" s="186"/>
      <c r="CF369" s="186"/>
      <c r="CG369" s="186"/>
    </row>
    <row r="370" spans="1:85">
      <c r="A370" s="186"/>
      <c r="B370" s="916"/>
      <c r="C370" s="916"/>
      <c r="D370" s="916"/>
      <c r="E370" s="916"/>
      <c r="F370" s="916"/>
      <c r="G370" s="916"/>
      <c r="H370" s="916"/>
      <c r="I370" s="916"/>
      <c r="J370" s="916"/>
      <c r="K370" s="186"/>
      <c r="L370" s="186"/>
      <c r="M370" s="186"/>
      <c r="N370" s="186"/>
      <c r="O370" s="916"/>
      <c r="P370" s="916"/>
      <c r="Q370" s="916"/>
      <c r="R370" s="916"/>
      <c r="S370" s="916"/>
      <c r="T370" s="916"/>
      <c r="U370" s="916"/>
      <c r="V370" s="916"/>
      <c r="W370" s="916"/>
      <c r="X370" s="916"/>
      <c r="Y370" s="916"/>
      <c r="Z370" s="916"/>
      <c r="AA370" s="916"/>
      <c r="AB370" s="916"/>
      <c r="AC370" s="916"/>
      <c r="AD370" s="916"/>
      <c r="AE370" s="916"/>
      <c r="AF370" s="916"/>
      <c r="AG370" s="916"/>
      <c r="AH370" s="186"/>
      <c r="AI370" s="186"/>
      <c r="AJ370" s="916"/>
      <c r="AK370" s="916"/>
      <c r="AL370" s="916"/>
      <c r="AM370" s="916"/>
      <c r="AN370" s="916"/>
      <c r="AO370" s="916"/>
      <c r="AP370" s="916"/>
      <c r="AQ370" s="916"/>
      <c r="AR370" s="916"/>
      <c r="AS370" s="916"/>
      <c r="AT370" s="186"/>
      <c r="AU370" s="186"/>
      <c r="AV370" s="186"/>
      <c r="AW370" s="186"/>
      <c r="AX370" s="186"/>
      <c r="AY370" s="186"/>
      <c r="AZ370" s="186"/>
      <c r="BA370" s="186"/>
      <c r="BB370" s="186"/>
      <c r="BC370" s="186"/>
      <c r="BD370" s="186"/>
      <c r="BE370" s="186"/>
      <c r="BF370" s="186"/>
      <c r="BG370" s="186"/>
      <c r="BH370" s="186"/>
      <c r="BI370" s="186"/>
      <c r="BJ370" s="186"/>
      <c r="BK370" s="186"/>
      <c r="BL370" s="186"/>
      <c r="BM370" s="186"/>
      <c r="BN370" s="186"/>
      <c r="BO370" s="186"/>
      <c r="BP370" s="186"/>
      <c r="BQ370" s="186"/>
      <c r="BR370" s="186"/>
      <c r="BS370" s="186"/>
      <c r="BT370" s="186"/>
      <c r="BU370" s="186"/>
      <c r="BV370" s="186"/>
      <c r="BW370" s="186"/>
      <c r="BX370" s="186"/>
      <c r="BY370" s="186"/>
      <c r="BZ370" s="186"/>
      <c r="CA370" s="186"/>
      <c r="CB370" s="186"/>
      <c r="CC370" s="186"/>
      <c r="CD370" s="186"/>
      <c r="CE370" s="186"/>
      <c r="CF370" s="186"/>
      <c r="CG370" s="186"/>
    </row>
    <row r="371" spans="1:85">
      <c r="A371" s="186"/>
      <c r="B371" s="916"/>
      <c r="C371" s="916"/>
      <c r="D371" s="916"/>
      <c r="E371" s="916"/>
      <c r="F371" s="916"/>
      <c r="G371" s="916"/>
      <c r="H371" s="916"/>
      <c r="I371" s="916"/>
      <c r="J371" s="916"/>
      <c r="K371" s="186"/>
      <c r="L371" s="186"/>
      <c r="M371" s="186"/>
      <c r="N371" s="186"/>
      <c r="O371" s="916"/>
      <c r="P371" s="916"/>
      <c r="Q371" s="916"/>
      <c r="R371" s="916"/>
      <c r="S371" s="916"/>
      <c r="T371" s="916"/>
      <c r="U371" s="916"/>
      <c r="V371" s="916"/>
      <c r="W371" s="916"/>
      <c r="X371" s="916"/>
      <c r="Y371" s="916"/>
      <c r="Z371" s="916"/>
      <c r="AA371" s="916"/>
      <c r="AB371" s="916"/>
      <c r="AC371" s="916"/>
      <c r="AD371" s="916"/>
      <c r="AE371" s="916"/>
      <c r="AF371" s="916"/>
      <c r="AG371" s="916"/>
      <c r="AH371" s="186"/>
      <c r="AI371" s="186"/>
      <c r="AJ371" s="916"/>
      <c r="AK371" s="916"/>
      <c r="AL371" s="916"/>
      <c r="AM371" s="916"/>
      <c r="AN371" s="916"/>
      <c r="AO371" s="916"/>
      <c r="AP371" s="916"/>
      <c r="AQ371" s="916"/>
      <c r="AR371" s="916"/>
      <c r="AS371" s="916"/>
      <c r="AT371" s="186"/>
      <c r="AU371" s="186"/>
      <c r="AV371" s="186"/>
      <c r="AW371" s="186"/>
      <c r="AX371" s="186"/>
      <c r="AY371" s="186"/>
      <c r="AZ371" s="186"/>
      <c r="BA371" s="186"/>
      <c r="BB371" s="186"/>
      <c r="BC371" s="186"/>
      <c r="BD371" s="186"/>
      <c r="BE371" s="186"/>
      <c r="BF371" s="186"/>
      <c r="BG371" s="186"/>
      <c r="BH371" s="186"/>
      <c r="BI371" s="186"/>
      <c r="BJ371" s="186"/>
      <c r="BK371" s="186"/>
      <c r="BL371" s="186"/>
      <c r="BM371" s="186"/>
      <c r="BN371" s="186"/>
      <c r="BO371" s="186"/>
      <c r="BP371" s="186"/>
      <c r="BQ371" s="186"/>
      <c r="BR371" s="186"/>
      <c r="BS371" s="186"/>
      <c r="BT371" s="186"/>
      <c r="BU371" s="186"/>
      <c r="BV371" s="186"/>
      <c r="BW371" s="186"/>
      <c r="BX371" s="186"/>
      <c r="BY371" s="186"/>
      <c r="BZ371" s="186"/>
      <c r="CA371" s="186"/>
      <c r="CB371" s="186"/>
      <c r="CC371" s="186"/>
      <c r="CD371" s="186"/>
      <c r="CE371" s="186"/>
      <c r="CF371" s="186"/>
      <c r="CG371" s="186"/>
    </row>
  </sheetData>
  <pageMargins left="0.25" right="0.25" top="0.75" bottom="0.75" header="0.3" footer="0.3"/>
  <pageSetup scale="61" fitToWidth="3" orientation="portrait" r:id="rId1"/>
  <colBreaks count="2" manualBreakCount="2">
    <brk id="13" max="55" man="1"/>
    <brk id="34" max="5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BK371"/>
  <sheetViews>
    <sheetView showGridLines="0" view="pageBreakPreview" zoomScaleNormal="100" zoomScaleSheetLayoutView="100" workbookViewId="0">
      <selection activeCell="H35" sqref="H35"/>
    </sheetView>
  </sheetViews>
  <sheetFormatPr defaultRowHeight="15"/>
  <cols>
    <col min="1" max="1" width="2.85546875" customWidth="1"/>
    <col min="2" max="2" width="9.5703125" customWidth="1"/>
    <col min="3" max="3" width="15.28515625" customWidth="1"/>
    <col min="4" max="4" width="10" customWidth="1"/>
    <col min="5" max="6" width="15.28515625" customWidth="1"/>
    <col min="7" max="7" width="9.5703125" customWidth="1"/>
    <col min="8" max="8" width="15.28515625" customWidth="1"/>
    <col min="9" max="9" width="8.42578125" customWidth="1"/>
    <col min="10" max="10" width="8.140625" customWidth="1"/>
    <col min="11" max="11" width="9.140625" customWidth="1"/>
    <col min="12" max="13" width="1.28515625" customWidth="1"/>
    <col min="16" max="16" width="1.42578125" customWidth="1"/>
    <col min="17" max="17" width="8" customWidth="1"/>
    <col min="18" max="18" width="8.7109375" customWidth="1"/>
    <col min="20" max="20" width="1.7109375" customWidth="1"/>
    <col min="22" max="22" width="9.85546875" customWidth="1"/>
    <col min="23" max="23" width="7.140625" customWidth="1"/>
    <col min="24" max="24" width="8.28515625" customWidth="1"/>
    <col min="25" max="25" width="6.42578125" customWidth="1"/>
    <col min="26" max="26" width="5.42578125" customWidth="1"/>
    <col min="27" max="27" width="7.42578125" customWidth="1"/>
    <col min="28" max="31" width="8.140625" customWidth="1"/>
    <col min="32" max="32" width="8.42578125" customWidth="1"/>
    <col min="33" max="33" width="2.7109375" customWidth="1"/>
    <col min="34" max="34" width="3" customWidth="1"/>
    <col min="35" max="35" width="13.42578125" customWidth="1"/>
    <col min="36" max="36" width="12" customWidth="1"/>
    <col min="37" max="42" width="13.42578125" customWidth="1"/>
    <col min="43" max="44" width="12" customWidth="1"/>
  </cols>
  <sheetData>
    <row r="1" spans="1:63" s="289" customFormat="1" ht="17.25" customHeight="1">
      <c r="A1" s="866"/>
      <c r="B1" s="866"/>
      <c r="C1" s="866"/>
      <c r="D1" s="866"/>
      <c r="E1" s="866"/>
      <c r="F1" s="866"/>
      <c r="G1" s="866"/>
      <c r="H1" s="866"/>
      <c r="I1" s="866"/>
      <c r="J1" s="866"/>
      <c r="K1" s="866"/>
      <c r="L1" s="866"/>
      <c r="M1" s="866"/>
      <c r="N1" s="866"/>
      <c r="O1" s="866"/>
      <c r="P1" s="866"/>
      <c r="Q1" s="866"/>
      <c r="R1" s="866"/>
      <c r="S1" s="866"/>
      <c r="T1" s="866"/>
      <c r="U1" s="866"/>
      <c r="V1" s="866"/>
      <c r="W1" s="866"/>
      <c r="X1" s="866"/>
      <c r="Y1" s="866"/>
      <c r="Z1" s="866"/>
      <c r="AA1" s="866"/>
      <c r="AB1" s="866"/>
      <c r="AC1" s="866"/>
      <c r="AD1" s="866"/>
      <c r="AE1" s="866"/>
      <c r="AF1" s="866"/>
      <c r="AG1" s="866"/>
      <c r="AH1" s="866"/>
      <c r="AI1" s="866"/>
      <c r="AJ1" s="866"/>
      <c r="AK1" s="866"/>
      <c r="AL1" s="866"/>
      <c r="AM1" s="866"/>
      <c r="AN1" s="866"/>
      <c r="AO1" s="866"/>
      <c r="AP1" s="866"/>
      <c r="AQ1" s="866"/>
      <c r="AR1" s="866"/>
      <c r="AS1" s="866"/>
      <c r="AT1" s="866"/>
      <c r="AU1" s="866"/>
      <c r="AV1" s="866"/>
      <c r="AW1" s="866"/>
      <c r="AX1" s="866"/>
      <c r="AY1" s="866"/>
      <c r="AZ1" s="866"/>
      <c r="BA1" s="866"/>
      <c r="BB1" s="866"/>
      <c r="BC1" s="866"/>
      <c r="BD1" s="866"/>
      <c r="BE1" s="866"/>
      <c r="BF1" s="866"/>
      <c r="BG1" s="866"/>
      <c r="BH1" s="866"/>
      <c r="BI1" s="866"/>
      <c r="BJ1" s="866"/>
      <c r="BK1" s="916"/>
    </row>
    <row r="2" spans="1:63" s="289" customFormat="1" ht="17.25" customHeight="1">
      <c r="A2" s="866"/>
      <c r="B2" s="866"/>
      <c r="C2" s="866"/>
      <c r="D2" s="866"/>
      <c r="E2" s="866"/>
      <c r="F2" s="866"/>
      <c r="G2" s="866"/>
      <c r="H2" s="866"/>
      <c r="I2" s="866"/>
      <c r="J2" s="866"/>
      <c r="K2" s="868"/>
      <c r="L2" s="868"/>
      <c r="M2" s="868"/>
      <c r="N2" s="868"/>
      <c r="O2" s="868"/>
      <c r="P2" s="868"/>
      <c r="Q2" s="868"/>
      <c r="R2" s="868"/>
      <c r="S2" s="868"/>
      <c r="T2" s="868"/>
      <c r="U2" s="868"/>
      <c r="V2" s="868"/>
      <c r="W2" s="868"/>
      <c r="X2" s="868"/>
      <c r="Y2" s="868"/>
      <c r="Z2" s="868"/>
      <c r="AA2" s="868"/>
      <c r="AB2" s="868"/>
      <c r="AC2" s="868"/>
      <c r="AD2" s="868"/>
      <c r="AE2" s="917" t="s">
        <v>345</v>
      </c>
      <c r="AF2" s="917" t="s">
        <v>346</v>
      </c>
      <c r="AG2" s="868"/>
      <c r="AH2" s="868"/>
      <c r="AI2" s="868" t="s">
        <v>347</v>
      </c>
      <c r="AJ2" s="868"/>
      <c r="AK2" s="868"/>
      <c r="AL2" s="868"/>
      <c r="AM2" s="868"/>
      <c r="AN2" s="868"/>
      <c r="AO2" s="868"/>
      <c r="AP2" s="868"/>
      <c r="AQ2" s="868"/>
      <c r="AR2" s="868"/>
      <c r="AS2" s="866"/>
      <c r="AT2" s="866"/>
      <c r="AU2" s="866"/>
      <c r="AV2" s="866"/>
      <c r="AW2" s="866"/>
      <c r="AX2" s="866"/>
      <c r="AY2" s="866"/>
      <c r="AZ2" s="866"/>
      <c r="BA2" s="866"/>
      <c r="BB2" s="866"/>
      <c r="BC2" s="866"/>
      <c r="BD2" s="866"/>
      <c r="BE2" s="866"/>
      <c r="BF2" s="866"/>
      <c r="BG2" s="866"/>
      <c r="BH2" s="866"/>
      <c r="BI2" s="866"/>
      <c r="BJ2" s="866"/>
      <c r="BK2" s="916"/>
    </row>
    <row r="3" spans="1:63" s="289" customFormat="1" ht="17.25" customHeight="1">
      <c r="A3" s="866"/>
      <c r="B3" s="868" t="s">
        <v>408</v>
      </c>
      <c r="C3" s="866"/>
      <c r="D3" s="866"/>
      <c r="E3" s="866"/>
      <c r="F3" s="866"/>
      <c r="G3" s="866"/>
      <c r="H3" s="866"/>
      <c r="I3" s="866"/>
      <c r="J3" s="866"/>
      <c r="K3" s="868"/>
      <c r="L3" s="868"/>
      <c r="M3" s="868"/>
      <c r="N3" s="868"/>
      <c r="O3" s="868"/>
      <c r="P3" s="868"/>
      <c r="Q3" s="868"/>
      <c r="R3" s="868"/>
      <c r="S3" s="868"/>
      <c r="T3" s="868"/>
      <c r="U3" s="868"/>
      <c r="V3" s="868"/>
      <c r="W3" s="868"/>
      <c r="X3" s="868"/>
      <c r="Y3" s="868"/>
      <c r="Z3" s="868"/>
      <c r="AA3" s="868"/>
      <c r="AB3" s="868"/>
      <c r="AC3" s="868"/>
      <c r="AD3" s="868"/>
      <c r="AE3" s="917"/>
      <c r="AF3" s="917"/>
      <c r="AG3" s="868"/>
      <c r="AH3" s="868"/>
      <c r="AI3" s="868"/>
      <c r="AJ3" s="868"/>
      <c r="AK3" s="868"/>
      <c r="AL3" s="868"/>
      <c r="AM3" s="868"/>
      <c r="AN3" s="868"/>
      <c r="AO3" s="868"/>
      <c r="AP3" s="868"/>
      <c r="AQ3" s="868"/>
      <c r="AR3" s="868"/>
      <c r="AS3" s="866"/>
      <c r="AT3" s="866"/>
      <c r="AU3" s="866"/>
      <c r="AV3" s="866"/>
      <c r="AW3" s="866"/>
      <c r="AX3" s="866"/>
      <c r="AY3" s="866"/>
      <c r="AZ3" s="866"/>
      <c r="BA3" s="866"/>
      <c r="BB3" s="866"/>
      <c r="BC3" s="866"/>
      <c r="BD3" s="866"/>
      <c r="BE3" s="866"/>
      <c r="BF3" s="866"/>
      <c r="BG3" s="866"/>
      <c r="BH3" s="866"/>
      <c r="BI3" s="866"/>
      <c r="BJ3" s="866"/>
      <c r="BK3" s="916"/>
    </row>
    <row r="4" spans="1:63" s="289" customFormat="1" ht="17.25" customHeight="1">
      <c r="A4" s="866"/>
      <c r="B4" s="870"/>
      <c r="C4" s="868"/>
      <c r="D4" s="868"/>
      <c r="E4" s="871"/>
      <c r="F4" s="868"/>
      <c r="G4" s="872"/>
      <c r="H4" s="868"/>
      <c r="I4" s="868"/>
      <c r="J4" s="868"/>
      <c r="K4" s="868"/>
      <c r="L4" s="868"/>
      <c r="M4" s="868"/>
      <c r="N4" s="868" t="s">
        <v>349</v>
      </c>
      <c r="O4" s="868"/>
      <c r="P4" s="868"/>
      <c r="Q4" s="868"/>
      <c r="R4" s="868"/>
      <c r="S4" s="868"/>
      <c r="T4" s="868"/>
      <c r="U4" s="917" t="s">
        <v>350</v>
      </c>
      <c r="V4" s="917" t="s">
        <v>351</v>
      </c>
      <c r="W4" s="917" t="s">
        <v>352</v>
      </c>
      <c r="X4" s="917" t="s">
        <v>353</v>
      </c>
      <c r="Y4" s="917" t="s">
        <v>354</v>
      </c>
      <c r="Z4" s="868"/>
      <c r="AA4" s="917" t="s">
        <v>355</v>
      </c>
      <c r="AB4" s="868" t="s">
        <v>356</v>
      </c>
      <c r="AC4" s="917" t="s">
        <v>357</v>
      </c>
      <c r="AD4" s="917" t="s">
        <v>358</v>
      </c>
      <c r="AE4" s="917" t="s">
        <v>359</v>
      </c>
      <c r="AF4" s="868"/>
      <c r="AG4" s="868"/>
      <c r="AH4" s="868"/>
      <c r="AI4" s="868" t="s">
        <v>360</v>
      </c>
      <c r="AJ4" s="868"/>
      <c r="AK4" s="868"/>
      <c r="AL4" s="868"/>
      <c r="AM4" s="868"/>
      <c r="AN4" s="868"/>
      <c r="AO4" s="868"/>
      <c r="AP4" s="868"/>
      <c r="AQ4" s="868"/>
      <c r="AR4" s="868"/>
      <c r="AS4" s="866"/>
      <c r="AT4" s="866"/>
      <c r="AU4" s="866"/>
      <c r="AV4" s="866"/>
      <c r="AW4" s="866"/>
      <c r="AX4" s="866"/>
      <c r="AY4" s="866"/>
      <c r="AZ4" s="866"/>
      <c r="BA4" s="866"/>
      <c r="BB4" s="866"/>
      <c r="BC4" s="866"/>
      <c r="BD4" s="866"/>
      <c r="BE4" s="866"/>
      <c r="BF4" s="866"/>
      <c r="BG4" s="866"/>
      <c r="BH4" s="866"/>
      <c r="BI4" s="866"/>
      <c r="BJ4" s="866"/>
      <c r="BK4" s="916"/>
    </row>
    <row r="5" spans="1:63" s="289" customFormat="1" ht="17.25" customHeight="1">
      <c r="A5" s="866"/>
      <c r="B5" s="875" t="s">
        <v>361</v>
      </c>
      <c r="C5" s="875" t="s">
        <v>362</v>
      </c>
      <c r="D5" s="868"/>
      <c r="E5" s="880">
        <f>E7+E6</f>
        <v>1367999.3118728176</v>
      </c>
      <c r="F5" s="875" t="s">
        <v>363</v>
      </c>
      <c r="G5" s="868"/>
      <c r="H5" s="868"/>
      <c r="I5" s="868"/>
      <c r="J5" s="875"/>
      <c r="K5" s="868"/>
      <c r="L5" s="889"/>
      <c r="M5" s="868"/>
      <c r="N5" s="875" t="s">
        <v>364</v>
      </c>
      <c r="O5" s="868"/>
      <c r="P5" s="868"/>
      <c r="Q5" s="875" t="s">
        <v>365</v>
      </c>
      <c r="R5" s="868"/>
      <c r="S5" s="868"/>
      <c r="T5" s="868"/>
      <c r="U5" s="911">
        <f>$E$8*1.25</f>
        <v>1505235.2707644866</v>
      </c>
      <c r="V5" s="884">
        <f>100*(+U5/$E$9)</f>
        <v>190.22821430173832</v>
      </c>
      <c r="W5" s="892">
        <f>EXP(5.7226-(0.68367*LN(+V5)))</f>
        <v>8.4532110089455657</v>
      </c>
      <c r="X5" s="892">
        <f>(+W5*V5)/100</f>
        <v>16.080392353475105</v>
      </c>
      <c r="Y5" s="884">
        <f>100*((((X5/100)-((X5/100)-0.03574)*$E$21)-0.03574-0.00619)/0.344)</f>
        <v>22.195403933992932</v>
      </c>
      <c r="Z5" s="868">
        <f>$E$20</f>
        <v>0.25</v>
      </c>
      <c r="AA5" s="884">
        <f>Y5+Z5</f>
        <v>22.445403933992932</v>
      </c>
      <c r="AB5" s="884">
        <f>100*($E$17*$E$19+($E$18*(AA5/100))/(1-$E$21))</f>
        <v>21.633417772913326</v>
      </c>
      <c r="AC5" s="892">
        <f>AB5/V5</f>
        <v>0.11372349707598363</v>
      </c>
      <c r="AD5" s="911">
        <f>$E$8/(1-AC5)</f>
        <v>1358704.8879652275</v>
      </c>
      <c r="AE5" s="868" t="str">
        <f>IF(AD5=$U$5,"yes","not yet")</f>
        <v>not yet</v>
      </c>
      <c r="AF5" s="884">
        <f>100*(1-AC5)</f>
        <v>88.62765029240164</v>
      </c>
      <c r="AG5" s="868"/>
      <c r="AH5" s="868"/>
      <c r="AI5" s="868">
        <v>0</v>
      </c>
      <c r="AJ5" s="868">
        <v>1</v>
      </c>
      <c r="AK5" s="868"/>
      <c r="AL5" s="868"/>
      <c r="AM5" s="868"/>
      <c r="AN5" s="868"/>
      <c r="AO5" s="868"/>
      <c r="AP5" s="868"/>
      <c r="AQ5" s="868"/>
      <c r="AR5" s="868"/>
      <c r="AS5" s="866"/>
      <c r="AT5" s="866"/>
      <c r="AU5" s="866"/>
      <c r="AV5" s="866"/>
      <c r="AW5" s="866"/>
      <c r="AX5" s="866"/>
      <c r="AY5" s="866"/>
      <c r="AZ5" s="866"/>
      <c r="BA5" s="866"/>
      <c r="BB5" s="866"/>
      <c r="BC5" s="866"/>
      <c r="BD5" s="866"/>
      <c r="BE5" s="866"/>
      <c r="BF5" s="866"/>
      <c r="BG5" s="866"/>
      <c r="BH5" s="866"/>
      <c r="BI5" s="866"/>
      <c r="BJ5" s="866"/>
      <c r="BK5" s="916"/>
    </row>
    <row r="6" spans="1:63" s="289" customFormat="1" ht="17.25" customHeight="1">
      <c r="A6" s="866"/>
      <c r="B6" s="875" t="s">
        <v>361</v>
      </c>
      <c r="C6" s="875" t="s">
        <v>366</v>
      </c>
      <c r="D6" s="868"/>
      <c r="E6" s="880">
        <f>(+E8-((H15/100)*E7))/H25</f>
        <v>154108.79683344738</v>
      </c>
      <c r="F6" s="876" t="s">
        <v>363</v>
      </c>
      <c r="G6" s="868"/>
      <c r="H6" s="877"/>
      <c r="I6" s="868"/>
      <c r="J6" s="920">
        <f>E6/E7</f>
        <v>0.12695444516958695</v>
      </c>
      <c r="K6" s="921" t="s">
        <v>367</v>
      </c>
      <c r="L6" s="889"/>
      <c r="M6" s="868"/>
      <c r="N6" s="875" t="s">
        <v>368</v>
      </c>
      <c r="O6" s="868"/>
      <c r="P6" s="868"/>
      <c r="Q6" s="875" t="s">
        <v>369</v>
      </c>
      <c r="R6" s="868"/>
      <c r="S6" s="868"/>
      <c r="T6" s="868"/>
      <c r="U6" s="911">
        <f>$E$8*1.25</f>
        <v>1505235.2707644866</v>
      </c>
      <c r="V6" s="884">
        <f>100*(+U6/$E$9)</f>
        <v>190.22821430173832</v>
      </c>
      <c r="W6" s="892">
        <f>EXP(5.70827-(0.68367*LN(+V6)))</f>
        <v>8.3329402929818137</v>
      </c>
      <c r="X6" s="892">
        <f>(+W6*V6)/100</f>
        <v>15.851603518169345</v>
      </c>
      <c r="Y6" s="884">
        <f>100*((((X6/100)-((X6/100)-0.03574)*$E$21)-0.03574-0.00619)/0.344)</f>
        <v>21.756448610441186</v>
      </c>
      <c r="Z6" s="868">
        <f>$E$20</f>
        <v>0.25</v>
      </c>
      <c r="AA6" s="884">
        <f>Y6+Z6</f>
        <v>22.006448610441186</v>
      </c>
      <c r="AB6" s="884">
        <f>100*($E$17*$E$19+($E$18*(AA6/100))/(1-$E$21))</f>
        <v>21.234367478775376</v>
      </c>
      <c r="AC6" s="892">
        <f>AB6/V6</f>
        <v>0.11162575203010426</v>
      </c>
      <c r="AD6" s="911">
        <f>$E$8/(1-AC6)</f>
        <v>1355496.5369194217</v>
      </c>
      <c r="AE6" s="868" t="str">
        <f>IF(AD6=$U$6,"yes","not yet")</f>
        <v>not yet</v>
      </c>
      <c r="AF6" s="884">
        <f>100*(1-AC6)</f>
        <v>88.837424796989566</v>
      </c>
      <c r="AG6" s="868"/>
      <c r="AH6" s="868"/>
      <c r="AI6" s="868">
        <v>50</v>
      </c>
      <c r="AJ6" s="868">
        <v>2</v>
      </c>
      <c r="AK6" s="868"/>
      <c r="AL6" s="868"/>
      <c r="AM6" s="868"/>
      <c r="AN6" s="868"/>
      <c r="AO6" s="868"/>
      <c r="AP6" s="868"/>
      <c r="AQ6" s="868"/>
      <c r="AR6" s="868"/>
      <c r="AS6" s="866"/>
      <c r="AT6" s="866"/>
      <c r="AU6" s="866"/>
      <c r="AV6" s="866"/>
      <c r="AW6" s="866"/>
      <c r="AX6" s="866"/>
      <c r="AY6" s="866"/>
      <c r="AZ6" s="866"/>
      <c r="BA6" s="866"/>
      <c r="BB6" s="866"/>
      <c r="BC6" s="866"/>
      <c r="BD6" s="866"/>
      <c r="BE6" s="866"/>
      <c r="BF6" s="866"/>
      <c r="BG6" s="866"/>
      <c r="BH6" s="866"/>
      <c r="BI6" s="866"/>
      <c r="BJ6" s="866"/>
      <c r="BK6" s="916"/>
    </row>
    <row r="7" spans="1:63" s="289" customFormat="1" ht="17.25" customHeight="1">
      <c r="A7" s="866"/>
      <c r="B7" s="879" t="s">
        <v>370</v>
      </c>
      <c r="C7" s="875" t="s">
        <v>84</v>
      </c>
      <c r="D7" s="879" t="s">
        <v>371</v>
      </c>
      <c r="E7" s="880">
        <f>'Bingen Consolidated IS'!J16</f>
        <v>1213890.5150393702</v>
      </c>
      <c r="F7" s="875" t="s">
        <v>372</v>
      </c>
      <c r="G7" s="868"/>
      <c r="H7" s="881"/>
      <c r="I7" s="868"/>
      <c r="J7" s="922"/>
      <c r="K7" s="921"/>
      <c r="L7" s="889"/>
      <c r="M7" s="868"/>
      <c r="N7" s="875" t="s">
        <v>373</v>
      </c>
      <c r="O7" s="868"/>
      <c r="P7" s="868"/>
      <c r="Q7" s="875" t="s">
        <v>374</v>
      </c>
      <c r="R7" s="868"/>
      <c r="S7" s="868"/>
      <c r="T7" s="868"/>
      <c r="U7" s="911">
        <f>$E$8*1.25</f>
        <v>1505235.2707644866</v>
      </c>
      <c r="V7" s="884">
        <f>100*(+U7/$E$9)</f>
        <v>190.22821430173832</v>
      </c>
      <c r="W7" s="892">
        <f>EXP(5.6985-(0.68367*LN(V7)))</f>
        <v>8.2519238759532065</v>
      </c>
      <c r="X7" s="892">
        <f>(+W7*V7)/100</f>
        <v>15.697487434764577</v>
      </c>
      <c r="Y7" s="884">
        <f>100*((((X7/100)-((X7/100)-0.03574)*$E$21)-0.03574-0.00619)/0.344)</f>
        <v>21.460760776001802</v>
      </c>
      <c r="Z7" s="868">
        <f>$E$20</f>
        <v>0.25</v>
      </c>
      <c r="AA7" s="884">
        <f>Y7+Z7</f>
        <v>21.710760776001802</v>
      </c>
      <c r="AB7" s="884">
        <f>100*($E$17*$E$19+($E$18*(AA7/100))/(1-$E$21))</f>
        <v>20.965560356557752</v>
      </c>
      <c r="AC7" s="892">
        <f>AB7/V7</f>
        <v>0.11021267498890762</v>
      </c>
      <c r="AD7" s="911">
        <f>$E$8/(1-AC7)</f>
        <v>1353343.8640481618</v>
      </c>
      <c r="AE7" s="868" t="str">
        <f>IF(AD7=$U$7,"yes","not yet")</f>
        <v>not yet</v>
      </c>
      <c r="AF7" s="884">
        <f>100*(1-AC7)</f>
        <v>88.978732501109235</v>
      </c>
      <c r="AG7" s="868"/>
      <c r="AH7" s="868"/>
      <c r="AI7" s="868">
        <v>125</v>
      </c>
      <c r="AJ7" s="868">
        <v>3</v>
      </c>
      <c r="AK7" s="868"/>
      <c r="AL7" s="868"/>
      <c r="AM7" s="868"/>
      <c r="AN7" s="868"/>
      <c r="AO7" s="868"/>
      <c r="AP7" s="868"/>
      <c r="AQ7" s="868"/>
      <c r="AR7" s="868"/>
      <c r="AS7" s="866"/>
      <c r="AT7" s="866"/>
      <c r="AU7" s="866"/>
      <c r="AV7" s="866"/>
      <c r="AW7" s="866"/>
      <c r="AX7" s="866"/>
      <c r="AY7" s="866"/>
      <c r="AZ7" s="866"/>
      <c r="BA7" s="866"/>
      <c r="BB7" s="866"/>
      <c r="BC7" s="866"/>
      <c r="BD7" s="866"/>
      <c r="BE7" s="866"/>
      <c r="BF7" s="866"/>
      <c r="BG7" s="866"/>
      <c r="BH7" s="866"/>
      <c r="BI7" s="866"/>
      <c r="BJ7" s="866"/>
      <c r="BK7" s="916"/>
    </row>
    <row r="8" spans="1:63" s="289" customFormat="1" ht="17.25" customHeight="1">
      <c r="A8" s="866"/>
      <c r="B8" s="879" t="s">
        <v>370</v>
      </c>
      <c r="C8" s="875" t="s">
        <v>375</v>
      </c>
      <c r="D8" s="879" t="s">
        <v>371</v>
      </c>
      <c r="E8" s="880">
        <f>'Bingen Consolidated IS'!J242</f>
        <v>1204188.2166115893</v>
      </c>
      <c r="F8" s="875" t="s">
        <v>372</v>
      </c>
      <c r="G8" s="868"/>
      <c r="H8" s="881"/>
      <c r="I8" s="868"/>
      <c r="J8" s="920"/>
      <c r="K8" s="874"/>
      <c r="L8" s="889"/>
      <c r="M8" s="868"/>
      <c r="N8" s="875" t="s">
        <v>376</v>
      </c>
      <c r="O8" s="868"/>
      <c r="P8" s="868"/>
      <c r="Q8" s="875" t="s">
        <v>377</v>
      </c>
      <c r="R8" s="868"/>
      <c r="S8" s="868"/>
      <c r="T8" s="868"/>
      <c r="U8" s="911">
        <f>$E$8*1.25</f>
        <v>1505235.2707644866</v>
      </c>
      <c r="V8" s="884">
        <f>100*(+U8/$E$9)</f>
        <v>190.22821430173832</v>
      </c>
      <c r="W8" s="892">
        <f>EXP(5.6922-(0.68367*LN(V8)))</f>
        <v>8.2001001716101669</v>
      </c>
      <c r="X8" s="892">
        <f>(+W8*V8)/100</f>
        <v>15.598904127407799</v>
      </c>
      <c r="Y8" s="884">
        <f>100*((((X8/100)-((X8/100)-0.03574)*$E$21)-0.03574-0.00619)/0.344)</f>
        <v>21.27161838398008</v>
      </c>
      <c r="Z8" s="868">
        <f>$E$20</f>
        <v>0.25</v>
      </c>
      <c r="AA8" s="884">
        <f>Y8+Z8</f>
        <v>21.52161838398008</v>
      </c>
      <c r="AB8" s="884">
        <f>100*($E$17*$E$19+($E$18*(AA8/100))/(1-$E$21))</f>
        <v>20.793612727447094</v>
      </c>
      <c r="AC8" s="892">
        <f>AB8/V8</f>
        <v>0.10930877316897086</v>
      </c>
      <c r="AD8" s="911">
        <f>$E$8/(1-AC8)</f>
        <v>1351970.4475993821</v>
      </c>
      <c r="AE8" s="868" t="str">
        <f>IF(AD8=$U$8,"yes","not yet")</f>
        <v>not yet</v>
      </c>
      <c r="AF8" s="884">
        <f>100*(1-AC8)</f>
        <v>89.069122683102918</v>
      </c>
      <c r="AG8" s="868"/>
      <c r="AH8" s="868"/>
      <c r="AI8" s="868">
        <v>401</v>
      </c>
      <c r="AJ8" s="868">
        <v>4</v>
      </c>
      <c r="AK8" s="868"/>
      <c r="AL8" s="868"/>
      <c r="AM8" s="868"/>
      <c r="AN8" s="868"/>
      <c r="AO8" s="868"/>
      <c r="AP8" s="868"/>
      <c r="AQ8" s="868"/>
      <c r="AR8" s="868"/>
      <c r="AS8" s="866"/>
      <c r="AT8" s="866"/>
      <c r="AU8" s="866"/>
      <c r="AV8" s="866"/>
      <c r="AW8" s="866"/>
      <c r="AX8" s="866"/>
      <c r="AY8" s="866"/>
      <c r="AZ8" s="866"/>
      <c r="BA8" s="866"/>
      <c r="BB8" s="866"/>
      <c r="BC8" s="866"/>
      <c r="BD8" s="866"/>
      <c r="BE8" s="866"/>
      <c r="BF8" s="866"/>
      <c r="BG8" s="866"/>
      <c r="BH8" s="866"/>
      <c r="BI8" s="866"/>
      <c r="BJ8" s="866"/>
      <c r="BK8" s="916"/>
    </row>
    <row r="9" spans="1:63" s="289" customFormat="1" ht="17.25" customHeight="1">
      <c r="A9" s="866"/>
      <c r="B9" s="879" t="s">
        <v>370</v>
      </c>
      <c r="C9" s="875" t="s">
        <v>378</v>
      </c>
      <c r="D9" s="868"/>
      <c r="E9" s="880">
        <f>'Bingen Consolidated IS'!J248</f>
        <v>791278.6629941737</v>
      </c>
      <c r="F9" s="875" t="s">
        <v>372</v>
      </c>
      <c r="G9" s="868"/>
      <c r="H9" s="868"/>
      <c r="I9" s="868"/>
      <c r="J9" s="874"/>
      <c r="K9" s="921"/>
      <c r="L9" s="889"/>
      <c r="M9" s="868"/>
      <c r="N9" s="868"/>
      <c r="O9" s="868"/>
      <c r="P9" s="868"/>
      <c r="Q9" s="868"/>
      <c r="R9" s="868"/>
      <c r="S9" s="868"/>
      <c r="T9" s="868"/>
      <c r="U9" s="868"/>
      <c r="V9" s="868"/>
      <c r="W9" s="868"/>
      <c r="X9" s="868"/>
      <c r="Y9" s="868"/>
      <c r="Z9" s="868"/>
      <c r="AA9" s="884"/>
      <c r="AB9" s="868"/>
      <c r="AC9" s="868"/>
      <c r="AD9" s="868"/>
      <c r="AE9" s="868"/>
      <c r="AF9" s="868"/>
      <c r="AG9" s="868"/>
      <c r="AH9" s="868"/>
      <c r="AI9" s="868"/>
      <c r="AJ9" s="868"/>
      <c r="AK9" s="868"/>
      <c r="AL9" s="868"/>
      <c r="AM9" s="868"/>
      <c r="AN9" s="868"/>
      <c r="AO9" s="868"/>
      <c r="AP9" s="868"/>
      <c r="AQ9" s="868"/>
      <c r="AR9" s="868"/>
      <c r="AS9" s="866"/>
      <c r="AT9" s="866"/>
      <c r="AU9" s="866"/>
      <c r="AV9" s="866"/>
      <c r="AW9" s="866"/>
      <c r="AX9" s="866"/>
      <c r="AY9" s="866"/>
      <c r="AZ9" s="866"/>
      <c r="BA9" s="866"/>
      <c r="BB9" s="866"/>
      <c r="BC9" s="866"/>
      <c r="BD9" s="866"/>
      <c r="BE9" s="866"/>
      <c r="BF9" s="866"/>
      <c r="BG9" s="866"/>
      <c r="BH9" s="866"/>
      <c r="BI9" s="866"/>
      <c r="BJ9" s="866"/>
      <c r="BK9" s="916"/>
    </row>
    <row r="10" spans="1:63" s="289" customFormat="1" ht="17.25" customHeight="1">
      <c r="A10" s="866"/>
      <c r="B10" s="870"/>
      <c r="C10" s="875" t="s">
        <v>379</v>
      </c>
      <c r="D10" s="868"/>
      <c r="E10" s="884">
        <f>V5</f>
        <v>190.22821430173832</v>
      </c>
      <c r="F10" s="875" t="s">
        <v>380</v>
      </c>
      <c r="G10" s="868"/>
      <c r="H10" s="884"/>
      <c r="I10" s="884"/>
      <c r="J10" s="897"/>
      <c r="K10" s="923"/>
      <c r="L10" s="868"/>
      <c r="M10" s="868"/>
      <c r="N10" s="868"/>
      <c r="O10" s="868"/>
      <c r="P10" s="868"/>
      <c r="Q10" s="868"/>
      <c r="R10" s="868"/>
      <c r="S10" s="868"/>
      <c r="T10" s="868"/>
      <c r="U10" s="868"/>
      <c r="V10" s="918" t="s">
        <v>381</v>
      </c>
      <c r="W10" s="918" t="s">
        <v>352</v>
      </c>
      <c r="X10" s="918" t="s">
        <v>353</v>
      </c>
      <c r="Y10" s="918" t="s">
        <v>354</v>
      </c>
      <c r="Z10" s="868"/>
      <c r="AA10" s="884"/>
      <c r="AB10" s="868"/>
      <c r="AC10" s="868"/>
      <c r="AD10" s="868"/>
      <c r="AE10" s="868"/>
      <c r="AF10" s="868"/>
      <c r="AG10" s="868"/>
      <c r="AH10" s="868"/>
      <c r="AI10" s="868" t="s">
        <v>382</v>
      </c>
      <c r="AJ10" s="868"/>
      <c r="AK10" s="868"/>
      <c r="AL10" s="868"/>
      <c r="AM10" s="868"/>
      <c r="AN10" s="868"/>
      <c r="AO10" s="868"/>
      <c r="AP10" s="868"/>
      <c r="AQ10" s="868"/>
      <c r="AR10" s="868"/>
      <c r="AS10" s="866"/>
      <c r="AT10" s="866"/>
      <c r="AU10" s="866"/>
      <c r="AV10" s="866"/>
      <c r="AW10" s="866"/>
      <c r="AX10" s="866"/>
      <c r="AY10" s="866"/>
      <c r="AZ10" s="866"/>
      <c r="BA10" s="866"/>
      <c r="BB10" s="866"/>
      <c r="BC10" s="866"/>
      <c r="BD10" s="866"/>
      <c r="BE10" s="866"/>
      <c r="BF10" s="866"/>
      <c r="BG10" s="866"/>
      <c r="BH10" s="866"/>
      <c r="BI10" s="866"/>
      <c r="BJ10" s="866"/>
      <c r="BK10" s="916"/>
    </row>
    <row r="11" spans="1:63" s="289" customFormat="1" ht="17.25" customHeight="1">
      <c r="A11" s="866"/>
      <c r="B11" s="870"/>
      <c r="C11" s="875" t="s">
        <v>383</v>
      </c>
      <c r="D11" s="868"/>
      <c r="E11" s="884">
        <f>HLOOKUP($AJ$34,$AJ$28:$AR$32,($E$12)+1)</f>
        <v>172.30427961255907</v>
      </c>
      <c r="F11" s="875" t="s">
        <v>380</v>
      </c>
      <c r="G11" s="868"/>
      <c r="H11" s="868"/>
      <c r="I11" s="868"/>
      <c r="J11" s="896"/>
      <c r="K11" s="924"/>
      <c r="L11" s="868"/>
      <c r="M11" s="868"/>
      <c r="N11" s="868"/>
      <c r="O11" s="868"/>
      <c r="P11" s="868"/>
      <c r="Q11" s="868"/>
      <c r="R11" s="868"/>
      <c r="S11" s="868"/>
      <c r="T11" s="868"/>
      <c r="U11" s="868"/>
      <c r="V11" s="884">
        <f>100*(+AD5/$E$9)</f>
        <v>171.71003737468803</v>
      </c>
      <c r="W11" s="919">
        <f>EXP(5.7226-(0.68367*LN(+V11)))</f>
        <v>9.0663157015149665</v>
      </c>
      <c r="X11" s="892">
        <f>(+W11*V11)/100</f>
        <v>15.567774079578557</v>
      </c>
      <c r="Y11" s="884">
        <f>100*((((X11/100)-((X11/100)-0.03574)*$E$21)-0.03574-0.00619)/0.344)</f>
        <v>21.211892129423969</v>
      </c>
      <c r="Z11" s="868">
        <f>$E$20</f>
        <v>0.25</v>
      </c>
      <c r="AA11" s="884">
        <f>Y11+Z11</f>
        <v>21.461892129423969</v>
      </c>
      <c r="AB11" s="884">
        <f>100*($E$17*$E$19+($E$18*(AA11/100))/(1-$E$21))</f>
        <v>20.739316132396088</v>
      </c>
      <c r="AC11" s="892">
        <f>AB11/V11</f>
        <v>0.12078103557301592</v>
      </c>
      <c r="AD11" s="911">
        <f>$E$8/(1-AC11)</f>
        <v>1369611.2860763853</v>
      </c>
      <c r="AE11" s="868" t="str">
        <f>IF(AD11=AD5,"yes","not yet")</f>
        <v>not yet</v>
      </c>
      <c r="AF11" s="884">
        <f>100*(1-AC11)</f>
        <v>87.921896442698412</v>
      </c>
      <c r="AG11" s="868"/>
      <c r="AH11" s="868"/>
      <c r="AI11" s="868"/>
      <c r="AJ11" s="868"/>
      <c r="AK11" s="868"/>
      <c r="AL11" s="868"/>
      <c r="AM11" s="868"/>
      <c r="AN11" s="868"/>
      <c r="AO11" s="868"/>
      <c r="AP11" s="868"/>
      <c r="AQ11" s="868"/>
      <c r="AR11" s="868"/>
      <c r="AS11" s="866"/>
      <c r="AT11" s="866"/>
      <c r="AU11" s="866"/>
      <c r="AV11" s="866"/>
      <c r="AW11" s="866"/>
      <c r="AX11" s="866"/>
      <c r="AY11" s="866"/>
      <c r="AZ11" s="866"/>
      <c r="BA11" s="866"/>
      <c r="BB11" s="866"/>
      <c r="BC11" s="866"/>
      <c r="BD11" s="866"/>
      <c r="BE11" s="866"/>
      <c r="BF11" s="866"/>
      <c r="BG11" s="866"/>
      <c r="BH11" s="866"/>
      <c r="BI11" s="866"/>
      <c r="BJ11" s="866"/>
      <c r="BK11" s="916"/>
    </row>
    <row r="12" spans="1:63" s="289" customFormat="1" ht="17.25" customHeight="1">
      <c r="A12" s="866"/>
      <c r="B12" s="870"/>
      <c r="C12" s="875" t="s">
        <v>384</v>
      </c>
      <c r="D12" s="868"/>
      <c r="E12" s="868">
        <f>VLOOKUP(E10,AI5:AJ8,2)</f>
        <v>3</v>
      </c>
      <c r="F12" s="875" t="s">
        <v>380</v>
      </c>
      <c r="G12" s="868"/>
      <c r="H12" s="868"/>
      <c r="I12" s="868"/>
      <c r="J12" s="925"/>
      <c r="K12" s="880"/>
      <c r="L12" s="868"/>
      <c r="M12" s="868"/>
      <c r="N12" s="868"/>
      <c r="O12" s="868"/>
      <c r="P12" s="868"/>
      <c r="Q12" s="868"/>
      <c r="R12" s="868"/>
      <c r="S12" s="868"/>
      <c r="T12" s="868"/>
      <c r="U12" s="868"/>
      <c r="V12" s="884">
        <f>100*(+AD6/$E$9)</f>
        <v>171.30457325744956</v>
      </c>
      <c r="W12" s="919">
        <f>EXP(5.70827-(0.68367*LN(+V12)))</f>
        <v>8.9517787381123846</v>
      </c>
      <c r="X12" s="892">
        <f>(+W12*V12)/100</f>
        <v>15.334806366274524</v>
      </c>
      <c r="Y12" s="884">
        <f>100*((((X12/100)-((X12/100)-0.03574)*$E$21)-0.03574-0.00619)/0.344)</f>
        <v>20.764919191108095</v>
      </c>
      <c r="Z12" s="868">
        <f>$E$20</f>
        <v>0.25</v>
      </c>
      <c r="AA12" s="884">
        <f>Y12+Z12</f>
        <v>21.014919191108095</v>
      </c>
      <c r="AB12" s="884">
        <f>100*($E$17*$E$19+($E$18*(AA12/100))/(1-$E$21))</f>
        <v>20.332977097563475</v>
      </c>
      <c r="AC12" s="892">
        <f>AB12/V12</f>
        <v>0.1186948877716506</v>
      </c>
      <c r="AD12" s="911">
        <f>$E$8/(1-AC12)</f>
        <v>1366369.2629296579</v>
      </c>
      <c r="AE12" s="868" t="str">
        <f>IF(AD12=AD6,"yes","not yet")</f>
        <v>not yet</v>
      </c>
      <c r="AF12" s="884">
        <f>100*(1-AC12)</f>
        <v>88.13051122283494</v>
      </c>
      <c r="AG12" s="868"/>
      <c r="AH12" s="868"/>
      <c r="AI12" s="868"/>
      <c r="AJ12" s="868"/>
      <c r="AK12" s="868"/>
      <c r="AL12" s="868"/>
      <c r="AM12" s="868"/>
      <c r="AN12" s="868"/>
      <c r="AO12" s="868"/>
      <c r="AP12" s="868"/>
      <c r="AQ12" s="868"/>
      <c r="AR12" s="868"/>
      <c r="AS12" s="866"/>
      <c r="AT12" s="866"/>
      <c r="AU12" s="866"/>
      <c r="AV12" s="866"/>
      <c r="AW12" s="866"/>
      <c r="AX12" s="866"/>
      <c r="AY12" s="866"/>
      <c r="AZ12" s="866"/>
      <c r="BA12" s="866"/>
      <c r="BB12" s="866"/>
      <c r="BC12" s="866"/>
      <c r="BD12" s="866"/>
      <c r="BE12" s="866"/>
      <c r="BF12" s="866"/>
      <c r="BG12" s="866"/>
      <c r="BH12" s="866"/>
      <c r="BI12" s="866"/>
      <c r="BJ12" s="866"/>
      <c r="BK12" s="916"/>
    </row>
    <row r="13" spans="1:63" s="289" customFormat="1" ht="17.25" customHeight="1">
      <c r="A13" s="866"/>
      <c r="B13" s="870"/>
      <c r="C13" s="868"/>
      <c r="D13" s="868"/>
      <c r="E13" s="868"/>
      <c r="F13" s="868"/>
      <c r="G13" s="868"/>
      <c r="H13" s="868"/>
      <c r="I13" s="868"/>
      <c r="J13" s="896"/>
      <c r="K13" s="901"/>
      <c r="L13" s="868"/>
      <c r="M13" s="868"/>
      <c r="N13" s="868"/>
      <c r="O13" s="868"/>
      <c r="P13" s="868"/>
      <c r="Q13" s="868"/>
      <c r="R13" s="868"/>
      <c r="S13" s="868"/>
      <c r="T13" s="868"/>
      <c r="U13" s="868"/>
      <c r="V13" s="884">
        <f>100*(+AD7/$E$9)</f>
        <v>171.0325233498842</v>
      </c>
      <c r="W13" s="919">
        <f>EXP(5.6985-(0.68367*LN(V13)))</f>
        <v>8.8743834103218262</v>
      </c>
      <c r="X13" s="892">
        <f>(+W13*V13)/100</f>
        <v>15.178081878416926</v>
      </c>
      <c r="Y13" s="884">
        <f>100*((((X13/100)-((X13/100)-0.03574)*$E$21)-0.03574-0.00619)/0.344)</f>
        <v>20.464226859753403</v>
      </c>
      <c r="Z13" s="868">
        <f>$E$20</f>
        <v>0.25</v>
      </c>
      <c r="AA13" s="884">
        <f>Y13+Z13</f>
        <v>20.714226859753403</v>
      </c>
      <c r="AB13" s="884">
        <f>100*($E$17*$E$19+($E$18*(AA13/100))/(1-$E$21))</f>
        <v>20.059620432695574</v>
      </c>
      <c r="AC13" s="892">
        <f>AB13/V13</f>
        <v>0.11728541472582533</v>
      </c>
      <c r="AD13" s="911">
        <f>$E$8/(1-AC13)</f>
        <v>1364187.5150817449</v>
      </c>
      <c r="AE13" s="868" t="str">
        <f>IF(AD13=AD7,"yes","not yet")</f>
        <v>not yet</v>
      </c>
      <c r="AF13" s="884">
        <f>100*(1-AC13)</f>
        <v>88.271458527417465</v>
      </c>
      <c r="AG13" s="868"/>
      <c r="AH13" s="868"/>
      <c r="AI13" s="868"/>
      <c r="AJ13" s="868">
        <v>1</v>
      </c>
      <c r="AK13" s="868">
        <v>2</v>
      </c>
      <c r="AL13" s="868">
        <v>3</v>
      </c>
      <c r="AM13" s="868">
        <v>4</v>
      </c>
      <c r="AN13" s="868">
        <v>5</v>
      </c>
      <c r="AO13" s="868">
        <v>6</v>
      </c>
      <c r="AP13" s="868">
        <v>7</v>
      </c>
      <c r="AQ13" s="868">
        <v>8</v>
      </c>
      <c r="AR13" s="868">
        <v>9</v>
      </c>
      <c r="AS13" s="866"/>
      <c r="AT13" s="866"/>
      <c r="AU13" s="866"/>
      <c r="AV13" s="866"/>
      <c r="AW13" s="866"/>
      <c r="AX13" s="866"/>
      <c r="AY13" s="866"/>
      <c r="AZ13" s="866"/>
      <c r="BA13" s="866"/>
      <c r="BB13" s="866"/>
      <c r="BC13" s="866"/>
      <c r="BD13" s="866"/>
      <c r="BE13" s="866"/>
      <c r="BF13" s="866"/>
      <c r="BG13" s="866"/>
      <c r="BH13" s="866"/>
      <c r="BI13" s="866"/>
      <c r="BJ13" s="866"/>
      <c r="BK13" s="916"/>
    </row>
    <row r="14" spans="1:63" s="289" customFormat="1" ht="17.25" customHeight="1">
      <c r="A14" s="866"/>
      <c r="B14" s="870"/>
      <c r="C14" s="875" t="s">
        <v>385</v>
      </c>
      <c r="D14" s="868"/>
      <c r="E14" s="868"/>
      <c r="F14" s="868"/>
      <c r="G14" s="868"/>
      <c r="H14" s="868"/>
      <c r="I14" s="868"/>
      <c r="J14" s="870"/>
      <c r="K14" s="871"/>
      <c r="L14" s="868"/>
      <c r="M14" s="868"/>
      <c r="N14" s="868"/>
      <c r="O14" s="868"/>
      <c r="P14" s="868"/>
      <c r="Q14" s="868"/>
      <c r="R14" s="868"/>
      <c r="S14" s="868"/>
      <c r="T14" s="868"/>
      <c r="U14" s="868"/>
      <c r="V14" s="884">
        <f>100*(+AD8/$E$9)</f>
        <v>170.85895409887186</v>
      </c>
      <c r="W14" s="919">
        <f>EXP(5.6922-(0.68367*LN(V14)))</f>
        <v>8.8247742383010959</v>
      </c>
      <c r="X14" s="892">
        <f>(+W14*V14)/100</f>
        <v>15.077916965147939</v>
      </c>
      <c r="Y14" s="884">
        <f>100*((((X14/100)-((X14/100)-0.03574)*$E$21)-0.03574-0.00619)/0.344)</f>
        <v>20.272049991272208</v>
      </c>
      <c r="Z14" s="868">
        <f>$E$20</f>
        <v>0.25</v>
      </c>
      <c r="AA14" s="884">
        <f>Y14+Z14</f>
        <v>20.522049991272208</v>
      </c>
      <c r="AB14" s="884">
        <f>100*($E$17*$E$19+($E$18*(AA14/100))/(1-$E$21))</f>
        <v>19.88491418862176</v>
      </c>
      <c r="AC14" s="892">
        <f>AB14/V14</f>
        <v>0.11638204326777542</v>
      </c>
      <c r="AD14" s="911">
        <f>$E$8/(1-AC14)</f>
        <v>1362792.8308121874</v>
      </c>
      <c r="AE14" s="868" t="str">
        <f>IF(AD14=AD8,"yes","not yet")</f>
        <v>not yet</v>
      </c>
      <c r="AF14" s="884">
        <f>100*(1-AC14)</f>
        <v>88.36179567322246</v>
      </c>
      <c r="AG14" s="868"/>
      <c r="AH14" s="868"/>
      <c r="AI14" s="868"/>
      <c r="AJ14" s="868" t="str">
        <f>AE5</f>
        <v>not yet</v>
      </c>
      <c r="AK14" s="868" t="str">
        <f>AE11</f>
        <v>not yet</v>
      </c>
      <c r="AL14" s="868" t="str">
        <f>AE17</f>
        <v>not yet</v>
      </c>
      <c r="AM14" s="868" t="str">
        <f>AE23</f>
        <v>not yet</v>
      </c>
      <c r="AN14" s="868" t="str">
        <f>AE29</f>
        <v>not yet</v>
      </c>
      <c r="AO14" s="868" t="str">
        <f>AE35</f>
        <v>not yet</v>
      </c>
      <c r="AP14" s="868" t="str">
        <f>AE41</f>
        <v>yes</v>
      </c>
      <c r="AQ14" s="868" t="str">
        <f>AE47</f>
        <v>yes</v>
      </c>
      <c r="AR14" s="868" t="str">
        <f>AE53</f>
        <v>yes</v>
      </c>
      <c r="AS14" s="866"/>
      <c r="AT14" s="866"/>
      <c r="AU14" s="866"/>
      <c r="AV14" s="866"/>
      <c r="AW14" s="866"/>
      <c r="AX14" s="866"/>
      <c r="AY14" s="866"/>
      <c r="AZ14" s="866"/>
      <c r="BA14" s="866"/>
      <c r="BB14" s="866"/>
      <c r="BC14" s="866"/>
      <c r="BD14" s="866"/>
      <c r="BE14" s="866"/>
      <c r="BF14" s="866"/>
      <c r="BG14" s="866"/>
      <c r="BH14" s="866"/>
      <c r="BI14" s="866"/>
      <c r="BJ14" s="866"/>
      <c r="BK14" s="916"/>
    </row>
    <row r="15" spans="1:63" s="289" customFormat="1" ht="17.25" customHeight="1">
      <c r="A15" s="866"/>
      <c r="B15" s="870"/>
      <c r="C15" s="875" t="s">
        <v>386</v>
      </c>
      <c r="D15" s="868"/>
      <c r="E15" s="879" t="s">
        <v>361</v>
      </c>
      <c r="F15" s="875" t="s">
        <v>387</v>
      </c>
      <c r="G15" s="868"/>
      <c r="H15" s="884">
        <f>HLOOKUP($AJ$25,$AJ$19:$AR$23,($E$12)+1)</f>
        <v>88.321977642224383</v>
      </c>
      <c r="I15" s="875" t="s">
        <v>363</v>
      </c>
      <c r="J15" s="866"/>
      <c r="K15" s="890"/>
      <c r="L15" s="868"/>
      <c r="M15" s="868"/>
      <c r="N15" s="868"/>
      <c r="O15" s="868"/>
      <c r="P15" s="868"/>
      <c r="Q15" s="868"/>
      <c r="R15" s="868"/>
      <c r="S15" s="868"/>
      <c r="T15" s="868"/>
      <c r="U15" s="868"/>
      <c r="V15" s="868"/>
      <c r="W15" s="868"/>
      <c r="X15" s="868"/>
      <c r="Y15" s="868"/>
      <c r="Z15" s="868"/>
      <c r="AA15" s="884"/>
      <c r="AB15" s="868"/>
      <c r="AC15" s="868"/>
      <c r="AD15" s="868"/>
      <c r="AE15" s="868"/>
      <c r="AF15" s="868"/>
      <c r="AG15" s="868"/>
      <c r="AH15" s="868"/>
      <c r="AI15" s="868"/>
      <c r="AJ15" s="868" t="str">
        <f>AE6</f>
        <v>not yet</v>
      </c>
      <c r="AK15" s="868" t="str">
        <f>AE12</f>
        <v>not yet</v>
      </c>
      <c r="AL15" s="868" t="str">
        <f>AE18</f>
        <v>not yet</v>
      </c>
      <c r="AM15" s="868" t="str">
        <f>AE24</f>
        <v>not yet</v>
      </c>
      <c r="AN15" s="868" t="str">
        <f>AE30</f>
        <v>not yet</v>
      </c>
      <c r="AO15" s="868" t="str">
        <f>AE36</f>
        <v>not yet</v>
      </c>
      <c r="AP15" s="868" t="str">
        <f>AE42</f>
        <v>yes</v>
      </c>
      <c r="AQ15" s="868" t="str">
        <f>AE48</f>
        <v>yes</v>
      </c>
      <c r="AR15" s="868" t="str">
        <f>AE54</f>
        <v>yes</v>
      </c>
      <c r="AS15" s="866"/>
      <c r="AT15" s="866"/>
      <c r="AU15" s="866"/>
      <c r="AV15" s="866"/>
      <c r="AW15" s="866"/>
      <c r="AX15" s="866"/>
      <c r="AY15" s="866"/>
      <c r="AZ15" s="866"/>
      <c r="BA15" s="866"/>
      <c r="BB15" s="866"/>
      <c r="BC15" s="866"/>
      <c r="BD15" s="866"/>
      <c r="BE15" s="866"/>
      <c r="BF15" s="866"/>
      <c r="BG15" s="866"/>
      <c r="BH15" s="866"/>
      <c r="BI15" s="866"/>
      <c r="BJ15" s="866"/>
      <c r="BK15" s="916"/>
    </row>
    <row r="16" spans="1:63" s="289" customFormat="1" ht="17.25" customHeight="1">
      <c r="A16" s="866"/>
      <c r="B16" s="870"/>
      <c r="C16" s="886"/>
      <c r="D16" s="886"/>
      <c r="E16" s="887"/>
      <c r="F16" s="868"/>
      <c r="G16" s="868"/>
      <c r="H16" s="886"/>
      <c r="I16" s="870"/>
      <c r="J16" s="866"/>
      <c r="K16" s="871"/>
      <c r="L16" s="868"/>
      <c r="M16" s="868"/>
      <c r="N16" s="868"/>
      <c r="O16" s="868"/>
      <c r="P16" s="868"/>
      <c r="Q16" s="868"/>
      <c r="R16" s="868"/>
      <c r="S16" s="868"/>
      <c r="T16" s="868"/>
      <c r="U16" s="868"/>
      <c r="V16" s="875" t="s">
        <v>388</v>
      </c>
      <c r="W16" s="918" t="s">
        <v>352</v>
      </c>
      <c r="X16" s="918" t="s">
        <v>353</v>
      </c>
      <c r="Y16" s="918" t="s">
        <v>354</v>
      </c>
      <c r="Z16" s="868"/>
      <c r="AA16" s="884"/>
      <c r="AB16" s="868"/>
      <c r="AC16" s="868"/>
      <c r="AD16" s="868"/>
      <c r="AE16" s="868"/>
      <c r="AF16" s="868"/>
      <c r="AG16" s="868"/>
      <c r="AH16" s="868"/>
      <c r="AI16" s="868"/>
      <c r="AJ16" s="868" t="str">
        <f>AE7</f>
        <v>not yet</v>
      </c>
      <c r="AK16" s="868" t="str">
        <f>AE13</f>
        <v>not yet</v>
      </c>
      <c r="AL16" s="868" t="str">
        <f>AE19</f>
        <v>not yet</v>
      </c>
      <c r="AM16" s="868" t="str">
        <f>AE25</f>
        <v>not yet</v>
      </c>
      <c r="AN16" s="868" t="str">
        <f>AE31</f>
        <v>not yet</v>
      </c>
      <c r="AO16" s="868" t="str">
        <f>AE37</f>
        <v>not yet</v>
      </c>
      <c r="AP16" s="868" t="str">
        <f>AE43</f>
        <v>yes</v>
      </c>
      <c r="AQ16" s="868" t="str">
        <f>AE49</f>
        <v>yes</v>
      </c>
      <c r="AR16" s="868" t="str">
        <f>AE55</f>
        <v>yes</v>
      </c>
      <c r="AS16" s="866"/>
      <c r="AT16" s="866"/>
      <c r="AU16" s="866"/>
      <c r="AV16" s="866"/>
      <c r="AW16" s="866"/>
      <c r="AX16" s="866"/>
      <c r="AY16" s="866"/>
      <c r="AZ16" s="866"/>
      <c r="BA16" s="866"/>
      <c r="BB16" s="866"/>
      <c r="BC16" s="866"/>
      <c r="BD16" s="866"/>
      <c r="BE16" s="866"/>
      <c r="BF16" s="866"/>
      <c r="BG16" s="866"/>
      <c r="BH16" s="866"/>
      <c r="BI16" s="866"/>
      <c r="BJ16" s="866"/>
      <c r="BK16" s="916"/>
    </row>
    <row r="17" spans="1:63" s="289" customFormat="1" ht="17.25" customHeight="1">
      <c r="A17" s="866"/>
      <c r="B17" s="879" t="s">
        <v>370</v>
      </c>
      <c r="C17" s="875" t="s">
        <v>389</v>
      </c>
      <c r="D17" s="868"/>
      <c r="E17" s="888">
        <f>LG!E17</f>
        <v>0.4</v>
      </c>
      <c r="F17" s="875" t="s">
        <v>390</v>
      </c>
      <c r="G17" s="868"/>
      <c r="H17" s="868"/>
      <c r="I17" s="870"/>
      <c r="J17" s="866"/>
      <c r="K17" s="868"/>
      <c r="L17" s="868"/>
      <c r="M17" s="868"/>
      <c r="N17" s="868"/>
      <c r="O17" s="868"/>
      <c r="P17" s="868"/>
      <c r="Q17" s="868"/>
      <c r="R17" s="868"/>
      <c r="S17" s="868"/>
      <c r="T17" s="868"/>
      <c r="U17" s="868"/>
      <c r="V17" s="884">
        <f>100*(+AD11/$E$9)</f>
        <v>173.08836319354538</v>
      </c>
      <c r="W17" s="919">
        <f>EXP(5.7226-(0.68367*LN(+V17)))</f>
        <v>9.0168948818751709</v>
      </c>
      <c r="X17" s="892">
        <f>(+W17*V17)/100</f>
        <v>15.6071957619203</v>
      </c>
      <c r="Y17" s="884">
        <f>100*((((X17/100)-((X17/100)-0.03574)*$E$21)-0.03574-0.00619)/0.344)</f>
        <v>21.287526752521508</v>
      </c>
      <c r="Z17" s="868">
        <f>$E$20</f>
        <v>0.25</v>
      </c>
      <c r="AA17" s="884">
        <f>Y17+Z17</f>
        <v>21.537526752521508</v>
      </c>
      <c r="AB17" s="884">
        <f>100*($E$17*$E$19+($E$18*(AA17/100))/(1-$E$21))</f>
        <v>20.808074880666574</v>
      </c>
      <c r="AC17" s="892">
        <f>AB17/V17</f>
        <v>0.12021648652023607</v>
      </c>
      <c r="AD17" s="911">
        <f>$E$8/(1-AC17)</f>
        <v>1368732.4190114948</v>
      </c>
      <c r="AE17" s="868" t="str">
        <f>IF(AD17=AD11,"yes","not yet")</f>
        <v>not yet</v>
      </c>
      <c r="AF17" s="884">
        <f>100*(1-AC17)</f>
        <v>87.978351347976385</v>
      </c>
      <c r="AG17" s="868"/>
      <c r="AH17" s="868"/>
      <c r="AI17" s="868"/>
      <c r="AJ17" s="868" t="str">
        <f>AE8</f>
        <v>not yet</v>
      </c>
      <c r="AK17" s="868" t="str">
        <f>AE14</f>
        <v>not yet</v>
      </c>
      <c r="AL17" s="868" t="str">
        <f>AE20</f>
        <v>not yet</v>
      </c>
      <c r="AM17" s="868" t="str">
        <f>AE26</f>
        <v>not yet</v>
      </c>
      <c r="AN17" s="868" t="str">
        <f>AE32</f>
        <v>not yet</v>
      </c>
      <c r="AO17" s="868" t="str">
        <f>AE38</f>
        <v>not yet</v>
      </c>
      <c r="AP17" s="868" t="str">
        <f>AE44</f>
        <v>yes</v>
      </c>
      <c r="AQ17" s="868" t="str">
        <f>AE50</f>
        <v>yes</v>
      </c>
      <c r="AR17" s="868" t="str">
        <f>AE56</f>
        <v>yes</v>
      </c>
      <c r="AS17" s="866"/>
      <c r="AT17" s="866"/>
      <c r="AU17" s="866"/>
      <c r="AV17" s="866"/>
      <c r="AW17" s="866"/>
      <c r="AX17" s="866"/>
      <c r="AY17" s="866"/>
      <c r="AZ17" s="866"/>
      <c r="BA17" s="866"/>
      <c r="BB17" s="866"/>
      <c r="BC17" s="866"/>
      <c r="BD17" s="866"/>
      <c r="BE17" s="866"/>
      <c r="BF17" s="866"/>
      <c r="BG17" s="866"/>
      <c r="BH17" s="866"/>
      <c r="BI17" s="866"/>
      <c r="BJ17" s="866"/>
      <c r="BK17" s="916"/>
    </row>
    <row r="18" spans="1:63" s="289" customFormat="1" ht="17.25" customHeight="1">
      <c r="A18" s="866"/>
      <c r="B18" s="879" t="s">
        <v>370</v>
      </c>
      <c r="C18" s="875" t="s">
        <v>391</v>
      </c>
      <c r="D18" s="868"/>
      <c r="E18" s="888">
        <f>LG!E18</f>
        <v>0.6</v>
      </c>
      <c r="F18" s="875" t="s">
        <v>392</v>
      </c>
      <c r="G18" s="868"/>
      <c r="H18" s="889">
        <v>1.4999999999999999E-2</v>
      </c>
      <c r="I18" s="875" t="s">
        <v>370</v>
      </c>
      <c r="J18" s="866"/>
      <c r="K18" s="868"/>
      <c r="L18" s="868"/>
      <c r="M18" s="868"/>
      <c r="N18" s="868"/>
      <c r="O18" s="868"/>
      <c r="P18" s="868"/>
      <c r="Q18" s="868"/>
      <c r="R18" s="868"/>
      <c r="S18" s="868"/>
      <c r="T18" s="868"/>
      <c r="U18" s="868"/>
      <c r="V18" s="884">
        <f>100*(+AD12/$E$9)</f>
        <v>172.67864367268029</v>
      </c>
      <c r="W18" s="919">
        <f>EXP(5.70827-(0.68367*LN(+V18)))</f>
        <v>8.9030175377728895</v>
      </c>
      <c r="X18" s="892">
        <f>(+W18*V18)/100</f>
        <v>15.373609930167083</v>
      </c>
      <c r="Y18" s="884">
        <f>100*((((X18/100)-((X18/100)-0.03574)*$E$21)-0.03574-0.00619)/0.344)</f>
        <v>20.839367889274062</v>
      </c>
      <c r="Z18" s="868">
        <f>$E$20</f>
        <v>0.25</v>
      </c>
      <c r="AA18" s="884">
        <f>Y18+Z18</f>
        <v>21.089367889274062</v>
      </c>
      <c r="AB18" s="884">
        <f>100*($E$17*$E$19+($E$18*(AA18/100))/(1-$E$21))</f>
        <v>20.400657732259809</v>
      </c>
      <c r="AC18" s="892">
        <f>AB18/V18</f>
        <v>0.11814233247586843</v>
      </c>
      <c r="AD18" s="911">
        <f>$E$8/(1-AC18)</f>
        <v>1365513.1218538024</v>
      </c>
      <c r="AE18" s="868" t="str">
        <f>IF(AD18=AD12,"yes","not yet")</f>
        <v>not yet</v>
      </c>
      <c r="AF18" s="884">
        <f>100*(1-AC18)</f>
        <v>88.185766752413159</v>
      </c>
      <c r="AG18" s="868"/>
      <c r="AH18" s="868"/>
      <c r="AI18" s="868"/>
      <c r="AJ18" s="868"/>
      <c r="AK18" s="868"/>
      <c r="AL18" s="868"/>
      <c r="AM18" s="868"/>
      <c r="AN18" s="868"/>
      <c r="AO18" s="868"/>
      <c r="AP18" s="868"/>
      <c r="AQ18" s="868"/>
      <c r="AR18" s="868"/>
      <c r="AS18" s="866"/>
      <c r="AT18" s="866"/>
      <c r="AU18" s="866"/>
      <c r="AV18" s="866"/>
      <c r="AW18" s="866"/>
      <c r="AX18" s="866"/>
      <c r="AY18" s="866"/>
      <c r="AZ18" s="866"/>
      <c r="BA18" s="866"/>
      <c r="BB18" s="866"/>
      <c r="BC18" s="866"/>
      <c r="BD18" s="866"/>
      <c r="BE18" s="866"/>
      <c r="BF18" s="866"/>
      <c r="BG18" s="866"/>
      <c r="BH18" s="866"/>
      <c r="BI18" s="866"/>
      <c r="BJ18" s="866"/>
      <c r="BK18" s="916"/>
    </row>
    <row r="19" spans="1:63" s="289" customFormat="1" ht="17.25" customHeight="1">
      <c r="A19" s="866"/>
      <c r="B19" s="879" t="s">
        <v>370</v>
      </c>
      <c r="C19" s="875" t="s">
        <v>393</v>
      </c>
      <c r="D19" s="868"/>
      <c r="E19" s="888">
        <f>LG!E19</f>
        <v>3.071262764117556E-2</v>
      </c>
      <c r="F19" s="875" t="s">
        <v>394</v>
      </c>
      <c r="G19" s="868"/>
      <c r="H19" s="890">
        <v>5.1000000000000004E-3</v>
      </c>
      <c r="I19" s="875" t="s">
        <v>370</v>
      </c>
      <c r="J19" s="866"/>
      <c r="K19" s="868"/>
      <c r="L19" s="868"/>
      <c r="M19" s="868"/>
      <c r="N19" s="868"/>
      <c r="O19" s="868"/>
      <c r="P19" s="868"/>
      <c r="Q19" s="868"/>
      <c r="R19" s="868"/>
      <c r="S19" s="868"/>
      <c r="T19" s="868"/>
      <c r="U19" s="868"/>
      <c r="V19" s="884">
        <f>100*(+AD13/$E$9)</f>
        <v>172.40291933561082</v>
      </c>
      <c r="W19" s="919">
        <f>EXP(5.6985-(0.68367*LN(V19)))</f>
        <v>8.8260960187797863</v>
      </c>
      <c r="X19" s="892">
        <f>(+W19*V19)/100</f>
        <v>15.216447199740474</v>
      </c>
      <c r="Y19" s="884">
        <f>100*((((X19/100)-((X19/100)-0.03574)*$E$21)-0.03574-0.00619)/0.344)</f>
        <v>20.537834743688123</v>
      </c>
      <c r="Z19" s="868">
        <f>$E$20</f>
        <v>0.25</v>
      </c>
      <c r="AA19" s="884">
        <f>Y19+Z19</f>
        <v>20.787834743688123</v>
      </c>
      <c r="AB19" s="884">
        <f>100*($E$17*$E$19+($E$18*(AA19/100))/(1-$E$21))</f>
        <v>20.126536690818046</v>
      </c>
      <c r="AC19" s="892">
        <f>AB19/V19</f>
        <v>0.1167412754283958</v>
      </c>
      <c r="AD19" s="911">
        <f>$E$8/(1-AC19)</f>
        <v>1363347.0953775651</v>
      </c>
      <c r="AE19" s="868" t="str">
        <f>IF(AD19=AD13,"yes","not yet")</f>
        <v>not yet</v>
      </c>
      <c r="AF19" s="884">
        <f>100*(1-AC19)</f>
        <v>88.325872457160415</v>
      </c>
      <c r="AG19" s="868"/>
      <c r="AH19" s="868"/>
      <c r="AI19" s="868"/>
      <c r="AJ19" s="868" t="str">
        <f>HLOOKUP(1,$AJ$13:$AR$17,($E$12)+1)</f>
        <v>not yet</v>
      </c>
      <c r="AK19" s="868" t="str">
        <f>HLOOKUP(2,$AJ$13:$AR$17,($E$12)+1)</f>
        <v>not yet</v>
      </c>
      <c r="AL19" s="868" t="str">
        <f>HLOOKUP(3,$AJ$13:$AR$17,($E$12)+1)</f>
        <v>not yet</v>
      </c>
      <c r="AM19" s="868" t="str">
        <f>HLOOKUP(4,$AJ$13:$AR$17,($E$12)+1)</f>
        <v>not yet</v>
      </c>
      <c r="AN19" s="868" t="str">
        <f>HLOOKUP(5,$AJ$13:$AR$17,($E$12)+1)</f>
        <v>not yet</v>
      </c>
      <c r="AO19" s="868" t="str">
        <f>HLOOKUP(6,$AJ$13:$AR$17,($E$12)+1)</f>
        <v>not yet</v>
      </c>
      <c r="AP19" s="868" t="str">
        <f>HLOOKUP(7,$AJ$13:$AR$17,($E$12)+1)</f>
        <v>yes</v>
      </c>
      <c r="AQ19" s="868" t="str">
        <f>HLOOKUP(8,$AJ$13:$AR$17,($E$12)+1)</f>
        <v>yes</v>
      </c>
      <c r="AR19" s="868" t="str">
        <f>HLOOKUP(9,$AJ$13:$AR$17,($E$12)+1)</f>
        <v>yes</v>
      </c>
      <c r="AS19" s="866"/>
      <c r="AT19" s="866"/>
      <c r="AU19" s="866"/>
      <c r="AV19" s="866"/>
      <c r="AW19" s="866"/>
      <c r="AX19" s="866"/>
      <c r="AY19" s="866"/>
      <c r="AZ19" s="866"/>
      <c r="BA19" s="866"/>
      <c r="BB19" s="866"/>
      <c r="BC19" s="866"/>
      <c r="BD19" s="866"/>
      <c r="BE19" s="866"/>
      <c r="BF19" s="866"/>
      <c r="BG19" s="866"/>
      <c r="BH19" s="866"/>
      <c r="BI19" s="866"/>
      <c r="BJ19" s="866"/>
      <c r="BK19" s="916"/>
    </row>
    <row r="20" spans="1:63" s="289" customFormat="1" ht="17.25" customHeight="1">
      <c r="A20" s="866"/>
      <c r="B20" s="879" t="s">
        <v>370</v>
      </c>
      <c r="C20" s="875" t="s">
        <v>395</v>
      </c>
      <c r="D20" s="868"/>
      <c r="E20" s="891">
        <v>0.25</v>
      </c>
      <c r="F20" s="875" t="s">
        <v>396</v>
      </c>
      <c r="G20" s="868"/>
      <c r="H20" s="889"/>
      <c r="I20" s="875" t="s">
        <v>370</v>
      </c>
      <c r="J20" s="866"/>
      <c r="K20" s="926"/>
      <c r="L20" s="868"/>
      <c r="M20" s="868"/>
      <c r="N20" s="868"/>
      <c r="O20" s="868"/>
      <c r="P20" s="868"/>
      <c r="Q20" s="868"/>
      <c r="R20" s="868"/>
      <c r="S20" s="868"/>
      <c r="T20" s="868"/>
      <c r="U20" s="868"/>
      <c r="V20" s="884">
        <f>100*(+AD14/$E$9)</f>
        <v>172.22666230571946</v>
      </c>
      <c r="W20" s="919">
        <f>EXP(5.6922-(0.68367*LN(V20)))</f>
        <v>8.7768019703650921</v>
      </c>
      <c r="X20" s="892">
        <f>(+W20*V20)/100</f>
        <v>15.115993090742418</v>
      </c>
      <c r="Y20" s="884">
        <f>100*((((X20/100)-((X20/100)-0.03574)*$E$21)-0.03574-0.00619)/0.344)</f>
        <v>20.345103022936037</v>
      </c>
      <c r="Z20" s="868">
        <f>$E$20</f>
        <v>0.25</v>
      </c>
      <c r="AA20" s="884">
        <f>Y20+Z20</f>
        <v>20.595103022936037</v>
      </c>
      <c r="AB20" s="884">
        <f>100*($E$17*$E$19+($E$18*(AA20/100))/(1-$E$21))</f>
        <v>19.951326035588878</v>
      </c>
      <c r="AC20" s="892">
        <f>AB20/V20</f>
        <v>0.11584342266456565</v>
      </c>
      <c r="AD20" s="911">
        <f>$E$8/(1-AC20)</f>
        <v>1361962.629108781</v>
      </c>
      <c r="AE20" s="868" t="str">
        <f>IF(AD20=AD14,"yes","not yet")</f>
        <v>not yet</v>
      </c>
      <c r="AF20" s="884">
        <f>100*(1-AC20)</f>
        <v>88.415657733543426</v>
      </c>
      <c r="AG20" s="868"/>
      <c r="AH20" s="868"/>
      <c r="AI20" s="868">
        <v>1</v>
      </c>
      <c r="AJ20" s="884">
        <f>AF5</f>
        <v>88.62765029240164</v>
      </c>
      <c r="AK20" s="884">
        <f>AF11</f>
        <v>87.921896442698412</v>
      </c>
      <c r="AL20" s="884">
        <f>AF17</f>
        <v>87.978351347976385</v>
      </c>
      <c r="AM20" s="884">
        <f>AF23</f>
        <v>87.97382735410298</v>
      </c>
      <c r="AN20" s="884">
        <f>AF29</f>
        <v>87.974189831095856</v>
      </c>
      <c r="AO20" s="884">
        <f>AF35</f>
        <v>87.974160787937507</v>
      </c>
      <c r="AP20" s="884">
        <f>AF41</f>
        <v>87.974165086316248</v>
      </c>
      <c r="AQ20" s="884">
        <f>AF47</f>
        <v>87.974165086316248</v>
      </c>
      <c r="AR20" s="884">
        <f>AF53</f>
        <v>87.974165086316248</v>
      </c>
      <c r="AS20" s="866"/>
      <c r="AT20" s="866"/>
      <c r="AU20" s="866"/>
      <c r="AV20" s="866"/>
      <c r="AW20" s="866"/>
      <c r="AX20" s="866"/>
      <c r="AY20" s="866"/>
      <c r="AZ20" s="866"/>
      <c r="BA20" s="866"/>
      <c r="BB20" s="866"/>
      <c r="BC20" s="866"/>
      <c r="BD20" s="866"/>
      <c r="BE20" s="866"/>
      <c r="BF20" s="866"/>
      <c r="BG20" s="866"/>
      <c r="BH20" s="866"/>
      <c r="BI20" s="866"/>
      <c r="BJ20" s="866"/>
      <c r="BK20" s="916"/>
    </row>
    <row r="21" spans="1:63" s="289" customFormat="1" ht="17.25" customHeight="1">
      <c r="A21" s="866"/>
      <c r="B21" s="879" t="s">
        <v>370</v>
      </c>
      <c r="C21" s="875" t="s">
        <v>397</v>
      </c>
      <c r="D21" s="868"/>
      <c r="E21" s="891">
        <v>0.34</v>
      </c>
      <c r="F21" s="875" t="s">
        <v>398</v>
      </c>
      <c r="G21" s="868"/>
      <c r="H21" s="888">
        <f>LG!H21</f>
        <v>6.2179639958343316E-3</v>
      </c>
      <c r="I21" s="875" t="s">
        <v>370</v>
      </c>
      <c r="J21" s="866"/>
      <c r="K21" s="927"/>
      <c r="L21" s="868"/>
      <c r="M21" s="868"/>
      <c r="N21" s="868"/>
      <c r="O21" s="868"/>
      <c r="P21" s="868"/>
      <c r="Q21" s="868"/>
      <c r="R21" s="868"/>
      <c r="S21" s="868"/>
      <c r="T21" s="868"/>
      <c r="U21" s="868"/>
      <c r="V21" s="868"/>
      <c r="W21" s="868"/>
      <c r="X21" s="868"/>
      <c r="Y21" s="868"/>
      <c r="Z21" s="868"/>
      <c r="AA21" s="884"/>
      <c r="AB21" s="868"/>
      <c r="AC21" s="868"/>
      <c r="AD21" s="868"/>
      <c r="AE21" s="868"/>
      <c r="AF21" s="868"/>
      <c r="AG21" s="868"/>
      <c r="AH21" s="868"/>
      <c r="AI21" s="868">
        <v>2</v>
      </c>
      <c r="AJ21" s="884">
        <f>AF6</f>
        <v>88.837424796989566</v>
      </c>
      <c r="AK21" s="884">
        <f>AF12</f>
        <v>88.13051122283494</v>
      </c>
      <c r="AL21" s="884">
        <f>AF18</f>
        <v>88.185766752413159</v>
      </c>
      <c r="AM21" s="884">
        <f>AF24</f>
        <v>88.18143997777743</v>
      </c>
      <c r="AN21" s="884">
        <f>AF30</f>
        <v>88.181778737499215</v>
      </c>
      <c r="AO21" s="884">
        <f>AF36</f>
        <v>88.181752214414132</v>
      </c>
      <c r="AP21" s="884">
        <f>AF42</f>
        <v>88.181752835823147</v>
      </c>
      <c r="AQ21" s="884">
        <f>AF48</f>
        <v>88.181752835823147</v>
      </c>
      <c r="AR21" s="884">
        <f>AF54</f>
        <v>88.181752835823147</v>
      </c>
      <c r="AS21" s="866"/>
      <c r="AT21" s="866"/>
      <c r="AU21" s="866"/>
      <c r="AV21" s="866"/>
      <c r="AW21" s="866"/>
      <c r="AX21" s="866"/>
      <c r="AY21" s="866"/>
      <c r="AZ21" s="866"/>
      <c r="BA21" s="866"/>
      <c r="BB21" s="866"/>
      <c r="BC21" s="866"/>
      <c r="BD21" s="866"/>
      <c r="BE21" s="866"/>
      <c r="BF21" s="866"/>
      <c r="BG21" s="866"/>
      <c r="BH21" s="866"/>
      <c r="BI21" s="866"/>
      <c r="BJ21" s="866"/>
      <c r="BK21" s="916"/>
    </row>
    <row r="22" spans="1:63" s="289" customFormat="1" ht="17.25" customHeight="1">
      <c r="A22" s="866"/>
      <c r="B22" s="870"/>
      <c r="C22" s="868"/>
      <c r="D22" s="868"/>
      <c r="E22" s="868"/>
      <c r="F22" s="868"/>
      <c r="G22" s="868"/>
      <c r="H22" s="886"/>
      <c r="I22" s="886"/>
      <c r="J22" s="870"/>
      <c r="K22" s="868"/>
      <c r="L22" s="868"/>
      <c r="M22" s="868"/>
      <c r="N22" s="868"/>
      <c r="O22" s="868"/>
      <c r="P22" s="868"/>
      <c r="Q22" s="868"/>
      <c r="R22" s="868"/>
      <c r="S22" s="868"/>
      <c r="T22" s="868"/>
      <c r="U22" s="868"/>
      <c r="V22" s="875" t="s">
        <v>399</v>
      </c>
      <c r="W22" s="918" t="s">
        <v>352</v>
      </c>
      <c r="X22" s="918" t="s">
        <v>353</v>
      </c>
      <c r="Y22" s="918" t="s">
        <v>354</v>
      </c>
      <c r="Z22" s="868"/>
      <c r="AA22" s="884"/>
      <c r="AB22" s="868"/>
      <c r="AC22" s="868"/>
      <c r="AD22" s="868"/>
      <c r="AE22" s="868"/>
      <c r="AF22" s="868"/>
      <c r="AG22" s="868"/>
      <c r="AH22" s="868"/>
      <c r="AI22" s="868">
        <v>3</v>
      </c>
      <c r="AJ22" s="884">
        <f>AF7</f>
        <v>88.978732501109235</v>
      </c>
      <c r="AK22" s="884">
        <f>AF13</f>
        <v>88.271458527417465</v>
      </c>
      <c r="AL22" s="884">
        <f>AF19</f>
        <v>88.325872457160415</v>
      </c>
      <c r="AM22" s="884">
        <f>AF25</f>
        <v>88.321678575549356</v>
      </c>
      <c r="AN22" s="884">
        <f>AF31</f>
        <v>88.322001768451059</v>
      </c>
      <c r="AO22" s="884">
        <f>AF37</f>
        <v>88.321976861984609</v>
      </c>
      <c r="AP22" s="884">
        <f>AF43</f>
        <v>88.321977642224383</v>
      </c>
      <c r="AQ22" s="884">
        <f>AF49</f>
        <v>88.321977642224383</v>
      </c>
      <c r="AR22" s="884">
        <f>AF55</f>
        <v>88.321977642224383</v>
      </c>
      <c r="AS22" s="866"/>
      <c r="AT22" s="866"/>
      <c r="AU22" s="866"/>
      <c r="AV22" s="866"/>
      <c r="AW22" s="866"/>
      <c r="AX22" s="866"/>
      <c r="AY22" s="866"/>
      <c r="AZ22" s="866"/>
      <c r="BA22" s="866"/>
      <c r="BB22" s="866"/>
      <c r="BC22" s="866"/>
      <c r="BD22" s="866"/>
      <c r="BE22" s="866"/>
      <c r="BF22" s="866"/>
      <c r="BG22" s="866"/>
      <c r="BH22" s="866"/>
      <c r="BI22" s="866"/>
      <c r="BJ22" s="866"/>
      <c r="BK22" s="916"/>
    </row>
    <row r="23" spans="1:63" s="289" customFormat="1" ht="17.25" customHeight="1">
      <c r="A23" s="866"/>
      <c r="B23" s="870"/>
      <c r="C23" s="868"/>
      <c r="D23" s="868"/>
      <c r="E23" s="868"/>
      <c r="F23" s="875" t="s">
        <v>400</v>
      </c>
      <c r="G23" s="868"/>
      <c r="H23" s="889">
        <f>SUM(H18:H21)</f>
        <v>2.6317963995834331E-2</v>
      </c>
      <c r="I23" s="889"/>
      <c r="J23" s="870"/>
      <c r="K23" s="928"/>
      <c r="L23" s="868"/>
      <c r="M23" s="868"/>
      <c r="N23" s="871"/>
      <c r="O23" s="868"/>
      <c r="P23" s="871"/>
      <c r="Q23" s="868"/>
      <c r="R23" s="868"/>
      <c r="S23" s="868"/>
      <c r="T23" s="868"/>
      <c r="U23" s="868"/>
      <c r="V23" s="884">
        <f>100*(+AD17/$E$9)</f>
        <v>172.97729397027518</v>
      </c>
      <c r="W23" s="919">
        <f>EXP(5.7226-(0.68367*LN(+V23)))</f>
        <v>9.0208527750646823</v>
      </c>
      <c r="X23" s="892">
        <f>(+W23*V23)/100</f>
        <v>15.604027023349364</v>
      </c>
      <c r="Y23" s="884">
        <f>100*((((X23/100)-((X23/100)-0.03574)*$E$21)-0.03574-0.00619)/0.344)</f>
        <v>21.281447195960993</v>
      </c>
      <c r="Z23" s="868">
        <f>$E$20</f>
        <v>0.25</v>
      </c>
      <c r="AA23" s="884">
        <f>Y23+Z23</f>
        <v>21.531447195960993</v>
      </c>
      <c r="AB23" s="884">
        <f>100*($E$17*$E$19+($E$18*(AA23/100))/(1-$E$21))</f>
        <v>20.802548011066111</v>
      </c>
      <c r="AC23" s="892">
        <f>AB23/V23</f>
        <v>0.12026172645897021</v>
      </c>
      <c r="AD23" s="911">
        <f>$E$8/(1-AC23)</f>
        <v>1368802.8051395535</v>
      </c>
      <c r="AE23" s="868" t="str">
        <f>IF(AD23=AD17,"yes","not yet")</f>
        <v>not yet</v>
      </c>
      <c r="AF23" s="884">
        <f>100*(1-AC23)</f>
        <v>87.97382735410298</v>
      </c>
      <c r="AG23" s="868"/>
      <c r="AH23" s="868"/>
      <c r="AI23" s="868">
        <v>4</v>
      </c>
      <c r="AJ23" s="884">
        <f>AF8</f>
        <v>89.069122683102918</v>
      </c>
      <c r="AK23" s="884">
        <f>AF14</f>
        <v>88.36179567322246</v>
      </c>
      <c r="AL23" s="884">
        <f>AF20</f>
        <v>88.415657733543426</v>
      </c>
      <c r="AM23" s="884">
        <f>AF26</f>
        <v>88.411548771490246</v>
      </c>
      <c r="AN23" s="884">
        <f>AF32</f>
        <v>88.411862187571316</v>
      </c>
      <c r="AO23" s="884">
        <f>AF38</f>
        <v>88.411838281126293</v>
      </c>
      <c r="AP23" s="884">
        <f>AF44</f>
        <v>88.411837793197606</v>
      </c>
      <c r="AQ23" s="884">
        <f>AF50</f>
        <v>88.411837793197606</v>
      </c>
      <c r="AR23" s="884">
        <f>AF56</f>
        <v>88.411837793197606</v>
      </c>
      <c r="AS23" s="866"/>
      <c r="AT23" s="866"/>
      <c r="AU23" s="866"/>
      <c r="AV23" s="866"/>
      <c r="AW23" s="866"/>
      <c r="AX23" s="866"/>
      <c r="AY23" s="866"/>
      <c r="AZ23" s="866"/>
      <c r="BA23" s="866"/>
      <c r="BB23" s="866"/>
      <c r="BC23" s="866"/>
      <c r="BD23" s="866"/>
      <c r="BE23" s="866"/>
      <c r="BF23" s="866"/>
      <c r="BG23" s="866"/>
      <c r="BH23" s="866"/>
      <c r="BI23" s="866"/>
      <c r="BJ23" s="866"/>
      <c r="BK23" s="916"/>
    </row>
    <row r="24" spans="1:63" s="289" customFormat="1" ht="17.25" customHeight="1">
      <c r="A24" s="866"/>
      <c r="B24" s="870"/>
      <c r="C24" s="868"/>
      <c r="D24" s="868"/>
      <c r="E24" s="868"/>
      <c r="F24" s="868"/>
      <c r="G24" s="868"/>
      <c r="H24" s="868"/>
      <c r="I24" s="868"/>
      <c r="J24" s="870"/>
      <c r="K24" s="868"/>
      <c r="L24" s="868"/>
      <c r="M24" s="868"/>
      <c r="N24" s="868"/>
      <c r="O24" s="868"/>
      <c r="P24" s="868"/>
      <c r="Q24" s="868"/>
      <c r="R24" s="868"/>
      <c r="S24" s="868"/>
      <c r="T24" s="868"/>
      <c r="U24" s="868"/>
      <c r="V24" s="884">
        <f>100*(+AD18/$E$9)</f>
        <v>172.57044650828109</v>
      </c>
      <c r="W24" s="919">
        <f>EXP(5.70827-(0.68367*LN(+V24)))</f>
        <v>8.9068333777269686</v>
      </c>
      <c r="X24" s="892">
        <f>(+W24*V24)/100</f>
        <v>15.370562129692043</v>
      </c>
      <c r="Y24" s="884">
        <f>100*((((X24/100)-((X24/100)-0.03574)*$E$21)-0.03574-0.00619)/0.344)</f>
        <v>20.833520365106832</v>
      </c>
      <c r="Z24" s="868">
        <f>$E$20</f>
        <v>0.25</v>
      </c>
      <c r="AA24" s="884">
        <f>Y24+Z24</f>
        <v>21.083520365106832</v>
      </c>
      <c r="AB24" s="884">
        <f>100*($E$17*$E$19+($E$18*(AA24/100))/(1-$E$21))</f>
        <v>20.39534180119869</v>
      </c>
      <c r="AC24" s="892">
        <f>AB24/V24</f>
        <v>0.11818560022222567</v>
      </c>
      <c r="AD24" s="911">
        <f>$E$8/(1-AC24)</f>
        <v>1365580.1231132722</v>
      </c>
      <c r="AE24" s="868" t="str">
        <f>IF(AD24=AD18,"yes","not yet")</f>
        <v>not yet</v>
      </c>
      <c r="AF24" s="884">
        <f>100*(1-AC24)</f>
        <v>88.18143997777743</v>
      </c>
      <c r="AG24" s="868"/>
      <c r="AH24" s="868"/>
      <c r="AI24" s="868"/>
      <c r="AJ24" s="868"/>
      <c r="AK24" s="868"/>
      <c r="AL24" s="868"/>
      <c r="AM24" s="868"/>
      <c r="AN24" s="868"/>
      <c r="AO24" s="868"/>
      <c r="AP24" s="868"/>
      <c r="AQ24" s="868"/>
      <c r="AR24" s="868"/>
      <c r="AS24" s="866"/>
      <c r="AT24" s="866"/>
      <c r="AU24" s="866"/>
      <c r="AV24" s="866"/>
      <c r="AW24" s="866"/>
      <c r="AX24" s="866"/>
      <c r="AY24" s="866"/>
      <c r="AZ24" s="866"/>
      <c r="BA24" s="866"/>
      <c r="BB24" s="866"/>
      <c r="BC24" s="866"/>
      <c r="BD24" s="866"/>
      <c r="BE24" s="866"/>
      <c r="BF24" s="866"/>
      <c r="BG24" s="866"/>
      <c r="BH24" s="866"/>
      <c r="BI24" s="866"/>
      <c r="BJ24" s="866"/>
      <c r="BK24" s="916"/>
    </row>
    <row r="25" spans="1:63" s="289" customFormat="1" ht="17.25" customHeight="1">
      <c r="A25" s="866"/>
      <c r="B25" s="870"/>
      <c r="C25" s="868"/>
      <c r="D25" s="868"/>
      <c r="E25" s="868"/>
      <c r="F25" s="875" t="s">
        <v>401</v>
      </c>
      <c r="G25" s="868"/>
      <c r="H25" s="892">
        <f>((+H15/100)-H23)</f>
        <v>0.8569018124264095</v>
      </c>
      <c r="I25" s="892"/>
      <c r="J25" s="870"/>
      <c r="K25" s="868"/>
      <c r="L25" s="871"/>
      <c r="M25" s="868"/>
      <c r="N25" s="868"/>
      <c r="O25" s="868"/>
      <c r="P25" s="868"/>
      <c r="Q25" s="868"/>
      <c r="R25" s="868"/>
      <c r="S25" s="868"/>
      <c r="T25" s="868"/>
      <c r="U25" s="868"/>
      <c r="V25" s="884">
        <f>100*(+AD19/$E$9)</f>
        <v>172.2967090024521</v>
      </c>
      <c r="W25" s="919">
        <f>EXP(5.6985-(0.68367*LN(V25)))</f>
        <v>8.8298153309054115</v>
      </c>
      <c r="X25" s="892">
        <f>(+W25*V25)/100</f>
        <v>15.213481226143999</v>
      </c>
      <c r="Y25" s="884">
        <f>100*((((X25/100)-((X25/100)-0.03574)*$E$21)-0.03574-0.00619)/0.344)</f>
        <v>20.532144212950694</v>
      </c>
      <c r="Z25" s="868">
        <f>$E$20</f>
        <v>0.25</v>
      </c>
      <c r="AA25" s="884">
        <f>Y25+Z25</f>
        <v>20.782144212950694</v>
      </c>
      <c r="AB25" s="884">
        <f>100*($E$17*$E$19+($E$18*(AA25/100))/(1-$E$21))</f>
        <v>20.121363481056743</v>
      </c>
      <c r="AC25" s="892">
        <f>AB25/V25</f>
        <v>0.11678321424450643</v>
      </c>
      <c r="AD25" s="911">
        <f>$E$8/(1-AC25)</f>
        <v>1363411.8327829791</v>
      </c>
      <c r="AE25" s="868" t="str">
        <f>IF(AD25=AD19,"yes","not yet")</f>
        <v>not yet</v>
      </c>
      <c r="AF25" s="884">
        <f>100*(1-AC25)</f>
        <v>88.321678575549356</v>
      </c>
      <c r="AG25" s="868"/>
      <c r="AH25" s="868"/>
      <c r="AI25" s="868"/>
      <c r="AJ25" s="868" t="s">
        <v>402</v>
      </c>
      <c r="AK25" s="868"/>
      <c r="AL25" s="868"/>
      <c r="AM25" s="868"/>
      <c r="AN25" s="868"/>
      <c r="AO25" s="868"/>
      <c r="AP25" s="868"/>
      <c r="AQ25" s="868"/>
      <c r="AR25" s="868"/>
      <c r="AS25" s="866"/>
      <c r="AT25" s="866"/>
      <c r="AU25" s="866"/>
      <c r="AV25" s="866"/>
      <c r="AW25" s="866"/>
      <c r="AX25" s="866"/>
      <c r="AY25" s="866"/>
      <c r="AZ25" s="866"/>
      <c r="BA25" s="866"/>
      <c r="BB25" s="866"/>
      <c r="BC25" s="866"/>
      <c r="BD25" s="866"/>
      <c r="BE25" s="866"/>
      <c r="BF25" s="866"/>
      <c r="BG25" s="866"/>
      <c r="BH25" s="866"/>
      <c r="BI25" s="866"/>
      <c r="BJ25" s="866"/>
      <c r="BK25" s="916"/>
    </row>
    <row r="26" spans="1:63" s="289" customFormat="1" ht="17.25" customHeight="1">
      <c r="A26" s="866"/>
      <c r="B26" s="870"/>
      <c r="C26" s="868"/>
      <c r="D26" s="868"/>
      <c r="E26" s="868"/>
      <c r="F26" s="868"/>
      <c r="G26" s="868"/>
      <c r="H26" s="868"/>
      <c r="I26" s="868"/>
      <c r="J26" s="870"/>
      <c r="K26" s="868"/>
      <c r="L26" s="868"/>
      <c r="M26" s="868"/>
      <c r="N26" s="868"/>
      <c r="O26" s="868"/>
      <c r="P26" s="868"/>
      <c r="Q26" s="868"/>
      <c r="R26" s="868"/>
      <c r="S26" s="868"/>
      <c r="T26" s="868"/>
      <c r="U26" s="868"/>
      <c r="V26" s="884">
        <f>100*(+AD20/$E$9)</f>
        <v>172.12174330028779</v>
      </c>
      <c r="W26" s="919">
        <f>EXP(5.6922-(0.68367*LN(V26)))</f>
        <v>8.7804592602922078</v>
      </c>
      <c r="X26" s="892">
        <f>(+W26*V26)/100</f>
        <v>15.113079548586501</v>
      </c>
      <c r="Y26" s="884">
        <f>100*((((X26/100)-((X26/100)-0.03574)*$E$21)-0.03574-0.00619)/0.344)</f>
        <v>20.339513087404342</v>
      </c>
      <c r="Z26" s="868">
        <f>$E$20</f>
        <v>0.25</v>
      </c>
      <c r="AA26" s="884">
        <f>Y26+Z26</f>
        <v>20.589513087404342</v>
      </c>
      <c r="AB26" s="884">
        <f>100*($E$17*$E$19+($E$18*(AA26/100))/(1-$E$21))</f>
        <v>19.94624427601461</v>
      </c>
      <c r="AC26" s="892">
        <f>AB26/V26</f>
        <v>0.11588451228509757</v>
      </c>
      <c r="AD26" s="911">
        <f>$E$8/(1-AC26)</f>
        <v>1362025.9268661286</v>
      </c>
      <c r="AE26" s="868" t="str">
        <f>IF(AD26=AD20,"yes","not yet")</f>
        <v>not yet</v>
      </c>
      <c r="AF26" s="884">
        <f>100*(1-AC26)</f>
        <v>88.411548771490246</v>
      </c>
      <c r="AG26" s="868"/>
      <c r="AH26" s="868"/>
      <c r="AI26" s="868"/>
      <c r="AJ26" s="884">
        <f>HLOOKUP($AJ$25,$AJ$19:$AR$23,($E$12)+1)</f>
        <v>88.321977642224383</v>
      </c>
      <c r="AK26" s="868"/>
      <c r="AL26" s="868"/>
      <c r="AM26" s="868"/>
      <c r="AN26" s="868"/>
      <c r="AO26" s="868"/>
      <c r="AP26" s="868"/>
      <c r="AQ26" s="868"/>
      <c r="AR26" s="868"/>
      <c r="AS26" s="866"/>
      <c r="AT26" s="866"/>
      <c r="AU26" s="866"/>
      <c r="AV26" s="866"/>
      <c r="AW26" s="866"/>
      <c r="AX26" s="866"/>
      <c r="AY26" s="866"/>
      <c r="AZ26" s="866"/>
      <c r="BA26" s="866"/>
      <c r="BB26" s="866"/>
      <c r="BC26" s="866"/>
      <c r="BD26" s="866"/>
      <c r="BE26" s="866"/>
      <c r="BF26" s="866"/>
      <c r="BG26" s="866"/>
      <c r="BH26" s="866"/>
      <c r="BI26" s="866"/>
      <c r="BJ26" s="866"/>
      <c r="BK26" s="916"/>
    </row>
    <row r="27" spans="1:63" s="289" customFormat="1" ht="17.25" customHeight="1">
      <c r="A27" s="866"/>
      <c r="B27" s="870"/>
      <c r="C27" s="868"/>
      <c r="D27" s="868"/>
      <c r="E27" s="893"/>
      <c r="F27" s="894"/>
      <c r="G27" s="894"/>
      <c r="H27" s="868"/>
      <c r="I27" s="868"/>
      <c r="J27" s="870"/>
      <c r="K27" s="868"/>
      <c r="L27" s="868"/>
      <c r="M27" s="868"/>
      <c r="N27" s="868"/>
      <c r="O27" s="868"/>
      <c r="P27" s="868"/>
      <c r="Q27" s="868"/>
      <c r="R27" s="868"/>
      <c r="S27" s="868"/>
      <c r="T27" s="868"/>
      <c r="U27" s="868"/>
      <c r="V27" s="868"/>
      <c r="W27" s="868"/>
      <c r="X27" s="868"/>
      <c r="Y27" s="868"/>
      <c r="Z27" s="868"/>
      <c r="AA27" s="884"/>
      <c r="AB27" s="868"/>
      <c r="AC27" s="868"/>
      <c r="AD27" s="868"/>
      <c r="AE27" s="868"/>
      <c r="AF27" s="868"/>
      <c r="AG27" s="868"/>
      <c r="AH27" s="868"/>
      <c r="AI27" s="868"/>
      <c r="AJ27" s="868"/>
      <c r="AK27" s="868"/>
      <c r="AL27" s="868"/>
      <c r="AM27" s="868"/>
      <c r="AN27" s="868"/>
      <c r="AO27" s="868"/>
      <c r="AP27" s="868"/>
      <c r="AQ27" s="868"/>
      <c r="AR27" s="868"/>
      <c r="AS27" s="866"/>
      <c r="AT27" s="866"/>
      <c r="AU27" s="866"/>
      <c r="AV27" s="866"/>
      <c r="AW27" s="866"/>
      <c r="AX27" s="866"/>
      <c r="AY27" s="866"/>
      <c r="AZ27" s="866"/>
      <c r="BA27" s="866"/>
      <c r="BB27" s="866"/>
      <c r="BC27" s="866"/>
      <c r="BD27" s="866"/>
      <c r="BE27" s="866"/>
      <c r="BF27" s="866"/>
      <c r="BG27" s="866"/>
      <c r="BH27" s="866"/>
      <c r="BI27" s="866"/>
      <c r="BJ27" s="866"/>
      <c r="BK27" s="916"/>
    </row>
    <row r="28" spans="1:63" s="289" customFormat="1" ht="17.25" customHeight="1">
      <c r="A28" s="866"/>
      <c r="B28" s="870"/>
      <c r="C28" s="895"/>
      <c r="D28" s="896"/>
      <c r="E28" s="880"/>
      <c r="F28" s="897"/>
      <c r="G28" s="898"/>
      <c r="H28" s="895"/>
      <c r="I28" s="895"/>
      <c r="J28" s="868"/>
      <c r="K28" s="868"/>
      <c r="L28" s="868"/>
      <c r="M28" s="868"/>
      <c r="N28" s="868"/>
      <c r="O28" s="868"/>
      <c r="P28" s="868"/>
      <c r="Q28" s="868"/>
      <c r="R28" s="868"/>
      <c r="S28" s="868"/>
      <c r="T28" s="868"/>
      <c r="U28" s="868"/>
      <c r="V28" s="875" t="s">
        <v>403</v>
      </c>
      <c r="W28" s="918" t="s">
        <v>352</v>
      </c>
      <c r="X28" s="918" t="s">
        <v>353</v>
      </c>
      <c r="Y28" s="918" t="s">
        <v>354</v>
      </c>
      <c r="Z28" s="868"/>
      <c r="AA28" s="884"/>
      <c r="AB28" s="868"/>
      <c r="AC28" s="868"/>
      <c r="AD28" s="868"/>
      <c r="AE28" s="868"/>
      <c r="AF28" s="868"/>
      <c r="AG28" s="868"/>
      <c r="AH28" s="868"/>
      <c r="AI28" s="868"/>
      <c r="AJ28" s="868" t="str">
        <f>HLOOKUP(1,$AJ$13:$AR$17,($E$12)+1)</f>
        <v>not yet</v>
      </c>
      <c r="AK28" s="868" t="str">
        <f>HLOOKUP(2,$AJ$13:$AR$17,($E$12)+1)</f>
        <v>not yet</v>
      </c>
      <c r="AL28" s="868" t="str">
        <f>HLOOKUP(3,$AJ$13:$AR$17,($E$12)+1)</f>
        <v>not yet</v>
      </c>
      <c r="AM28" s="868" t="str">
        <f>HLOOKUP(4,$AJ$13:$AR$17,($E$12)+1)</f>
        <v>not yet</v>
      </c>
      <c r="AN28" s="868" t="str">
        <f>HLOOKUP(5,$AJ$13:$AR$17,($E$12)+1)</f>
        <v>not yet</v>
      </c>
      <c r="AO28" s="868" t="str">
        <f>HLOOKUP(6,$AJ$13:$AR$17,($E$12)+1)</f>
        <v>not yet</v>
      </c>
      <c r="AP28" s="868" t="str">
        <f>HLOOKUP(7,$AJ$13:$AR$17,($E$12)+1)</f>
        <v>yes</v>
      </c>
      <c r="AQ28" s="868" t="str">
        <f>HLOOKUP(8,$AJ$13:$AR$17,($E$12)+1)</f>
        <v>yes</v>
      </c>
      <c r="AR28" s="868" t="str">
        <f>HLOOKUP(9,$AJ$13:$AR$17,($E$12)+1)</f>
        <v>yes</v>
      </c>
      <c r="AS28" s="866"/>
      <c r="AT28" s="866"/>
      <c r="AU28" s="866"/>
      <c r="AV28" s="866"/>
      <c r="AW28" s="866"/>
      <c r="AX28" s="866"/>
      <c r="AY28" s="866"/>
      <c r="AZ28" s="866"/>
      <c r="BA28" s="866"/>
      <c r="BB28" s="866"/>
      <c r="BC28" s="866"/>
      <c r="BD28" s="866"/>
      <c r="BE28" s="866"/>
      <c r="BF28" s="866"/>
      <c r="BG28" s="866"/>
      <c r="BH28" s="866"/>
      <c r="BI28" s="866"/>
      <c r="BJ28" s="866"/>
      <c r="BK28" s="916"/>
    </row>
    <row r="29" spans="1:63" s="289" customFormat="1" ht="17.25" customHeight="1">
      <c r="A29" s="866"/>
      <c r="B29" s="868"/>
      <c r="C29" s="899"/>
      <c r="D29" s="900"/>
      <c r="E29" s="901"/>
      <c r="F29" s="902"/>
      <c r="G29" s="903"/>
      <c r="H29" s="868"/>
      <c r="I29" s="872"/>
      <c r="J29" s="868"/>
      <c r="K29" s="868"/>
      <c r="L29" s="868"/>
      <c r="M29" s="868"/>
      <c r="N29" s="868"/>
      <c r="O29" s="868"/>
      <c r="P29" s="868"/>
      <c r="Q29" s="868"/>
      <c r="R29" s="868"/>
      <c r="S29" s="868"/>
      <c r="T29" s="868"/>
      <c r="U29" s="868"/>
      <c r="V29" s="884">
        <f>100*(+AD23/$E$9)</f>
        <v>172.98618920925358</v>
      </c>
      <c r="W29" s="919">
        <f>EXP(5.7226-(0.68367*LN(+V29)))</f>
        <v>9.0205356403098023</v>
      </c>
      <c r="X29" s="892">
        <f>(+W29*V29)/100</f>
        <v>15.604280850434469</v>
      </c>
      <c r="Y29" s="884">
        <f>100*((((X29/100)-((X29/100)-0.03574)*$E$21)-0.03574-0.00619)/0.344)</f>
        <v>21.281934189787066</v>
      </c>
      <c r="Z29" s="868">
        <f>$E$20</f>
        <v>0.25</v>
      </c>
      <c r="AA29" s="884">
        <f>Y29+Z29</f>
        <v>21.531934189787066</v>
      </c>
      <c r="AB29" s="884">
        <f>100*($E$17*$E$19+($E$18*(AA29/100))/(1-$E$21))</f>
        <v>20.802990732726176</v>
      </c>
      <c r="AC29" s="892">
        <f>AB29/V29</f>
        <v>0.12025810168904141</v>
      </c>
      <c r="AD29" s="911">
        <f>$E$8/(1-AC29)</f>
        <v>1368797.1653089894</v>
      </c>
      <c r="AE29" s="868" t="str">
        <f>IF(AD29=AD23,"yes","not yet")</f>
        <v>not yet</v>
      </c>
      <c r="AF29" s="884">
        <f>100*(1-AC29)</f>
        <v>87.974189831095856</v>
      </c>
      <c r="AG29" s="868"/>
      <c r="AH29" s="868"/>
      <c r="AI29" s="868">
        <v>1</v>
      </c>
      <c r="AJ29" s="884">
        <f>V5</f>
        <v>190.22821430173832</v>
      </c>
      <c r="AK29" s="884">
        <f>V11</f>
        <v>171.71003737468803</v>
      </c>
      <c r="AL29" s="884">
        <f>V17</f>
        <v>173.08836319354538</v>
      </c>
      <c r="AM29" s="884">
        <f>V23</f>
        <v>172.97729397027518</v>
      </c>
      <c r="AN29" s="884">
        <f>V29</f>
        <v>172.98618920925358</v>
      </c>
      <c r="AO29" s="884">
        <f>V35</f>
        <v>172.98547646027805</v>
      </c>
      <c r="AP29" s="884">
        <f>V41</f>
        <v>172.98558194663195</v>
      </c>
      <c r="AQ29" s="884">
        <f>V47</f>
        <v>172.98558194663195</v>
      </c>
      <c r="AR29" s="884">
        <f>V53</f>
        <v>172.98558194663195</v>
      </c>
      <c r="AS29" s="866"/>
      <c r="AT29" s="866"/>
      <c r="AU29" s="866"/>
      <c r="AV29" s="866"/>
      <c r="AW29" s="866"/>
      <c r="AX29" s="866"/>
      <c r="AY29" s="866"/>
      <c r="AZ29" s="866"/>
      <c r="BA29" s="866"/>
      <c r="BB29" s="866"/>
      <c r="BC29" s="866"/>
      <c r="BD29" s="866"/>
      <c r="BE29" s="866"/>
      <c r="BF29" s="866"/>
      <c r="BG29" s="866"/>
      <c r="BH29" s="866"/>
      <c r="BI29" s="866"/>
      <c r="BJ29" s="866"/>
      <c r="BK29" s="916"/>
    </row>
    <row r="30" spans="1:63" s="289" customFormat="1" ht="17.25" customHeight="1">
      <c r="A30" s="866"/>
      <c r="B30" s="868"/>
      <c r="C30" s="899"/>
      <c r="D30" s="900"/>
      <c r="E30" s="904"/>
      <c r="F30" s="902"/>
      <c r="G30" s="903"/>
      <c r="H30" s="868"/>
      <c r="I30" s="872"/>
      <c r="J30" s="868"/>
      <c r="K30" s="868"/>
      <c r="L30" s="868"/>
      <c r="M30" s="868"/>
      <c r="N30" s="868"/>
      <c r="O30" s="868"/>
      <c r="P30" s="868"/>
      <c r="Q30" s="868"/>
      <c r="R30" s="868"/>
      <c r="S30" s="868"/>
      <c r="T30" s="868"/>
      <c r="U30" s="868"/>
      <c r="V30" s="884">
        <f>100*(+AD24/$E$9)</f>
        <v>172.57891397525617</v>
      </c>
      <c r="W30" s="919">
        <f>EXP(5.70827-(0.68367*LN(+V30)))</f>
        <v>8.9065346063414026</v>
      </c>
      <c r="X30" s="892">
        <f>(+W30*V30)/100</f>
        <v>15.370800696454351</v>
      </c>
      <c r="Y30" s="884">
        <f>100*((((X30/100)-((X30/100)-0.03574)*$E$21)-0.03574-0.00619)/0.344)</f>
        <v>20.833978080406602</v>
      </c>
      <c r="Z30" s="868">
        <f>$E$20</f>
        <v>0.25</v>
      </c>
      <c r="AA30" s="884">
        <f>Y30+Z30</f>
        <v>21.083978080406602</v>
      </c>
      <c r="AB30" s="884">
        <f>100*($E$17*$E$19+($E$18*(AA30/100))/(1-$E$21))</f>
        <v>20.395757906016662</v>
      </c>
      <c r="AC30" s="892">
        <f>AB30/V30</f>
        <v>0.11818221262500785</v>
      </c>
      <c r="AD30" s="911">
        <f>$E$8/(1-AC30)</f>
        <v>1365574.8770913705</v>
      </c>
      <c r="AE30" s="868" t="str">
        <f>IF(AD30=AD24,"yes","not yet")</f>
        <v>not yet</v>
      </c>
      <c r="AF30" s="884">
        <f>100*(1-AC30)</f>
        <v>88.181778737499215</v>
      </c>
      <c r="AG30" s="868"/>
      <c r="AH30" s="868"/>
      <c r="AI30" s="868">
        <v>2</v>
      </c>
      <c r="AJ30" s="884">
        <f>V6</f>
        <v>190.22821430173832</v>
      </c>
      <c r="AK30" s="884">
        <f>V12</f>
        <v>171.30457325744956</v>
      </c>
      <c r="AL30" s="884">
        <f>V18</f>
        <v>172.67864367268029</v>
      </c>
      <c r="AM30" s="884">
        <f>V24</f>
        <v>172.57044650828109</v>
      </c>
      <c r="AN30" s="884">
        <f>V30</f>
        <v>172.57891397525617</v>
      </c>
      <c r="AO30" s="884">
        <f>V36</f>
        <v>172.57825099492484</v>
      </c>
      <c r="AP30" s="884">
        <f>V42</f>
        <v>172.57826652783822</v>
      </c>
      <c r="AQ30" s="884">
        <f>V48</f>
        <v>172.57826652783822</v>
      </c>
      <c r="AR30" s="884">
        <f>V54</f>
        <v>172.57826652783822</v>
      </c>
      <c r="AS30" s="866"/>
      <c r="AT30" s="866"/>
      <c r="AU30" s="866"/>
      <c r="AV30" s="866"/>
      <c r="AW30" s="866"/>
      <c r="AX30" s="866"/>
      <c r="AY30" s="866"/>
      <c r="AZ30" s="866"/>
      <c r="BA30" s="866"/>
      <c r="BB30" s="866"/>
      <c r="BC30" s="866"/>
      <c r="BD30" s="866"/>
      <c r="BE30" s="866"/>
      <c r="BF30" s="866"/>
      <c r="BG30" s="866"/>
      <c r="BH30" s="866"/>
      <c r="BI30" s="866"/>
      <c r="BJ30" s="866"/>
      <c r="BK30" s="916"/>
    </row>
    <row r="31" spans="1:63" s="289" customFormat="1" ht="17.25" customHeight="1">
      <c r="A31" s="866"/>
      <c r="B31" s="868"/>
      <c r="C31" s="899"/>
      <c r="D31" s="899"/>
      <c r="E31" s="905"/>
      <c r="F31" s="906"/>
      <c r="G31" s="907"/>
      <c r="H31" s="908"/>
      <c r="I31" s="907"/>
      <c r="J31" s="868"/>
      <c r="K31" s="868"/>
      <c r="L31" s="868"/>
      <c r="M31" s="868"/>
      <c r="N31" s="868"/>
      <c r="O31" s="868"/>
      <c r="P31" s="868"/>
      <c r="Q31" s="868"/>
      <c r="R31" s="868"/>
      <c r="S31" s="868"/>
      <c r="T31" s="868"/>
      <c r="U31" s="868"/>
      <c r="V31" s="884">
        <f>100*(+AD25/$E$9)</f>
        <v>172.30489036869406</v>
      </c>
      <c r="W31" s="919">
        <f>EXP(5.6985-(0.68367*LN(V31)))</f>
        <v>8.8295286956304473</v>
      </c>
      <c r="X31" s="892">
        <f>(+W31*V31)/100</f>
        <v>15.213709739078425</v>
      </c>
      <c r="Y31" s="884">
        <f>100*((((X31/100)-((X31/100)-0.03574)*$E$21)-0.03574-0.00619)/0.344)</f>
        <v>20.532582638929533</v>
      </c>
      <c r="Z31" s="868">
        <f>$E$20</f>
        <v>0.25</v>
      </c>
      <c r="AA31" s="884">
        <f>Y31+Z31</f>
        <v>20.782582638929533</v>
      </c>
      <c r="AB31" s="884">
        <f>100*($E$17*$E$19+($E$18*(AA31/100))/(1-$E$21))</f>
        <v>20.121762050128421</v>
      </c>
      <c r="AC31" s="892">
        <f>AB31/V31</f>
        <v>0.11677998231548933</v>
      </c>
      <c r="AD31" s="911">
        <f>$E$8/(1-AC31)</f>
        <v>1363406.8437087096</v>
      </c>
      <c r="AE31" s="868" t="str">
        <f>IF(AD31=AD25,"yes","not yet")</f>
        <v>not yet</v>
      </c>
      <c r="AF31" s="884">
        <f>100*(1-AC31)</f>
        <v>88.322001768451059</v>
      </c>
      <c r="AG31" s="868"/>
      <c r="AH31" s="868"/>
      <c r="AI31" s="868">
        <v>3</v>
      </c>
      <c r="AJ31" s="884">
        <f>V7</f>
        <v>190.22821430173832</v>
      </c>
      <c r="AK31" s="884">
        <f>V13</f>
        <v>171.0325233498842</v>
      </c>
      <c r="AL31" s="884">
        <f>V19</f>
        <v>172.40291933561082</v>
      </c>
      <c r="AM31" s="884">
        <f>V25</f>
        <v>172.2967090024521</v>
      </c>
      <c r="AN31" s="884">
        <f>V31</f>
        <v>172.30489036869406</v>
      </c>
      <c r="AO31" s="884">
        <f>V37</f>
        <v>172.30425986082082</v>
      </c>
      <c r="AP31" s="884">
        <f>V43</f>
        <v>172.30427961255907</v>
      </c>
      <c r="AQ31" s="884">
        <f>V49</f>
        <v>172.30427961255907</v>
      </c>
      <c r="AR31" s="884">
        <f>V55</f>
        <v>172.30427961255907</v>
      </c>
      <c r="AS31" s="866"/>
      <c r="AT31" s="866"/>
      <c r="AU31" s="866"/>
      <c r="AV31" s="866"/>
      <c r="AW31" s="866"/>
      <c r="AX31" s="866"/>
      <c r="AY31" s="866"/>
      <c r="AZ31" s="866"/>
      <c r="BA31" s="866"/>
      <c r="BB31" s="866"/>
      <c r="BC31" s="866"/>
      <c r="BD31" s="866"/>
      <c r="BE31" s="866"/>
      <c r="BF31" s="866"/>
      <c r="BG31" s="866"/>
      <c r="BH31" s="866"/>
      <c r="BI31" s="866"/>
      <c r="BJ31" s="866"/>
      <c r="BK31" s="916"/>
    </row>
    <row r="32" spans="1:63" s="289" customFormat="1" ht="17.25" customHeight="1">
      <c r="A32" s="866"/>
      <c r="B32" s="868"/>
      <c r="C32" s="899"/>
      <c r="D32" s="909"/>
      <c r="E32" s="910"/>
      <c r="F32" s="906"/>
      <c r="G32" s="911"/>
      <c r="H32" s="868"/>
      <c r="I32" s="868"/>
      <c r="J32" s="868"/>
      <c r="K32" s="868"/>
      <c r="L32" s="868"/>
      <c r="M32" s="868"/>
      <c r="N32" s="868"/>
      <c r="O32" s="868"/>
      <c r="P32" s="868"/>
      <c r="Q32" s="868"/>
      <c r="R32" s="868"/>
      <c r="S32" s="868"/>
      <c r="T32" s="868"/>
      <c r="U32" s="868"/>
      <c r="V32" s="884">
        <f>100*(+AD26/$E$9)</f>
        <v>172.12974272707734</v>
      </c>
      <c r="W32" s="919">
        <f>EXP(5.6922-(0.68367*LN(V32)))</f>
        <v>8.7801802823310027</v>
      </c>
      <c r="X32" s="892">
        <f>(+W32*V32)/100</f>
        <v>15.113301730949926</v>
      </c>
      <c r="Y32" s="884">
        <f>100*((((X32/100)-((X32/100)-0.03574)*$E$21)-0.03574-0.00619)/0.344)</f>
        <v>20.339939367520206</v>
      </c>
      <c r="Z32" s="868">
        <f>$E$20</f>
        <v>0.25</v>
      </c>
      <c r="AA32" s="884">
        <f>Y32+Z32</f>
        <v>20.589939367520206</v>
      </c>
      <c r="AB32" s="884">
        <f>100*($E$17*$E$19+($E$18*(AA32/100))/(1-$E$21))</f>
        <v>19.946631803392663</v>
      </c>
      <c r="AC32" s="892">
        <f>AB32/V32</f>
        <v>0.11588137812428684</v>
      </c>
      <c r="AD32" s="911">
        <f>$E$8/(1-AC32)</f>
        <v>1362021.0985453834</v>
      </c>
      <c r="AE32" s="868" t="str">
        <f>IF(AD32=AD26,"yes","not yet")</f>
        <v>not yet</v>
      </c>
      <c r="AF32" s="884">
        <f>100*(1-AC32)</f>
        <v>88.411862187571316</v>
      </c>
      <c r="AG32" s="868"/>
      <c r="AH32" s="868"/>
      <c r="AI32" s="868">
        <v>4</v>
      </c>
      <c r="AJ32" s="884">
        <f>V8</f>
        <v>190.22821430173832</v>
      </c>
      <c r="AK32" s="884">
        <f>V14</f>
        <v>170.85895409887186</v>
      </c>
      <c r="AL32" s="884">
        <f>V20</f>
        <v>172.22666230571946</v>
      </c>
      <c r="AM32" s="884">
        <f>V26</f>
        <v>172.12174330028779</v>
      </c>
      <c r="AN32" s="884">
        <f>V32</f>
        <v>172.12974272707734</v>
      </c>
      <c r="AO32" s="884">
        <f>V38</f>
        <v>172.12913253486934</v>
      </c>
      <c r="AP32" s="884">
        <f>V44</f>
        <v>172.12912008092763</v>
      </c>
      <c r="AQ32" s="884">
        <f>V50</f>
        <v>172.12912008092763</v>
      </c>
      <c r="AR32" s="884">
        <f>V56</f>
        <v>172.12912008092763</v>
      </c>
      <c r="AS32" s="866"/>
      <c r="AT32" s="866"/>
      <c r="AU32" s="866"/>
      <c r="AV32" s="866"/>
      <c r="AW32" s="866"/>
      <c r="AX32" s="866"/>
      <c r="AY32" s="866"/>
      <c r="AZ32" s="866"/>
      <c r="BA32" s="866"/>
      <c r="BB32" s="866"/>
      <c r="BC32" s="866"/>
      <c r="BD32" s="866"/>
      <c r="BE32" s="866"/>
      <c r="BF32" s="866"/>
      <c r="BG32" s="866"/>
      <c r="BH32" s="866"/>
      <c r="BI32" s="866"/>
      <c r="BJ32" s="866"/>
      <c r="BK32" s="916"/>
    </row>
    <row r="33" spans="1:63" s="289" customFormat="1" ht="17.25" customHeight="1">
      <c r="A33" s="866"/>
      <c r="B33" s="868"/>
      <c r="C33" s="899"/>
      <c r="D33" s="899"/>
      <c r="E33" s="912"/>
      <c r="F33" s="906"/>
      <c r="G33" s="889"/>
      <c r="H33" s="868"/>
      <c r="I33" s="889"/>
      <c r="J33" s="868"/>
      <c r="K33" s="868"/>
      <c r="L33" s="868"/>
      <c r="M33" s="868"/>
      <c r="N33" s="868"/>
      <c r="O33" s="868"/>
      <c r="P33" s="868"/>
      <c r="Q33" s="868"/>
      <c r="R33" s="868"/>
      <c r="S33" s="868"/>
      <c r="T33" s="868"/>
      <c r="U33" s="868"/>
      <c r="V33" s="868"/>
      <c r="W33" s="868"/>
      <c r="X33" s="868"/>
      <c r="Y33" s="868"/>
      <c r="Z33" s="868"/>
      <c r="AA33" s="884"/>
      <c r="AB33" s="868"/>
      <c r="AC33" s="868"/>
      <c r="AD33" s="868"/>
      <c r="AE33" s="868"/>
      <c r="AF33" s="868"/>
      <c r="AG33" s="868"/>
      <c r="AH33" s="868"/>
      <c r="AI33" s="868"/>
      <c r="AJ33" s="868"/>
      <c r="AK33" s="868"/>
      <c r="AL33" s="868"/>
      <c r="AM33" s="868"/>
      <c r="AN33" s="868"/>
      <c r="AO33" s="868"/>
      <c r="AP33" s="868"/>
      <c r="AQ33" s="868"/>
      <c r="AR33" s="868"/>
      <c r="AS33" s="866"/>
      <c r="AT33" s="866"/>
      <c r="AU33" s="866"/>
      <c r="AV33" s="866"/>
      <c r="AW33" s="866"/>
      <c r="AX33" s="866"/>
      <c r="AY33" s="866"/>
      <c r="AZ33" s="866"/>
      <c r="BA33" s="866"/>
      <c r="BB33" s="866"/>
      <c r="BC33" s="866"/>
      <c r="BD33" s="866"/>
      <c r="BE33" s="866"/>
      <c r="BF33" s="866"/>
      <c r="BG33" s="866"/>
      <c r="BH33" s="866"/>
      <c r="BI33" s="866"/>
      <c r="BJ33" s="866"/>
      <c r="BK33" s="916"/>
    </row>
    <row r="34" spans="1:63" s="289" customFormat="1" ht="17.25" customHeight="1">
      <c r="A34" s="866"/>
      <c r="B34" s="868"/>
      <c r="C34" s="899"/>
      <c r="D34" s="899"/>
      <c r="E34" s="904"/>
      <c r="F34" s="906"/>
      <c r="G34" s="868"/>
      <c r="H34" s="868"/>
      <c r="I34" s="868"/>
      <c r="J34" s="868"/>
      <c r="K34" s="868"/>
      <c r="L34" s="868"/>
      <c r="M34" s="868"/>
      <c r="N34" s="868"/>
      <c r="O34" s="868"/>
      <c r="P34" s="868"/>
      <c r="Q34" s="868"/>
      <c r="R34" s="868"/>
      <c r="S34" s="868"/>
      <c r="T34" s="868"/>
      <c r="U34" s="868"/>
      <c r="V34" s="875" t="s">
        <v>404</v>
      </c>
      <c r="W34" s="918" t="s">
        <v>352</v>
      </c>
      <c r="X34" s="918" t="s">
        <v>353</v>
      </c>
      <c r="Y34" s="918" t="s">
        <v>354</v>
      </c>
      <c r="Z34" s="868"/>
      <c r="AA34" s="884"/>
      <c r="AB34" s="868"/>
      <c r="AC34" s="868"/>
      <c r="AD34" s="868"/>
      <c r="AE34" s="868"/>
      <c r="AF34" s="868"/>
      <c r="AG34" s="868"/>
      <c r="AH34" s="868"/>
      <c r="AI34" s="868"/>
      <c r="AJ34" s="868" t="s">
        <v>402</v>
      </c>
      <c r="AK34" s="868"/>
      <c r="AL34" s="868"/>
      <c r="AM34" s="868"/>
      <c r="AN34" s="868"/>
      <c r="AO34" s="868"/>
      <c r="AP34" s="868"/>
      <c r="AQ34" s="868"/>
      <c r="AR34" s="868"/>
      <c r="AS34" s="866"/>
      <c r="AT34" s="866"/>
      <c r="AU34" s="866"/>
      <c r="AV34" s="866"/>
      <c r="AW34" s="866"/>
      <c r="AX34" s="866"/>
      <c r="AY34" s="866"/>
      <c r="AZ34" s="866"/>
      <c r="BA34" s="866"/>
      <c r="BB34" s="866"/>
      <c r="BC34" s="866"/>
      <c r="BD34" s="866"/>
      <c r="BE34" s="866"/>
      <c r="BF34" s="866"/>
      <c r="BG34" s="866"/>
      <c r="BH34" s="866"/>
      <c r="BI34" s="866"/>
      <c r="BJ34" s="866"/>
      <c r="BK34" s="916"/>
    </row>
    <row r="35" spans="1:63" s="289" customFormat="1" ht="17.25" customHeight="1">
      <c r="A35" s="866"/>
      <c r="B35" s="868"/>
      <c r="C35" s="899"/>
      <c r="D35" s="899"/>
      <c r="E35" s="913"/>
      <c r="F35" s="906"/>
      <c r="G35" s="906"/>
      <c r="H35" s="868"/>
      <c r="I35" s="868"/>
      <c r="J35" s="868"/>
      <c r="K35" s="868"/>
      <c r="L35" s="868"/>
      <c r="M35" s="868"/>
      <c r="N35" s="868"/>
      <c r="O35" s="868"/>
      <c r="P35" s="868"/>
      <c r="Q35" s="868"/>
      <c r="R35" s="868"/>
      <c r="S35" s="868"/>
      <c r="T35" s="868"/>
      <c r="U35" s="868"/>
      <c r="V35" s="884">
        <f>100*(+AD29/$E$9)</f>
        <v>172.98547646027805</v>
      </c>
      <c r="W35" s="919">
        <f>EXP(5.7226-(0.68367*LN(+V35)))</f>
        <v>9.0205610503602038</v>
      </c>
      <c r="X35" s="892">
        <f>(+W35*V35)/100</f>
        <v>15.604260512355861</v>
      </c>
      <c r="Y35" s="884">
        <f>100*((((X35/100)-((X35/100)-0.03574)*$E$21)-0.03574-0.00619)/0.344)</f>
        <v>21.281895169054856</v>
      </c>
      <c r="Z35" s="868">
        <f>$E$20</f>
        <v>0.25</v>
      </c>
      <c r="AA35" s="884">
        <f>Y35+Z35</f>
        <v>21.531895169054856</v>
      </c>
      <c r="AB35" s="884">
        <f>100*($E$17*$E$19+($E$18*(AA35/100))/(1-$E$21))</f>
        <v>20.80295525933326</v>
      </c>
      <c r="AC35" s="892">
        <f>AB35/V35</f>
        <v>0.12025839212062497</v>
      </c>
      <c r="AD35" s="911">
        <f>ROUND($E$8/(1-AC35),0)</f>
        <v>1368798</v>
      </c>
      <c r="AE35" s="868" t="str">
        <f>IF(AD35=AD29,"yes","not yet")</f>
        <v>not yet</v>
      </c>
      <c r="AF35" s="884">
        <f>100*(1-AC35)</f>
        <v>87.974160787937507</v>
      </c>
      <c r="AG35" s="868"/>
      <c r="AH35" s="868"/>
      <c r="AI35" s="868"/>
      <c r="AJ35" s="884">
        <f>HLOOKUP($AJ$34,$AJ$28:$AR$32,($E$12)+1)</f>
        <v>172.30427961255907</v>
      </c>
      <c r="AK35" s="868"/>
      <c r="AL35" s="868"/>
      <c r="AM35" s="868"/>
      <c r="AN35" s="868"/>
      <c r="AO35" s="868"/>
      <c r="AP35" s="868"/>
      <c r="AQ35" s="868"/>
      <c r="AR35" s="868"/>
      <c r="AS35" s="866"/>
      <c r="AT35" s="866"/>
      <c r="AU35" s="866"/>
      <c r="AV35" s="866"/>
      <c r="AW35" s="866"/>
      <c r="AX35" s="866"/>
      <c r="AY35" s="866"/>
      <c r="AZ35" s="866"/>
      <c r="BA35" s="866"/>
      <c r="BB35" s="866"/>
      <c r="BC35" s="866"/>
      <c r="BD35" s="866"/>
      <c r="BE35" s="866"/>
      <c r="BF35" s="866"/>
      <c r="BG35" s="866"/>
      <c r="BH35" s="866"/>
      <c r="BI35" s="866"/>
      <c r="BJ35" s="866"/>
      <c r="BK35" s="916"/>
    </row>
    <row r="36" spans="1:63" s="289" customFormat="1" ht="17.25" customHeight="1">
      <c r="A36" s="866"/>
      <c r="B36" s="868"/>
      <c r="C36" s="899"/>
      <c r="D36" s="899"/>
      <c r="E36" s="914"/>
      <c r="F36" s="868"/>
      <c r="G36" s="868"/>
      <c r="H36" s="868"/>
      <c r="I36" s="868"/>
      <c r="J36" s="868"/>
      <c r="K36" s="868"/>
      <c r="L36" s="868"/>
      <c r="M36" s="868"/>
      <c r="N36" s="868"/>
      <c r="O36" s="868"/>
      <c r="P36" s="868"/>
      <c r="Q36" s="868"/>
      <c r="R36" s="868"/>
      <c r="S36" s="868"/>
      <c r="T36" s="868"/>
      <c r="U36" s="868"/>
      <c r="V36" s="884">
        <f>100*(+AD30/$E$9)</f>
        <v>172.57825099492484</v>
      </c>
      <c r="W36" s="919">
        <f>EXP(5.70827-(0.68367*LN(+V36)))</f>
        <v>8.906557998462306</v>
      </c>
      <c r="X36" s="892">
        <f>(+W36*V36)/100</f>
        <v>15.370782017594834</v>
      </c>
      <c r="Y36" s="884">
        <f>100*((((X36/100)-((X36/100)-0.03574)*$E$21)-0.03574-0.00619)/0.344)</f>
        <v>20.833942243059855</v>
      </c>
      <c r="Z36" s="868">
        <f>$E$20</f>
        <v>0.25</v>
      </c>
      <c r="AA36" s="884">
        <f>Y36+Z36</f>
        <v>21.083942243059855</v>
      </c>
      <c r="AB36" s="884">
        <f>100*($E$17*$E$19+($E$18*(AA36/100))/(1-$E$21))</f>
        <v>20.395725326610528</v>
      </c>
      <c r="AC36" s="892">
        <f>AB36/V36</f>
        <v>0.11818247785585868</v>
      </c>
      <c r="AD36" s="911">
        <f>ROUND($E$8/(1-AC36),0)</f>
        <v>1365575</v>
      </c>
      <c r="AE36" s="868" t="str">
        <f>IF(AD36=AD30,"yes","not yet")</f>
        <v>not yet</v>
      </c>
      <c r="AF36" s="884">
        <f>100*(1-AC36)</f>
        <v>88.181752214414132</v>
      </c>
      <c r="AG36" s="868"/>
      <c r="AH36" s="868"/>
      <c r="AI36" s="868"/>
      <c r="AJ36" s="868"/>
      <c r="AK36" s="868"/>
      <c r="AL36" s="868"/>
      <c r="AM36" s="868"/>
      <c r="AN36" s="868"/>
      <c r="AO36" s="868"/>
      <c r="AP36" s="868"/>
      <c r="AQ36" s="868"/>
      <c r="AR36" s="868"/>
      <c r="AS36" s="866"/>
      <c r="AT36" s="866"/>
      <c r="AU36" s="866"/>
      <c r="AV36" s="866"/>
      <c r="AW36" s="866"/>
      <c r="AX36" s="866"/>
      <c r="AY36" s="866"/>
      <c r="AZ36" s="866"/>
      <c r="BA36" s="866"/>
      <c r="BB36" s="866"/>
      <c r="BC36" s="866"/>
      <c r="BD36" s="866"/>
      <c r="BE36" s="866"/>
      <c r="BF36" s="866"/>
      <c r="BG36" s="866"/>
      <c r="BH36" s="866"/>
      <c r="BI36" s="866"/>
      <c r="BJ36" s="866"/>
      <c r="BK36" s="916"/>
    </row>
    <row r="37" spans="1:63" s="289" customFormat="1" ht="17.25" customHeight="1">
      <c r="A37" s="866"/>
      <c r="B37" s="868"/>
      <c r="C37" s="899"/>
      <c r="D37" s="899"/>
      <c r="E37" s="901"/>
      <c r="F37" s="868"/>
      <c r="G37" s="906"/>
      <c r="H37" s="868"/>
      <c r="I37" s="868"/>
      <c r="J37" s="868"/>
      <c r="K37" s="868"/>
      <c r="L37" s="868"/>
      <c r="M37" s="868"/>
      <c r="N37" s="868"/>
      <c r="O37" s="868"/>
      <c r="P37" s="868"/>
      <c r="Q37" s="868"/>
      <c r="R37" s="868"/>
      <c r="S37" s="868"/>
      <c r="T37" s="868"/>
      <c r="U37" s="868"/>
      <c r="V37" s="884">
        <f>100*(+AD31/$E$9)</f>
        <v>172.30425986082082</v>
      </c>
      <c r="W37" s="919">
        <f>EXP(5.6985-(0.68367*LN(V37)))</f>
        <v>8.829550784744292</v>
      </c>
      <c r="X37" s="892">
        <f>(+W37*V37)/100</f>
        <v>15.213692128688949</v>
      </c>
      <c r="Y37" s="884">
        <f>100*((((X37/100)-((X37/100)-0.03574)*$E$21)-0.03574-0.00619)/0.344)</f>
        <v>20.532548851554385</v>
      </c>
      <c r="Z37" s="868">
        <f>$E$20</f>
        <v>0.25</v>
      </c>
      <c r="AA37" s="884">
        <f>Y37+Z37</f>
        <v>20.782548851554385</v>
      </c>
      <c r="AB37" s="884">
        <f>100*($E$17*$E$19+($E$18*(AA37/100))/(1-$E$21))</f>
        <v>20.121731334332829</v>
      </c>
      <c r="AC37" s="892">
        <f>AB37/V37</f>
        <v>0.11678023138015395</v>
      </c>
      <c r="AD37" s="911">
        <f>ROUND($E$8/(1-AC37),0)</f>
        <v>1363407</v>
      </c>
      <c r="AE37" s="868" t="str">
        <f>IF(AD37=AD31,"yes","not yet")</f>
        <v>not yet</v>
      </c>
      <c r="AF37" s="884">
        <f>100*(1-AC37)</f>
        <v>88.321976861984609</v>
      </c>
      <c r="AG37" s="868"/>
      <c r="AH37" s="868"/>
      <c r="AI37" s="868"/>
      <c r="AJ37" s="868" t="str">
        <f>HLOOKUP(1,$AJ$13:$AR$17,($E$12)+1)</f>
        <v>not yet</v>
      </c>
      <c r="AK37" s="868" t="str">
        <f>HLOOKUP(2,$AJ$13:$AR$17,($E$12)+1)</f>
        <v>not yet</v>
      </c>
      <c r="AL37" s="868" t="str">
        <f>HLOOKUP(3,$AJ$13:$AR$17,($E$12)+1)</f>
        <v>not yet</v>
      </c>
      <c r="AM37" s="868" t="str">
        <f>HLOOKUP(4,$AJ$13:$AR$17,($E$12)+1)</f>
        <v>not yet</v>
      </c>
      <c r="AN37" s="868" t="str">
        <f>HLOOKUP(5,$AJ$13:$AR$17,($E$12)+1)</f>
        <v>not yet</v>
      </c>
      <c r="AO37" s="868" t="str">
        <f>HLOOKUP(6,$AJ$13:$AR$17,($E$12)+1)</f>
        <v>not yet</v>
      </c>
      <c r="AP37" s="868" t="str">
        <f>HLOOKUP(7,$AJ$13:$AR$17,($E$12)+1)</f>
        <v>yes</v>
      </c>
      <c r="AQ37" s="868" t="str">
        <f>HLOOKUP(8,$AJ$13:$AR$17,($E$12)+1)</f>
        <v>yes</v>
      </c>
      <c r="AR37" s="868" t="str">
        <f>HLOOKUP(9,$AJ$13:$AR$17,($E$12)+1)</f>
        <v>yes</v>
      </c>
      <c r="AS37" s="866"/>
      <c r="AT37" s="866"/>
      <c r="AU37" s="866"/>
      <c r="AV37" s="866"/>
      <c r="AW37" s="866"/>
      <c r="AX37" s="866"/>
      <c r="AY37" s="866"/>
      <c r="AZ37" s="866"/>
      <c r="BA37" s="866"/>
      <c r="BB37" s="866"/>
      <c r="BC37" s="866"/>
      <c r="BD37" s="866"/>
      <c r="BE37" s="866"/>
      <c r="BF37" s="866"/>
      <c r="BG37" s="866"/>
      <c r="BH37" s="866"/>
      <c r="BI37" s="866"/>
      <c r="BJ37" s="866"/>
      <c r="BK37" s="916"/>
    </row>
    <row r="38" spans="1:63" s="289" customFormat="1" ht="17.25" customHeight="1">
      <c r="A38" s="866"/>
      <c r="B38" s="868"/>
      <c r="C38" s="899"/>
      <c r="D38" s="899"/>
      <c r="E38" s="913"/>
      <c r="F38" s="868"/>
      <c r="G38" s="868"/>
      <c r="H38" s="868"/>
      <c r="I38" s="868"/>
      <c r="J38" s="868"/>
      <c r="K38" s="868"/>
      <c r="L38" s="868"/>
      <c r="M38" s="868"/>
      <c r="N38" s="868"/>
      <c r="O38" s="868"/>
      <c r="P38" s="868"/>
      <c r="Q38" s="868"/>
      <c r="R38" s="868"/>
      <c r="S38" s="868"/>
      <c r="T38" s="868"/>
      <c r="U38" s="868"/>
      <c r="V38" s="884">
        <f>100*(+AD32/$E$9)</f>
        <v>172.12913253486934</v>
      </c>
      <c r="W38" s="919">
        <f>EXP(5.6922-(0.68367*LN(V38)))</f>
        <v>8.7802015618589895</v>
      </c>
      <c r="X38" s="892">
        <f>(+W38*V38)/100</f>
        <v>15.113284783240928</v>
      </c>
      <c r="Y38" s="884">
        <f>100*((((X38/100)-((X38/100)-0.03574)*$E$21)-0.03574-0.00619)/0.344)</f>
        <v>20.339906851566901</v>
      </c>
      <c r="Z38" s="868">
        <f>$E$20</f>
        <v>0.25</v>
      </c>
      <c r="AA38" s="884">
        <f>Y38+Z38</f>
        <v>20.589906851566901</v>
      </c>
      <c r="AB38" s="884">
        <f>100*($E$17*$E$19+($E$18*(AA38/100))/(1-$E$21))</f>
        <v>19.94660224343512</v>
      </c>
      <c r="AC38" s="892">
        <f>AB38/V38</f>
        <v>0.11588161718873709</v>
      </c>
      <c r="AD38" s="911">
        <f>ROUND($E$8/(1-AC38),0)</f>
        <v>1362021</v>
      </c>
      <c r="AE38" s="868" t="str">
        <f>IF(AD38=AD32,"yes","not yet")</f>
        <v>not yet</v>
      </c>
      <c r="AF38" s="884">
        <f>100*(1-AC38)</f>
        <v>88.411838281126293</v>
      </c>
      <c r="AG38" s="868"/>
      <c r="AH38" s="868"/>
      <c r="AI38" s="868">
        <v>1</v>
      </c>
      <c r="AJ38" s="911">
        <f>AD5</f>
        <v>1358704.8879652275</v>
      </c>
      <c r="AK38" s="911">
        <f>AD11</f>
        <v>1369611.2860763853</v>
      </c>
      <c r="AL38" s="911">
        <f>AD17</f>
        <v>1368732.4190114948</v>
      </c>
      <c r="AM38" s="911">
        <f>AD23</f>
        <v>1368802.8051395535</v>
      </c>
      <c r="AN38" s="911">
        <f>AD29</f>
        <v>1368797.1653089894</v>
      </c>
      <c r="AO38" s="911">
        <f>AD35</f>
        <v>1368798</v>
      </c>
      <c r="AP38" s="911">
        <f>AD41</f>
        <v>1368798</v>
      </c>
      <c r="AQ38" s="911">
        <f>AD47</f>
        <v>1368798</v>
      </c>
      <c r="AR38" s="911">
        <f>AD53</f>
        <v>1368798</v>
      </c>
      <c r="AS38" s="866"/>
      <c r="AT38" s="866"/>
      <c r="AU38" s="866"/>
      <c r="AV38" s="866"/>
      <c r="AW38" s="866"/>
      <c r="AX38" s="866"/>
      <c r="AY38" s="866"/>
      <c r="AZ38" s="866"/>
      <c r="BA38" s="866"/>
      <c r="BB38" s="866"/>
      <c r="BC38" s="866"/>
      <c r="BD38" s="866"/>
      <c r="BE38" s="866"/>
      <c r="BF38" s="866"/>
      <c r="BG38" s="866"/>
      <c r="BH38" s="866"/>
      <c r="BI38" s="866"/>
      <c r="BJ38" s="866"/>
      <c r="BK38" s="916"/>
    </row>
    <row r="39" spans="1:63" s="289" customFormat="1" ht="17.25" customHeight="1">
      <c r="A39" s="866"/>
      <c r="B39" s="868"/>
      <c r="C39" s="899"/>
      <c r="D39" s="899"/>
      <c r="E39" s="915"/>
      <c r="F39" s="868"/>
      <c r="G39" s="868"/>
      <c r="H39" s="868"/>
      <c r="I39" s="868"/>
      <c r="J39" s="868"/>
      <c r="K39" s="868"/>
      <c r="L39" s="868"/>
      <c r="M39" s="868"/>
      <c r="N39" s="868"/>
      <c r="O39" s="868"/>
      <c r="P39" s="868"/>
      <c r="Q39" s="868"/>
      <c r="R39" s="868"/>
      <c r="S39" s="868"/>
      <c r="T39" s="868"/>
      <c r="U39" s="868"/>
      <c r="V39" s="868"/>
      <c r="W39" s="868"/>
      <c r="X39" s="868"/>
      <c r="Y39" s="868"/>
      <c r="Z39" s="868"/>
      <c r="AA39" s="884"/>
      <c r="AB39" s="868"/>
      <c r="AC39" s="868"/>
      <c r="AD39" s="868"/>
      <c r="AE39" s="868"/>
      <c r="AF39" s="868"/>
      <c r="AG39" s="868"/>
      <c r="AH39" s="868"/>
      <c r="AI39" s="868">
        <v>2</v>
      </c>
      <c r="AJ39" s="911">
        <f>AD6</f>
        <v>1355496.5369194217</v>
      </c>
      <c r="AK39" s="911">
        <f>AD12</f>
        <v>1366369.2629296579</v>
      </c>
      <c r="AL39" s="911">
        <f>AD18</f>
        <v>1365513.1218538024</v>
      </c>
      <c r="AM39" s="911">
        <f>AD24</f>
        <v>1365580.1231132722</v>
      </c>
      <c r="AN39" s="911">
        <f>AD30</f>
        <v>1365574.8770913705</v>
      </c>
      <c r="AO39" s="911">
        <f>AD36</f>
        <v>1365575</v>
      </c>
      <c r="AP39" s="911">
        <f>AD42</f>
        <v>1365575</v>
      </c>
      <c r="AQ39" s="911">
        <f>AD48</f>
        <v>1365575</v>
      </c>
      <c r="AR39" s="911">
        <f>AD54</f>
        <v>1365575</v>
      </c>
      <c r="AS39" s="866"/>
      <c r="AT39" s="866"/>
      <c r="AU39" s="866"/>
      <c r="AV39" s="866"/>
      <c r="AW39" s="866"/>
      <c r="AX39" s="866"/>
      <c r="AY39" s="866"/>
      <c r="AZ39" s="866"/>
      <c r="BA39" s="866"/>
      <c r="BB39" s="866"/>
      <c r="BC39" s="866"/>
      <c r="BD39" s="866"/>
      <c r="BE39" s="866"/>
      <c r="BF39" s="866"/>
      <c r="BG39" s="866"/>
      <c r="BH39" s="866"/>
      <c r="BI39" s="866"/>
      <c r="BJ39" s="866"/>
      <c r="BK39" s="916"/>
    </row>
    <row r="40" spans="1:63" s="289" customFormat="1" ht="17.25" customHeight="1">
      <c r="A40" s="866"/>
      <c r="B40" s="868"/>
      <c r="C40" s="868"/>
      <c r="D40" s="868"/>
      <c r="E40" s="872"/>
      <c r="F40" s="868"/>
      <c r="G40" s="868"/>
      <c r="H40" s="868"/>
      <c r="I40" s="868"/>
      <c r="J40" s="868"/>
      <c r="K40" s="868"/>
      <c r="L40" s="868"/>
      <c r="M40" s="868"/>
      <c r="N40" s="868"/>
      <c r="O40" s="868"/>
      <c r="P40" s="868"/>
      <c r="Q40" s="868"/>
      <c r="R40" s="868"/>
      <c r="S40" s="868"/>
      <c r="T40" s="868"/>
      <c r="U40" s="868"/>
      <c r="V40" s="875" t="s">
        <v>405</v>
      </c>
      <c r="W40" s="918" t="s">
        <v>352</v>
      </c>
      <c r="X40" s="918" t="s">
        <v>353</v>
      </c>
      <c r="Y40" s="918" t="s">
        <v>354</v>
      </c>
      <c r="Z40" s="868"/>
      <c r="AA40" s="884"/>
      <c r="AB40" s="868"/>
      <c r="AC40" s="868"/>
      <c r="AD40" s="868"/>
      <c r="AE40" s="868"/>
      <c r="AF40" s="868"/>
      <c r="AG40" s="868"/>
      <c r="AH40" s="868"/>
      <c r="AI40" s="868">
        <v>3</v>
      </c>
      <c r="AJ40" s="911">
        <f>AD7</f>
        <v>1353343.8640481618</v>
      </c>
      <c r="AK40" s="911">
        <f>AD13</f>
        <v>1364187.5150817449</v>
      </c>
      <c r="AL40" s="911">
        <f>AD19</f>
        <v>1363347.0953775651</v>
      </c>
      <c r="AM40" s="911">
        <f>AD25</f>
        <v>1363411.8327829791</v>
      </c>
      <c r="AN40" s="911">
        <f>AD31</f>
        <v>1363406.8437087096</v>
      </c>
      <c r="AO40" s="911">
        <f>AD37</f>
        <v>1363407</v>
      </c>
      <c r="AP40" s="911">
        <f>AD43</f>
        <v>1363407</v>
      </c>
      <c r="AQ40" s="911">
        <f>AD49</f>
        <v>1363407</v>
      </c>
      <c r="AR40" s="911">
        <f>AD55</f>
        <v>1363407</v>
      </c>
      <c r="AS40" s="866"/>
      <c r="AT40" s="866"/>
      <c r="AU40" s="866"/>
      <c r="AV40" s="866"/>
      <c r="AW40" s="866"/>
      <c r="AX40" s="866"/>
      <c r="AY40" s="866"/>
      <c r="AZ40" s="866"/>
      <c r="BA40" s="866"/>
      <c r="BB40" s="866"/>
      <c r="BC40" s="866"/>
      <c r="BD40" s="866"/>
      <c r="BE40" s="866"/>
      <c r="BF40" s="866"/>
      <c r="BG40" s="866"/>
      <c r="BH40" s="866"/>
      <c r="BI40" s="866"/>
      <c r="BJ40" s="866"/>
      <c r="BK40" s="916"/>
    </row>
    <row r="41" spans="1:63" s="289" customFormat="1" ht="17.25" customHeight="1">
      <c r="A41" s="866"/>
      <c r="B41" s="868"/>
      <c r="C41" s="868"/>
      <c r="D41" s="868"/>
      <c r="E41" s="872"/>
      <c r="F41" s="868"/>
      <c r="G41" s="868"/>
      <c r="H41" s="868"/>
      <c r="I41" s="868"/>
      <c r="J41" s="868"/>
      <c r="K41" s="868"/>
      <c r="L41" s="868"/>
      <c r="M41" s="868"/>
      <c r="N41" s="868"/>
      <c r="O41" s="868"/>
      <c r="P41" s="868"/>
      <c r="Q41" s="868"/>
      <c r="R41" s="868"/>
      <c r="S41" s="868"/>
      <c r="T41" s="868"/>
      <c r="U41" s="868"/>
      <c r="V41" s="884">
        <f>100*(+AD35/$E$9)</f>
        <v>172.98558194663195</v>
      </c>
      <c r="W41" s="919">
        <f>EXP(5.7226-(0.68367*LN(+V41)))</f>
        <v>9.0205572896792567</v>
      </c>
      <c r="X41" s="892">
        <f>(+W41*V41)/100</f>
        <v>15.604263522380993</v>
      </c>
      <c r="Y41" s="884">
        <f>100*((((X41/100)-((X41/100)-0.03574)*$E$21)-0.03574-0.00619)/0.344)</f>
        <v>21.281900944103064</v>
      </c>
      <c r="Z41" s="868">
        <f>$E$20</f>
        <v>0.25</v>
      </c>
      <c r="AA41" s="884">
        <f>Y41+Z41</f>
        <v>21.531900944103064</v>
      </c>
      <c r="AB41" s="884">
        <f>100*($E$17*$E$19+($E$18*(AA41/100))/(1-$E$21))</f>
        <v>20.802960509377083</v>
      </c>
      <c r="AC41" s="892">
        <f>AB41/V41</f>
        <v>0.12025834913683753</v>
      </c>
      <c r="AD41" s="911">
        <f>ROUND($E$8/(1-AC41),0)</f>
        <v>1368798</v>
      </c>
      <c r="AE41" s="868" t="str">
        <f>IF(OR(OR(AD41=AD35,AD41=(AD35+1)),AD41=(AD27-1)),"yes","not yet")</f>
        <v>yes</v>
      </c>
      <c r="AF41" s="884">
        <f>100*(1-AC41)</f>
        <v>87.974165086316248</v>
      </c>
      <c r="AG41" s="868"/>
      <c r="AH41" s="868"/>
      <c r="AI41" s="868">
        <v>4</v>
      </c>
      <c r="AJ41" s="911">
        <f>AD8</f>
        <v>1351970.4475993821</v>
      </c>
      <c r="AK41" s="911">
        <f>AD14</f>
        <v>1362792.8308121874</v>
      </c>
      <c r="AL41" s="911">
        <f>AD20</f>
        <v>1361962.629108781</v>
      </c>
      <c r="AM41" s="911">
        <f>AD26</f>
        <v>1362025.9268661286</v>
      </c>
      <c r="AN41" s="911">
        <f>AD32</f>
        <v>1362021.0985453834</v>
      </c>
      <c r="AO41" s="911">
        <f>AD38</f>
        <v>1362021</v>
      </c>
      <c r="AP41" s="911">
        <f>AD44</f>
        <v>1362021</v>
      </c>
      <c r="AQ41" s="911">
        <f>AD50</f>
        <v>1362021</v>
      </c>
      <c r="AR41" s="911">
        <f>AD56</f>
        <v>1362021</v>
      </c>
      <c r="AS41" s="866"/>
      <c r="AT41" s="866"/>
      <c r="AU41" s="866"/>
      <c r="AV41" s="866"/>
      <c r="AW41" s="866"/>
      <c r="AX41" s="866"/>
      <c r="AY41" s="866"/>
      <c r="AZ41" s="866"/>
      <c r="BA41" s="866"/>
      <c r="BB41" s="866"/>
      <c r="BC41" s="866"/>
      <c r="BD41" s="866"/>
      <c r="BE41" s="866"/>
      <c r="BF41" s="866"/>
      <c r="BG41" s="866"/>
      <c r="BH41" s="866"/>
      <c r="BI41" s="866"/>
      <c r="BJ41" s="866"/>
      <c r="BK41" s="916"/>
    </row>
    <row r="42" spans="1:63" s="289" customFormat="1" ht="17.25" customHeight="1">
      <c r="A42" s="866"/>
      <c r="B42" s="868"/>
      <c r="C42" s="868"/>
      <c r="D42" s="868"/>
      <c r="E42" s="871"/>
      <c r="F42" s="868"/>
      <c r="G42" s="868"/>
      <c r="H42" s="868"/>
      <c r="I42" s="868"/>
      <c r="J42" s="868"/>
      <c r="K42" s="868"/>
      <c r="L42" s="868"/>
      <c r="M42" s="868"/>
      <c r="N42" s="868"/>
      <c r="O42" s="868"/>
      <c r="P42" s="868"/>
      <c r="Q42" s="868"/>
      <c r="R42" s="868"/>
      <c r="S42" s="868"/>
      <c r="T42" s="868"/>
      <c r="U42" s="868"/>
      <c r="V42" s="884">
        <f>100*(+AD36/$E$9)</f>
        <v>172.57826652783822</v>
      </c>
      <c r="W42" s="919">
        <f>EXP(5.70827-(0.68367*LN(+V42)))</f>
        <v>8.906557450408437</v>
      </c>
      <c r="X42" s="892">
        <f>(+W42*V42)/100</f>
        <v>15.370782455220906</v>
      </c>
      <c r="Y42" s="884">
        <f>100*((((X42/100)-((X42/100)-0.03574)*$E$21)-0.03574-0.00619)/0.344)</f>
        <v>20.833943082691274</v>
      </c>
      <c r="Z42" s="868">
        <f>$E$20</f>
        <v>0.25</v>
      </c>
      <c r="AA42" s="884">
        <f>Y42+Z42</f>
        <v>21.083943082691274</v>
      </c>
      <c r="AB42" s="884">
        <f>100*($E$17*$E$19+($E$18*(AA42/100))/(1-$E$21))</f>
        <v>20.395726089911818</v>
      </c>
      <c r="AC42" s="892">
        <f>AB42/V42</f>
        <v>0.11818247164176857</v>
      </c>
      <c r="AD42" s="911">
        <f>ROUND($E$8/(1-AC42),0)</f>
        <v>1365575</v>
      </c>
      <c r="AE42" s="868" t="str">
        <f>IF(OR(OR(AD42=AD36,AD42=(AD36+5)),AD42=(AD28-5)),"yes","not yet")</f>
        <v>yes</v>
      </c>
      <c r="AF42" s="884">
        <f>100*(1-AC42)</f>
        <v>88.181752835823147</v>
      </c>
      <c r="AG42" s="868"/>
      <c r="AH42" s="868"/>
      <c r="AI42" s="868"/>
      <c r="AJ42" s="868"/>
      <c r="AK42" s="868"/>
      <c r="AL42" s="868"/>
      <c r="AM42" s="868"/>
      <c r="AN42" s="868"/>
      <c r="AO42" s="868"/>
      <c r="AP42" s="868"/>
      <c r="AQ42" s="868"/>
      <c r="AR42" s="868"/>
      <c r="AS42" s="866"/>
      <c r="AT42" s="866"/>
      <c r="AU42" s="866"/>
      <c r="AV42" s="866"/>
      <c r="AW42" s="866"/>
      <c r="AX42" s="866"/>
      <c r="AY42" s="866"/>
      <c r="AZ42" s="866"/>
      <c r="BA42" s="866"/>
      <c r="BB42" s="866"/>
      <c r="BC42" s="866"/>
      <c r="BD42" s="866"/>
      <c r="BE42" s="866"/>
      <c r="BF42" s="866"/>
      <c r="BG42" s="866"/>
      <c r="BH42" s="866"/>
      <c r="BI42" s="866"/>
      <c r="BJ42" s="866"/>
      <c r="BK42" s="916"/>
    </row>
    <row r="43" spans="1:63" s="289" customFormat="1" ht="17.25" customHeight="1">
      <c r="A43" s="866"/>
      <c r="B43" s="868"/>
      <c r="C43" s="868"/>
      <c r="D43" s="868"/>
      <c r="E43" s="872"/>
      <c r="F43" s="868"/>
      <c r="G43" s="868"/>
      <c r="H43" s="868"/>
      <c r="I43" s="868"/>
      <c r="J43" s="868"/>
      <c r="K43" s="868"/>
      <c r="L43" s="868"/>
      <c r="M43" s="868"/>
      <c r="N43" s="868"/>
      <c r="O43" s="868"/>
      <c r="P43" s="868"/>
      <c r="Q43" s="868"/>
      <c r="R43" s="868"/>
      <c r="S43" s="868"/>
      <c r="T43" s="868"/>
      <c r="U43" s="868"/>
      <c r="V43" s="884">
        <f>100*(+AD37/$E$9)</f>
        <v>172.30427961255907</v>
      </c>
      <c r="W43" s="919">
        <f>EXP(5.6985-(0.68367*LN(V43)))</f>
        <v>8.8295500927629327</v>
      </c>
      <c r="X43" s="892">
        <f>(+W43*V43)/100</f>
        <v>15.213692680365211</v>
      </c>
      <c r="Y43" s="884">
        <f>100*((((X43/100)-((X43/100)-0.03574)*$E$21)-0.03574-0.00619)/0.344)</f>
        <v>20.532549910003027</v>
      </c>
      <c r="Z43" s="868">
        <f>$E$20</f>
        <v>0.25</v>
      </c>
      <c r="AA43" s="884">
        <f>Y43+Z43</f>
        <v>20.782549910003027</v>
      </c>
      <c r="AB43" s="884">
        <f>100*($E$17*$E$19+($E$18*(AA43/100))/(1-$E$21))</f>
        <v>20.121732296558868</v>
      </c>
      <c r="AC43" s="892">
        <f>AB43/V43</f>
        <v>0.11678022357775621</v>
      </c>
      <c r="AD43" s="911">
        <f>ROUND($E$8/(1-AC43),0)</f>
        <v>1363407</v>
      </c>
      <c r="AE43" s="868" t="str">
        <f>IF(OR(OR(AD43=AD37,AD43=(AD37+5)),AD43=(AD29-5)),"yes","not yet")</f>
        <v>yes</v>
      </c>
      <c r="AF43" s="884">
        <f>100*(1-AC43)</f>
        <v>88.321977642224383</v>
      </c>
      <c r="AG43" s="868"/>
      <c r="AH43" s="868"/>
      <c r="AI43" s="868"/>
      <c r="AJ43" s="868" t="s">
        <v>402</v>
      </c>
      <c r="AK43" s="868"/>
      <c r="AL43" s="868"/>
      <c r="AM43" s="868"/>
      <c r="AN43" s="868"/>
      <c r="AO43" s="868"/>
      <c r="AP43" s="868"/>
      <c r="AQ43" s="868"/>
      <c r="AR43" s="868"/>
      <c r="AS43" s="866"/>
      <c r="AT43" s="866"/>
      <c r="AU43" s="866"/>
      <c r="AV43" s="866"/>
      <c r="AW43" s="866"/>
      <c r="AX43" s="866"/>
      <c r="AY43" s="866"/>
      <c r="AZ43" s="866"/>
      <c r="BA43" s="866"/>
      <c r="BB43" s="866"/>
      <c r="BC43" s="866"/>
      <c r="BD43" s="866"/>
      <c r="BE43" s="866"/>
      <c r="BF43" s="866"/>
      <c r="BG43" s="866"/>
      <c r="BH43" s="866"/>
      <c r="BI43" s="866"/>
      <c r="BJ43" s="866"/>
      <c r="BK43" s="916"/>
    </row>
    <row r="44" spans="1:63" s="289" customFormat="1" ht="17.25" customHeight="1">
      <c r="A44" s="866"/>
      <c r="B44" s="868"/>
      <c r="C44" s="868"/>
      <c r="D44" s="868"/>
      <c r="E44" s="906"/>
      <c r="F44" s="868"/>
      <c r="G44" s="868"/>
      <c r="H44" s="868"/>
      <c r="I44" s="868"/>
      <c r="J44" s="868"/>
      <c r="K44" s="868"/>
      <c r="L44" s="868"/>
      <c r="M44" s="868"/>
      <c r="N44" s="868"/>
      <c r="O44" s="868"/>
      <c r="P44" s="868"/>
      <c r="Q44" s="868"/>
      <c r="R44" s="868"/>
      <c r="S44" s="868"/>
      <c r="T44" s="868"/>
      <c r="U44" s="868"/>
      <c r="V44" s="884">
        <f>100*(+AD38/$E$9)</f>
        <v>172.12912008092763</v>
      </c>
      <c r="W44" s="919">
        <f>EXP(5.6922-(0.68367*LN(V44)))</f>
        <v>8.7802019961726376</v>
      </c>
      <c r="X44" s="892">
        <f>(+W44*V44)/100</f>
        <v>15.113284437340006</v>
      </c>
      <c r="Y44" s="884">
        <f>100*((((X44/100)-((X44/100)-0.03574)*$E$21)-0.03574-0.00619)/0.344)</f>
        <v>20.33990618791978</v>
      </c>
      <c r="Z44" s="868">
        <f>$E$20</f>
        <v>0.25</v>
      </c>
      <c r="AA44" s="884">
        <f>Y44+Z44</f>
        <v>20.58990618791978</v>
      </c>
      <c r="AB44" s="884">
        <f>100*($E$17*$E$19+($E$18*(AA44/100))/(1-$E$21))</f>
        <v>19.946601640119553</v>
      </c>
      <c r="AC44" s="892">
        <f>AB44/V44</f>
        <v>0.11588162206802387</v>
      </c>
      <c r="AD44" s="911">
        <f>ROUND($E$8/(1-AC44),0)</f>
        <v>1362021</v>
      </c>
      <c r="AE44" s="868" t="str">
        <f>IF(OR(OR(AD44=AD38,AD44=(AD38+5)),AD44=(AD30-5)),"yes","not yet")</f>
        <v>yes</v>
      </c>
      <c r="AF44" s="884">
        <f>100*(1-AC44)</f>
        <v>88.411837793197606</v>
      </c>
      <c r="AG44" s="868"/>
      <c r="AH44" s="868"/>
      <c r="AI44" s="868"/>
      <c r="AJ44" s="911">
        <f>HLOOKUP($AJ$34,$AJ$37:$AR$41,($E$12)+1)</f>
        <v>1363407</v>
      </c>
      <c r="AK44" s="868"/>
      <c r="AL44" s="868"/>
      <c r="AM44" s="868"/>
      <c r="AN44" s="868"/>
      <c r="AO44" s="868"/>
      <c r="AP44" s="868"/>
      <c r="AQ44" s="868"/>
      <c r="AR44" s="868"/>
      <c r="AS44" s="866"/>
      <c r="AT44" s="866"/>
      <c r="AU44" s="866"/>
      <c r="AV44" s="866"/>
      <c r="AW44" s="866"/>
      <c r="AX44" s="866"/>
      <c r="AY44" s="866"/>
      <c r="AZ44" s="866"/>
      <c r="BA44" s="866"/>
      <c r="BB44" s="866"/>
      <c r="BC44" s="866"/>
      <c r="BD44" s="866"/>
      <c r="BE44" s="866"/>
      <c r="BF44" s="866"/>
      <c r="BG44" s="866"/>
      <c r="BH44" s="866"/>
      <c r="BI44" s="866"/>
      <c r="BJ44" s="866"/>
      <c r="BK44" s="916"/>
    </row>
    <row r="45" spans="1:63" s="289" customFormat="1" ht="17.25" customHeight="1">
      <c r="A45" s="866"/>
      <c r="B45" s="868"/>
      <c r="C45" s="868"/>
      <c r="D45" s="868"/>
      <c r="E45" s="868"/>
      <c r="F45" s="868"/>
      <c r="G45" s="868"/>
      <c r="H45" s="868"/>
      <c r="I45" s="868"/>
      <c r="J45" s="868"/>
      <c r="K45" s="868"/>
      <c r="L45" s="868"/>
      <c r="M45" s="868"/>
      <c r="N45" s="868"/>
      <c r="O45" s="868"/>
      <c r="P45" s="868"/>
      <c r="Q45" s="868"/>
      <c r="R45" s="868"/>
      <c r="S45" s="868"/>
      <c r="T45" s="868"/>
      <c r="U45" s="868"/>
      <c r="V45" s="868"/>
      <c r="W45" s="868"/>
      <c r="X45" s="868"/>
      <c r="Y45" s="868"/>
      <c r="Z45" s="868"/>
      <c r="AA45" s="884"/>
      <c r="AB45" s="868"/>
      <c r="AC45" s="868"/>
      <c r="AD45" s="868"/>
      <c r="AE45" s="868"/>
      <c r="AF45" s="868"/>
      <c r="AG45" s="868"/>
      <c r="AH45" s="868"/>
      <c r="AI45" s="868"/>
      <c r="AJ45" s="868"/>
      <c r="AK45" s="868"/>
      <c r="AL45" s="868"/>
      <c r="AM45" s="868"/>
      <c r="AN45" s="868"/>
      <c r="AO45" s="868"/>
      <c r="AP45" s="868"/>
      <c r="AQ45" s="868"/>
      <c r="AR45" s="868"/>
      <c r="AS45" s="866"/>
      <c r="AT45" s="866"/>
      <c r="AU45" s="866"/>
      <c r="AV45" s="866"/>
      <c r="AW45" s="866"/>
      <c r="AX45" s="866"/>
      <c r="AY45" s="866"/>
      <c r="AZ45" s="866"/>
      <c r="BA45" s="866"/>
      <c r="BB45" s="866"/>
      <c r="BC45" s="866"/>
      <c r="BD45" s="866"/>
      <c r="BE45" s="866"/>
      <c r="BF45" s="866"/>
      <c r="BG45" s="866"/>
      <c r="BH45" s="866"/>
      <c r="BI45" s="866"/>
      <c r="BJ45" s="866"/>
      <c r="BK45" s="916"/>
    </row>
    <row r="46" spans="1:63" s="289" customFormat="1" ht="17.25" customHeight="1">
      <c r="A46" s="866"/>
      <c r="B46" s="868"/>
      <c r="C46" s="868"/>
      <c r="D46" s="911"/>
      <c r="E46" s="911"/>
      <c r="F46" s="911"/>
      <c r="G46" s="868"/>
      <c r="H46" s="868"/>
      <c r="I46" s="868"/>
      <c r="J46" s="868"/>
      <c r="K46" s="868"/>
      <c r="L46" s="868"/>
      <c r="M46" s="868"/>
      <c r="N46" s="868"/>
      <c r="O46" s="868"/>
      <c r="P46" s="868"/>
      <c r="Q46" s="868"/>
      <c r="R46" s="868"/>
      <c r="S46" s="868"/>
      <c r="T46" s="868"/>
      <c r="U46" s="868"/>
      <c r="V46" s="875" t="s">
        <v>406</v>
      </c>
      <c r="W46" s="918" t="s">
        <v>352</v>
      </c>
      <c r="X46" s="918" t="s">
        <v>353</v>
      </c>
      <c r="Y46" s="918" t="s">
        <v>354</v>
      </c>
      <c r="Z46" s="868"/>
      <c r="AA46" s="884"/>
      <c r="AB46" s="868"/>
      <c r="AC46" s="868"/>
      <c r="AD46" s="868"/>
      <c r="AE46" s="868"/>
      <c r="AF46" s="868"/>
      <c r="AG46" s="868"/>
      <c r="AH46" s="868"/>
      <c r="AI46" s="868"/>
      <c r="AJ46" s="868"/>
      <c r="AK46" s="868"/>
      <c r="AL46" s="868"/>
      <c r="AM46" s="868"/>
      <c r="AN46" s="868"/>
      <c r="AO46" s="868"/>
      <c r="AP46" s="868"/>
      <c r="AQ46" s="868"/>
      <c r="AR46" s="868"/>
      <c r="AS46" s="866"/>
      <c r="AT46" s="866"/>
      <c r="AU46" s="866"/>
      <c r="AV46" s="866"/>
      <c r="AW46" s="866"/>
      <c r="AX46" s="866"/>
      <c r="AY46" s="866"/>
      <c r="AZ46" s="866"/>
      <c r="BA46" s="866"/>
      <c r="BB46" s="866"/>
      <c r="BC46" s="866"/>
      <c r="BD46" s="866"/>
      <c r="BE46" s="866"/>
      <c r="BF46" s="866"/>
      <c r="BG46" s="866"/>
      <c r="BH46" s="866"/>
      <c r="BI46" s="866"/>
      <c r="BJ46" s="866"/>
      <c r="BK46" s="916"/>
    </row>
    <row r="47" spans="1:63" s="289" customFormat="1" ht="17.25" customHeight="1">
      <c r="A47" s="866"/>
      <c r="B47" s="868"/>
      <c r="C47" s="868"/>
      <c r="D47" s="911"/>
      <c r="E47" s="911"/>
      <c r="F47" s="911"/>
      <c r="G47" s="868"/>
      <c r="H47" s="868"/>
      <c r="I47" s="868"/>
      <c r="J47" s="868"/>
      <c r="K47" s="868"/>
      <c r="L47" s="868"/>
      <c r="M47" s="868"/>
      <c r="N47" s="868"/>
      <c r="O47" s="868"/>
      <c r="P47" s="868"/>
      <c r="Q47" s="868"/>
      <c r="R47" s="868"/>
      <c r="S47" s="868"/>
      <c r="T47" s="868"/>
      <c r="U47" s="868"/>
      <c r="V47" s="884">
        <f>100*(+AD41/$E$9)</f>
        <v>172.98558194663195</v>
      </c>
      <c r="W47" s="919">
        <f>EXP(5.7226-(0.68367*LN(+V47)))</f>
        <v>9.0205572896792567</v>
      </c>
      <c r="X47" s="892">
        <f>(+W47*V47)/100</f>
        <v>15.604263522380993</v>
      </c>
      <c r="Y47" s="884">
        <f>100*((((X47/100)-((X47/100)-0.03574)*$E$21)-0.03574-0.00619)/0.344)</f>
        <v>21.281900944103064</v>
      </c>
      <c r="Z47" s="868">
        <f>$E$20</f>
        <v>0.25</v>
      </c>
      <c r="AA47" s="884">
        <f>Y47+Z47</f>
        <v>21.531900944103064</v>
      </c>
      <c r="AB47" s="884">
        <f>100*($E$17*$E$19+($E$18*(AA47/100))/(1-$E$21))</f>
        <v>20.802960509377083</v>
      </c>
      <c r="AC47" s="892">
        <f>AB47/V47</f>
        <v>0.12025834913683753</v>
      </c>
      <c r="AD47" s="911">
        <f>ROUND($E$8/(1-AC47),0)</f>
        <v>1368798</v>
      </c>
      <c r="AE47" s="868" t="str">
        <f>IF(OR(OR(AD47=AD41,AD47=(AD41+1)),AD47=(AD33-1)),"yes","not yet")</f>
        <v>yes</v>
      </c>
      <c r="AF47" s="884">
        <f>100*(1-AC47)</f>
        <v>87.974165086316248</v>
      </c>
      <c r="AG47" s="868"/>
      <c r="AH47" s="868"/>
      <c r="AI47" s="868"/>
      <c r="AJ47" s="868"/>
      <c r="AK47" s="868"/>
      <c r="AL47" s="868"/>
      <c r="AM47" s="868"/>
      <c r="AN47" s="868"/>
      <c r="AO47" s="868"/>
      <c r="AP47" s="868"/>
      <c r="AQ47" s="868"/>
      <c r="AR47" s="868"/>
      <c r="AS47" s="866"/>
      <c r="AT47" s="866"/>
      <c r="AU47" s="866"/>
      <c r="AV47" s="866"/>
      <c r="AW47" s="866"/>
      <c r="AX47" s="866"/>
      <c r="AY47" s="866"/>
      <c r="AZ47" s="866"/>
      <c r="BA47" s="866"/>
      <c r="BB47" s="866"/>
      <c r="BC47" s="866"/>
      <c r="BD47" s="866"/>
      <c r="BE47" s="866"/>
      <c r="BF47" s="866"/>
      <c r="BG47" s="866"/>
      <c r="BH47" s="866"/>
      <c r="BI47" s="866"/>
      <c r="BJ47" s="866"/>
      <c r="BK47" s="916"/>
    </row>
    <row r="48" spans="1:63" s="289" customFormat="1" ht="17.25" customHeight="1">
      <c r="A48" s="866"/>
      <c r="B48" s="868"/>
      <c r="C48" s="868"/>
      <c r="D48" s="868"/>
      <c r="E48" s="871"/>
      <c r="F48" s="868"/>
      <c r="G48" s="868"/>
      <c r="H48" s="868"/>
      <c r="I48" s="868"/>
      <c r="J48" s="868"/>
      <c r="K48" s="868"/>
      <c r="L48" s="868"/>
      <c r="M48" s="868"/>
      <c r="N48" s="868"/>
      <c r="O48" s="868"/>
      <c r="P48" s="868"/>
      <c r="Q48" s="868"/>
      <c r="R48" s="868"/>
      <c r="S48" s="868"/>
      <c r="T48" s="868"/>
      <c r="U48" s="868"/>
      <c r="V48" s="884">
        <f>100*(+AD42/$E$9)</f>
        <v>172.57826652783822</v>
      </c>
      <c r="W48" s="919">
        <f>EXP(5.70827-(0.68367*LN(+V48)))</f>
        <v>8.906557450408437</v>
      </c>
      <c r="X48" s="892">
        <f>(+W48*V48)/100</f>
        <v>15.370782455220906</v>
      </c>
      <c r="Y48" s="884">
        <f>100*((((X48/100)-((X48/100)-0.03574)*$E$21)-0.03574-0.00619)/0.344)</f>
        <v>20.833943082691274</v>
      </c>
      <c r="Z48" s="868">
        <f>$E$20</f>
        <v>0.25</v>
      </c>
      <c r="AA48" s="884">
        <f>Y48+Z48</f>
        <v>21.083943082691274</v>
      </c>
      <c r="AB48" s="884">
        <f>100*($E$17*$E$19+($E$18*(AA48/100))/(1-$E$21))</f>
        <v>20.395726089911818</v>
      </c>
      <c r="AC48" s="892">
        <f>AB48/V48</f>
        <v>0.11818247164176857</v>
      </c>
      <c r="AD48" s="911">
        <f>ROUND($E$8/(1-AC48),0)</f>
        <v>1365575</v>
      </c>
      <c r="AE48" s="868" t="str">
        <f>IF(OR(OR(AD48=AD42,AD48=(AD42+1)),AD48=(AD42-1)),"yes","not yet")</f>
        <v>yes</v>
      </c>
      <c r="AF48" s="884">
        <f>100*(1-AC48)</f>
        <v>88.181752835823147</v>
      </c>
      <c r="AG48" s="868"/>
      <c r="AH48" s="868"/>
      <c r="AI48" s="868"/>
      <c r="AJ48" s="868"/>
      <c r="AK48" s="868"/>
      <c r="AL48" s="868"/>
      <c r="AM48" s="868"/>
      <c r="AN48" s="868"/>
      <c r="AO48" s="868"/>
      <c r="AP48" s="868"/>
      <c r="AQ48" s="868"/>
      <c r="AR48" s="868"/>
      <c r="AS48" s="866"/>
      <c r="AT48" s="866"/>
      <c r="AU48" s="866"/>
      <c r="AV48" s="866"/>
      <c r="AW48" s="866"/>
      <c r="AX48" s="866"/>
      <c r="AY48" s="866"/>
      <c r="AZ48" s="866"/>
      <c r="BA48" s="866"/>
      <c r="BB48" s="866"/>
      <c r="BC48" s="866"/>
      <c r="BD48" s="866"/>
      <c r="BE48" s="866"/>
      <c r="BF48" s="866"/>
      <c r="BG48" s="866"/>
      <c r="BH48" s="866"/>
      <c r="BI48" s="866"/>
      <c r="BJ48" s="866"/>
      <c r="BK48" s="916"/>
    </row>
    <row r="49" spans="1:63" s="289" customFormat="1" ht="17.25" customHeight="1">
      <c r="A49" s="866"/>
      <c r="B49" s="868"/>
      <c r="C49" s="868"/>
      <c r="D49" s="868"/>
      <c r="E49" s="871"/>
      <c r="F49" s="868"/>
      <c r="G49" s="868"/>
      <c r="H49" s="868"/>
      <c r="I49" s="868"/>
      <c r="J49" s="868"/>
      <c r="K49" s="868"/>
      <c r="L49" s="868"/>
      <c r="M49" s="868"/>
      <c r="N49" s="868"/>
      <c r="O49" s="868"/>
      <c r="P49" s="868"/>
      <c r="Q49" s="868"/>
      <c r="R49" s="868"/>
      <c r="S49" s="868"/>
      <c r="T49" s="868"/>
      <c r="U49" s="868"/>
      <c r="V49" s="884">
        <f>100*(+AD43/$E$9)</f>
        <v>172.30427961255907</v>
      </c>
      <c r="W49" s="919">
        <f>EXP(5.6985-(0.68367*LN(V49)))</f>
        <v>8.8295500927629327</v>
      </c>
      <c r="X49" s="892">
        <f>(+W49*V49)/100</f>
        <v>15.213692680365211</v>
      </c>
      <c r="Y49" s="884">
        <f>100*((((X49/100)-((X49/100)-0.03574)*$E$21)-0.03574-0.00619)/0.344)</f>
        <v>20.532549910003027</v>
      </c>
      <c r="Z49" s="868">
        <f>$E$20</f>
        <v>0.25</v>
      </c>
      <c r="AA49" s="884">
        <f>Y49+Z49</f>
        <v>20.782549910003027</v>
      </c>
      <c r="AB49" s="884">
        <f>100*($E$17*$E$19+($E$18*(AA49/100))/(1-$E$21))</f>
        <v>20.121732296558868</v>
      </c>
      <c r="AC49" s="892">
        <f>AB49/V49</f>
        <v>0.11678022357775621</v>
      </c>
      <c r="AD49" s="911">
        <f>ROUND($E$8/(1-AC49),0)</f>
        <v>1363407</v>
      </c>
      <c r="AE49" s="868" t="str">
        <f>IF(OR(OR(AD49=AD43,AD49=(AD43+1)),AD49=(AD43-1)),"yes","not yet")</f>
        <v>yes</v>
      </c>
      <c r="AF49" s="884">
        <f>100*(1-AC49)</f>
        <v>88.321977642224383</v>
      </c>
      <c r="AG49" s="868"/>
      <c r="AH49" s="868"/>
      <c r="AI49" s="868"/>
      <c r="AJ49" s="868"/>
      <c r="AK49" s="868"/>
      <c r="AL49" s="868"/>
      <c r="AM49" s="868"/>
      <c r="AN49" s="868"/>
      <c r="AO49" s="868"/>
      <c r="AP49" s="868"/>
      <c r="AQ49" s="868"/>
      <c r="AR49" s="868"/>
      <c r="AS49" s="866"/>
      <c r="AT49" s="866"/>
      <c r="AU49" s="866"/>
      <c r="AV49" s="866"/>
      <c r="AW49" s="866"/>
      <c r="AX49" s="866"/>
      <c r="AY49" s="866"/>
      <c r="AZ49" s="866"/>
      <c r="BA49" s="866"/>
      <c r="BB49" s="866"/>
      <c r="BC49" s="866"/>
      <c r="BD49" s="866"/>
      <c r="BE49" s="866"/>
      <c r="BF49" s="866"/>
      <c r="BG49" s="866"/>
      <c r="BH49" s="866"/>
      <c r="BI49" s="866"/>
      <c r="BJ49" s="866"/>
      <c r="BK49" s="916"/>
    </row>
    <row r="50" spans="1:63" s="289" customFormat="1" ht="17.25" customHeight="1">
      <c r="A50" s="866"/>
      <c r="B50" s="868"/>
      <c r="C50" s="868"/>
      <c r="D50" s="868"/>
      <c r="E50" s="871"/>
      <c r="F50" s="868"/>
      <c r="G50" s="868"/>
      <c r="H50" s="868"/>
      <c r="I50" s="868"/>
      <c r="J50" s="868"/>
      <c r="K50" s="868"/>
      <c r="L50" s="868"/>
      <c r="M50" s="868"/>
      <c r="N50" s="868"/>
      <c r="O50" s="868"/>
      <c r="P50" s="868"/>
      <c r="Q50" s="868"/>
      <c r="R50" s="868"/>
      <c r="S50" s="868"/>
      <c r="T50" s="868"/>
      <c r="U50" s="868"/>
      <c r="V50" s="884">
        <f>100*(+AD44/$E$9)</f>
        <v>172.12912008092763</v>
      </c>
      <c r="W50" s="919">
        <f>EXP(5.6922-(0.68367*LN(V50)))</f>
        <v>8.7802019961726376</v>
      </c>
      <c r="X50" s="892">
        <f>(+W50*V50)/100</f>
        <v>15.113284437340006</v>
      </c>
      <c r="Y50" s="884">
        <f>100*((((X50/100)-((X50/100)-0.03574)*$E$21)-0.03574-0.00619)/0.344)</f>
        <v>20.33990618791978</v>
      </c>
      <c r="Z50" s="868">
        <f>$E$20</f>
        <v>0.25</v>
      </c>
      <c r="AA50" s="884">
        <f>Y50+Z50</f>
        <v>20.58990618791978</v>
      </c>
      <c r="AB50" s="884">
        <f>100*($E$17*$E$19+($E$18*(AA50/100))/(1-$E$21))</f>
        <v>19.946601640119553</v>
      </c>
      <c r="AC50" s="892">
        <f>AB50/V50</f>
        <v>0.11588162206802387</v>
      </c>
      <c r="AD50" s="911">
        <f>ROUND($E$8/(1-AC50),0)</f>
        <v>1362021</v>
      </c>
      <c r="AE50" s="868" t="str">
        <f>IF(OR(OR(AD50=AD44,AD50=(AD44+1)),AD50=(AD44-1)),"yes","not yet")</f>
        <v>yes</v>
      </c>
      <c r="AF50" s="884">
        <f>100*(1-AC50)</f>
        <v>88.411837793197606</v>
      </c>
      <c r="AG50" s="868"/>
      <c r="AH50" s="868"/>
      <c r="AI50" s="868"/>
      <c r="AJ50" s="868"/>
      <c r="AK50" s="868"/>
      <c r="AL50" s="868"/>
      <c r="AM50" s="868"/>
      <c r="AN50" s="868"/>
      <c r="AO50" s="868"/>
      <c r="AP50" s="868"/>
      <c r="AQ50" s="868"/>
      <c r="AR50" s="868"/>
      <c r="AS50" s="866"/>
      <c r="AT50" s="866"/>
      <c r="AU50" s="866"/>
      <c r="AV50" s="866"/>
      <c r="AW50" s="866"/>
      <c r="AX50" s="866"/>
      <c r="AY50" s="866"/>
      <c r="AZ50" s="866"/>
      <c r="BA50" s="866"/>
      <c r="BB50" s="866"/>
      <c r="BC50" s="866"/>
      <c r="BD50" s="866"/>
      <c r="BE50" s="866"/>
      <c r="BF50" s="866"/>
      <c r="BG50" s="866"/>
      <c r="BH50" s="866"/>
      <c r="BI50" s="866"/>
      <c r="BJ50" s="866"/>
      <c r="BK50" s="916"/>
    </row>
    <row r="51" spans="1:63" s="289" customFormat="1" ht="17.25" customHeight="1">
      <c r="A51" s="866"/>
      <c r="B51" s="868"/>
      <c r="C51" s="868"/>
      <c r="D51" s="868"/>
      <c r="E51" s="868"/>
      <c r="F51" s="868"/>
      <c r="G51" s="868"/>
      <c r="H51" s="868"/>
      <c r="I51" s="868"/>
      <c r="J51" s="868"/>
      <c r="K51" s="868"/>
      <c r="L51" s="868"/>
      <c r="M51" s="868"/>
      <c r="N51" s="868"/>
      <c r="O51" s="868"/>
      <c r="P51" s="868"/>
      <c r="Q51" s="868"/>
      <c r="R51" s="868"/>
      <c r="S51" s="868"/>
      <c r="T51" s="868"/>
      <c r="U51" s="868"/>
      <c r="V51" s="868"/>
      <c r="W51" s="868"/>
      <c r="X51" s="868"/>
      <c r="Y51" s="868"/>
      <c r="Z51" s="868"/>
      <c r="AA51" s="884"/>
      <c r="AB51" s="868"/>
      <c r="AC51" s="868"/>
      <c r="AD51" s="868"/>
      <c r="AE51" s="868"/>
      <c r="AF51" s="868"/>
      <c r="AG51" s="868"/>
      <c r="AH51" s="868"/>
      <c r="AI51" s="868"/>
      <c r="AJ51" s="868"/>
      <c r="AK51" s="868"/>
      <c r="AL51" s="868"/>
      <c r="AM51" s="868"/>
      <c r="AN51" s="868"/>
      <c r="AO51" s="868"/>
      <c r="AP51" s="868"/>
      <c r="AQ51" s="868"/>
      <c r="AR51" s="868"/>
      <c r="AS51" s="866"/>
      <c r="AT51" s="866"/>
      <c r="AU51" s="866"/>
      <c r="AV51" s="866"/>
      <c r="AW51" s="866"/>
      <c r="AX51" s="866"/>
      <c r="AY51" s="866"/>
      <c r="AZ51" s="866"/>
      <c r="BA51" s="866"/>
      <c r="BB51" s="866"/>
      <c r="BC51" s="866"/>
      <c r="BD51" s="866"/>
      <c r="BE51" s="866"/>
      <c r="BF51" s="866"/>
      <c r="BG51" s="866"/>
      <c r="BH51" s="866"/>
      <c r="BI51" s="866"/>
      <c r="BJ51" s="866"/>
      <c r="BK51" s="916"/>
    </row>
    <row r="52" spans="1:63" s="289" customFormat="1" ht="17.25" customHeight="1">
      <c r="A52" s="866"/>
      <c r="B52" s="868"/>
      <c r="C52" s="868"/>
      <c r="D52" s="868"/>
      <c r="E52" s="868"/>
      <c r="F52" s="868"/>
      <c r="G52" s="868"/>
      <c r="H52" s="868"/>
      <c r="I52" s="868"/>
      <c r="J52" s="868"/>
      <c r="K52" s="868"/>
      <c r="L52" s="868"/>
      <c r="M52" s="868"/>
      <c r="N52" s="868"/>
      <c r="O52" s="868"/>
      <c r="P52" s="868"/>
      <c r="Q52" s="868"/>
      <c r="R52" s="868"/>
      <c r="S52" s="868"/>
      <c r="T52" s="868"/>
      <c r="U52" s="868"/>
      <c r="V52" s="875" t="s">
        <v>407</v>
      </c>
      <c r="W52" s="918" t="s">
        <v>352</v>
      </c>
      <c r="X52" s="918" t="s">
        <v>353</v>
      </c>
      <c r="Y52" s="918" t="s">
        <v>354</v>
      </c>
      <c r="Z52" s="868"/>
      <c r="AA52" s="884"/>
      <c r="AB52" s="868"/>
      <c r="AC52" s="868"/>
      <c r="AD52" s="868"/>
      <c r="AE52" s="868"/>
      <c r="AF52" s="868"/>
      <c r="AG52" s="868"/>
      <c r="AH52" s="868"/>
      <c r="AI52" s="868"/>
      <c r="AJ52" s="868"/>
      <c r="AK52" s="868"/>
      <c r="AL52" s="868"/>
      <c r="AM52" s="868"/>
      <c r="AN52" s="868"/>
      <c r="AO52" s="868"/>
      <c r="AP52" s="868"/>
      <c r="AQ52" s="868"/>
      <c r="AR52" s="868"/>
      <c r="AS52" s="866"/>
      <c r="AT52" s="866"/>
      <c r="AU52" s="866"/>
      <c r="AV52" s="866"/>
      <c r="AW52" s="866"/>
      <c r="AX52" s="866"/>
      <c r="AY52" s="866"/>
      <c r="AZ52" s="866"/>
      <c r="BA52" s="866"/>
      <c r="BB52" s="866"/>
      <c r="BC52" s="866"/>
      <c r="BD52" s="866"/>
      <c r="BE52" s="866"/>
      <c r="BF52" s="866"/>
      <c r="BG52" s="866"/>
      <c r="BH52" s="866"/>
      <c r="BI52" s="866"/>
      <c r="BJ52" s="866"/>
      <c r="BK52" s="916"/>
    </row>
    <row r="53" spans="1:63" s="289" customFormat="1" ht="17.25" customHeight="1">
      <c r="A53" s="866"/>
      <c r="B53" s="868"/>
      <c r="C53" s="868"/>
      <c r="D53" s="868"/>
      <c r="E53" s="868"/>
      <c r="F53" s="868"/>
      <c r="G53" s="868"/>
      <c r="H53" s="868"/>
      <c r="I53" s="868"/>
      <c r="J53" s="868"/>
      <c r="K53" s="868"/>
      <c r="L53" s="868"/>
      <c r="M53" s="868"/>
      <c r="N53" s="868"/>
      <c r="O53" s="868"/>
      <c r="P53" s="868"/>
      <c r="Q53" s="868"/>
      <c r="R53" s="868"/>
      <c r="S53" s="868"/>
      <c r="T53" s="868"/>
      <c r="U53" s="868"/>
      <c r="V53" s="884">
        <f>100*(+AD47/$E$9)</f>
        <v>172.98558194663195</v>
      </c>
      <c r="W53" s="919">
        <f>EXP(5.7226-(0.68367*LN(+V53)))</f>
        <v>9.0205572896792567</v>
      </c>
      <c r="X53" s="892">
        <f>(+W53*V53)/100</f>
        <v>15.604263522380993</v>
      </c>
      <c r="Y53" s="884">
        <f>100*((((X53/100)-((X53/100)-0.03574)*$E$21)-0.03574-0.00619)/0.344)</f>
        <v>21.281900944103064</v>
      </c>
      <c r="Z53" s="868">
        <f>$E$20</f>
        <v>0.25</v>
      </c>
      <c r="AA53" s="884">
        <f>Y53+Z53</f>
        <v>21.531900944103064</v>
      </c>
      <c r="AB53" s="884">
        <f>100*($E$17*$E$19+($E$18*(AA53/100))/(1-$E$21))</f>
        <v>20.802960509377083</v>
      </c>
      <c r="AC53" s="892">
        <f>AB53/V53</f>
        <v>0.12025834913683753</v>
      </c>
      <c r="AD53" s="911">
        <f>ROUND($E$8/(1-AC53),0)</f>
        <v>1368798</v>
      </c>
      <c r="AE53" s="868" t="str">
        <f>IF(OR(OR(AD53=AD47,AD53=(AD47+1)),AD53=(AD39-1)),"yes","not yet")</f>
        <v>yes</v>
      </c>
      <c r="AF53" s="884">
        <f>100*(1-AC53)</f>
        <v>87.974165086316248</v>
      </c>
      <c r="AG53" s="868"/>
      <c r="AH53" s="868"/>
      <c r="AI53" s="868"/>
      <c r="AJ53" s="868"/>
      <c r="AK53" s="868"/>
      <c r="AL53" s="868"/>
      <c r="AM53" s="868"/>
      <c r="AN53" s="868"/>
      <c r="AO53" s="868"/>
      <c r="AP53" s="868"/>
      <c r="AQ53" s="868"/>
      <c r="AR53" s="868"/>
      <c r="AS53" s="866"/>
      <c r="AT53" s="866"/>
      <c r="AU53" s="866"/>
      <c r="AV53" s="866"/>
      <c r="AW53" s="866"/>
      <c r="AX53" s="866"/>
      <c r="AY53" s="866"/>
      <c r="AZ53" s="866"/>
      <c r="BA53" s="866"/>
      <c r="BB53" s="866"/>
      <c r="BC53" s="866"/>
      <c r="BD53" s="866"/>
      <c r="BE53" s="866"/>
      <c r="BF53" s="866"/>
      <c r="BG53" s="866"/>
      <c r="BH53" s="866"/>
      <c r="BI53" s="866"/>
      <c r="BJ53" s="866"/>
      <c r="BK53" s="916"/>
    </row>
    <row r="54" spans="1:63" s="289" customFormat="1" ht="17.25" customHeight="1">
      <c r="A54" s="866"/>
      <c r="B54" s="868"/>
      <c r="C54" s="868"/>
      <c r="D54" s="868"/>
      <c r="E54" s="868"/>
      <c r="F54" s="868"/>
      <c r="G54" s="868"/>
      <c r="H54" s="868"/>
      <c r="I54" s="868"/>
      <c r="J54" s="868"/>
      <c r="K54" s="868"/>
      <c r="L54" s="868"/>
      <c r="M54" s="868"/>
      <c r="N54" s="868"/>
      <c r="O54" s="868"/>
      <c r="P54" s="868"/>
      <c r="Q54" s="868"/>
      <c r="R54" s="868"/>
      <c r="S54" s="868"/>
      <c r="T54" s="868"/>
      <c r="U54" s="868"/>
      <c r="V54" s="884">
        <f>100*(+AD48/$E$9)</f>
        <v>172.57826652783822</v>
      </c>
      <c r="W54" s="919">
        <f>EXP(5.70827-(0.68367*LN(+V54)))</f>
        <v>8.906557450408437</v>
      </c>
      <c r="X54" s="892">
        <f>(+W54*V54)/100</f>
        <v>15.370782455220906</v>
      </c>
      <c r="Y54" s="884">
        <f>100*((((X54/100)-((X54/100)-0.03574)*$E$21)-0.03574-0.00619)/0.344)</f>
        <v>20.833943082691274</v>
      </c>
      <c r="Z54" s="868">
        <f>$E$20</f>
        <v>0.25</v>
      </c>
      <c r="AA54" s="884">
        <f>Y54+Z54</f>
        <v>21.083943082691274</v>
      </c>
      <c r="AB54" s="884">
        <f>100*($E$17*$E$19+($E$18*(AA54/100))/(1-$E$21))</f>
        <v>20.395726089911818</v>
      </c>
      <c r="AC54" s="892">
        <f>AB54/V54</f>
        <v>0.11818247164176857</v>
      </c>
      <c r="AD54" s="911">
        <f>ROUND($E$8/(1-AC54),0)</f>
        <v>1365575</v>
      </c>
      <c r="AE54" s="868" t="str">
        <f>IF(OR(OR(AD54=AD48,AD54=(AD48+1)),AD54=(AD48-1)),"yes","not yet")</f>
        <v>yes</v>
      </c>
      <c r="AF54" s="884">
        <f>100*(1-AC54)</f>
        <v>88.181752835823147</v>
      </c>
      <c r="AG54" s="868"/>
      <c r="AH54" s="868"/>
      <c r="AI54" s="868"/>
      <c r="AJ54" s="868"/>
      <c r="AK54" s="868"/>
      <c r="AL54" s="868"/>
      <c r="AM54" s="868"/>
      <c r="AN54" s="868"/>
      <c r="AO54" s="868"/>
      <c r="AP54" s="868"/>
      <c r="AQ54" s="868"/>
      <c r="AR54" s="868"/>
      <c r="AS54" s="866"/>
      <c r="AT54" s="866"/>
      <c r="AU54" s="866"/>
      <c r="AV54" s="866"/>
      <c r="AW54" s="866"/>
      <c r="AX54" s="866"/>
      <c r="AY54" s="866"/>
      <c r="AZ54" s="866"/>
      <c r="BA54" s="866"/>
      <c r="BB54" s="866"/>
      <c r="BC54" s="866"/>
      <c r="BD54" s="866"/>
      <c r="BE54" s="866"/>
      <c r="BF54" s="866"/>
      <c r="BG54" s="866"/>
      <c r="BH54" s="866"/>
      <c r="BI54" s="866"/>
      <c r="BJ54" s="866"/>
      <c r="BK54" s="916"/>
    </row>
    <row r="55" spans="1:63" s="289" customFormat="1" ht="17.25" customHeight="1">
      <c r="A55" s="866"/>
      <c r="B55" s="868"/>
      <c r="C55" s="868"/>
      <c r="D55" s="868"/>
      <c r="E55" s="868"/>
      <c r="F55" s="868"/>
      <c r="G55" s="868"/>
      <c r="H55" s="868"/>
      <c r="I55" s="868"/>
      <c r="J55" s="868"/>
      <c r="K55" s="868"/>
      <c r="L55" s="868"/>
      <c r="M55" s="868"/>
      <c r="N55" s="868"/>
      <c r="O55" s="868"/>
      <c r="P55" s="868"/>
      <c r="Q55" s="868"/>
      <c r="R55" s="868"/>
      <c r="S55" s="868"/>
      <c r="T55" s="868"/>
      <c r="U55" s="868"/>
      <c r="V55" s="884">
        <f>100*(+AD49/$E$9)</f>
        <v>172.30427961255907</v>
      </c>
      <c r="W55" s="919">
        <f>EXP(5.6985-(0.68367*LN(V55)))</f>
        <v>8.8295500927629327</v>
      </c>
      <c r="X55" s="892">
        <f>(+W55*V55)/100</f>
        <v>15.213692680365211</v>
      </c>
      <c r="Y55" s="884">
        <f>100*((((X55/100)-((X55/100)-0.03574)*$E$21)-0.03574-0.00619)/0.344)</f>
        <v>20.532549910003027</v>
      </c>
      <c r="Z55" s="868">
        <f>$E$20</f>
        <v>0.25</v>
      </c>
      <c r="AA55" s="884">
        <f>Y55+Z55</f>
        <v>20.782549910003027</v>
      </c>
      <c r="AB55" s="884">
        <f>100*($E$17*$E$19+($E$18*(AA55/100))/(1-$E$21))</f>
        <v>20.121732296558868</v>
      </c>
      <c r="AC55" s="892">
        <f>AB55/V55</f>
        <v>0.11678022357775621</v>
      </c>
      <c r="AD55" s="911">
        <f>ROUND($E$8/(1-AC55),0)</f>
        <v>1363407</v>
      </c>
      <c r="AE55" s="868" t="str">
        <f>IF(OR(OR(AD55=AD49,AD55=(AD49+1)),AD55=(AD49-1)),"yes","not yet")</f>
        <v>yes</v>
      </c>
      <c r="AF55" s="884">
        <f>100*(1-AC55)</f>
        <v>88.321977642224383</v>
      </c>
      <c r="AG55" s="868"/>
      <c r="AH55" s="868"/>
      <c r="AI55" s="868"/>
      <c r="AJ55" s="868"/>
      <c r="AK55" s="868"/>
      <c r="AL55" s="868"/>
      <c r="AM55" s="868"/>
      <c r="AN55" s="868"/>
      <c r="AO55" s="868"/>
      <c r="AP55" s="868"/>
      <c r="AQ55" s="868"/>
      <c r="AR55" s="868"/>
      <c r="AS55" s="866"/>
      <c r="AT55" s="866"/>
      <c r="AU55" s="866"/>
      <c r="AV55" s="866"/>
      <c r="AW55" s="866"/>
      <c r="AX55" s="866"/>
      <c r="AY55" s="866"/>
      <c r="AZ55" s="866"/>
      <c r="BA55" s="866"/>
      <c r="BB55" s="866"/>
      <c r="BC55" s="866"/>
      <c r="BD55" s="866"/>
      <c r="BE55" s="866"/>
      <c r="BF55" s="866"/>
      <c r="BG55" s="866"/>
      <c r="BH55" s="866"/>
      <c r="BI55" s="866"/>
      <c r="BJ55" s="866"/>
      <c r="BK55" s="916"/>
    </row>
    <row r="56" spans="1:63" s="289" customFormat="1" ht="17.25" customHeight="1">
      <c r="A56" s="866"/>
      <c r="B56" s="868"/>
      <c r="C56" s="868"/>
      <c r="D56" s="868"/>
      <c r="E56" s="868"/>
      <c r="F56" s="868"/>
      <c r="G56" s="868"/>
      <c r="H56" s="868"/>
      <c r="I56" s="868"/>
      <c r="J56" s="868"/>
      <c r="K56" s="868"/>
      <c r="L56" s="868"/>
      <c r="M56" s="868"/>
      <c r="N56" s="868"/>
      <c r="O56" s="868"/>
      <c r="P56" s="868"/>
      <c r="Q56" s="868"/>
      <c r="R56" s="868"/>
      <c r="S56" s="868"/>
      <c r="T56" s="868"/>
      <c r="U56" s="868"/>
      <c r="V56" s="884">
        <f>100*(+AD50/$E$9)</f>
        <v>172.12912008092763</v>
      </c>
      <c r="W56" s="919">
        <f>EXP(5.6922-(0.68367*LN(V56)))</f>
        <v>8.7802019961726376</v>
      </c>
      <c r="X56" s="892">
        <f>(+W56*V56)/100</f>
        <v>15.113284437340006</v>
      </c>
      <c r="Y56" s="884">
        <f>100*((((X56/100)-((X56/100)-0.03574)*$E$21)-0.03574-0.00619)/0.344)</f>
        <v>20.33990618791978</v>
      </c>
      <c r="Z56" s="868">
        <f>$E$20</f>
        <v>0.25</v>
      </c>
      <c r="AA56" s="884">
        <f>Y56+Z56</f>
        <v>20.58990618791978</v>
      </c>
      <c r="AB56" s="884">
        <f>100*($E$17*$E$19+($E$18*(AA56/100))/(1-$E$21))</f>
        <v>19.946601640119553</v>
      </c>
      <c r="AC56" s="892">
        <f>AB56/V56</f>
        <v>0.11588162206802387</v>
      </c>
      <c r="AD56" s="911">
        <f>ROUND($E$8/(1-AC56),0)</f>
        <v>1362021</v>
      </c>
      <c r="AE56" s="868" t="str">
        <f>IF(OR(OR(AD56=AD50,AD56=(AD50+1)),AD56=(AD50-1)),"yes","not yet")</f>
        <v>yes</v>
      </c>
      <c r="AF56" s="884">
        <f>100*(1-AC56)</f>
        <v>88.411837793197606</v>
      </c>
      <c r="AG56" s="868"/>
      <c r="AH56" s="868"/>
      <c r="AI56" s="868"/>
      <c r="AJ56" s="868"/>
      <c r="AK56" s="868"/>
      <c r="AL56" s="868"/>
      <c r="AM56" s="868"/>
      <c r="AN56" s="868"/>
      <c r="AO56" s="868"/>
      <c r="AP56" s="868"/>
      <c r="AQ56" s="868"/>
      <c r="AR56" s="868"/>
      <c r="AS56" s="866"/>
      <c r="AT56" s="866"/>
      <c r="AU56" s="866"/>
      <c r="AV56" s="866"/>
      <c r="AW56" s="866"/>
      <c r="AX56" s="866"/>
      <c r="AY56" s="866"/>
      <c r="AZ56" s="866"/>
      <c r="BA56" s="866"/>
      <c r="BB56" s="866"/>
      <c r="BC56" s="866"/>
      <c r="BD56" s="866"/>
      <c r="BE56" s="866"/>
      <c r="BF56" s="866"/>
      <c r="BG56" s="866"/>
      <c r="BH56" s="866"/>
      <c r="BI56" s="866"/>
      <c r="BJ56" s="866"/>
      <c r="BK56" s="916"/>
    </row>
    <row r="57" spans="1:63" s="289" customFormat="1" ht="14.25">
      <c r="A57" s="866"/>
      <c r="B57" s="868"/>
      <c r="C57" s="868"/>
      <c r="D57" s="868"/>
      <c r="E57" s="868"/>
      <c r="F57" s="868"/>
      <c r="G57" s="868"/>
      <c r="H57" s="868"/>
      <c r="I57" s="868"/>
      <c r="J57" s="868"/>
      <c r="K57" s="868"/>
      <c r="L57" s="868"/>
      <c r="M57" s="868"/>
      <c r="N57" s="868"/>
      <c r="O57" s="868"/>
      <c r="P57" s="868"/>
      <c r="Q57" s="868"/>
      <c r="R57" s="868"/>
      <c r="S57" s="868"/>
      <c r="T57" s="868"/>
      <c r="U57" s="868"/>
      <c r="V57" s="868"/>
      <c r="W57" s="868"/>
      <c r="X57" s="868"/>
      <c r="Y57" s="868"/>
      <c r="Z57" s="868"/>
      <c r="AA57" s="884"/>
      <c r="AB57" s="868"/>
      <c r="AC57" s="868"/>
      <c r="AD57" s="868"/>
      <c r="AE57" s="868"/>
      <c r="AF57" s="868"/>
      <c r="AG57" s="868"/>
      <c r="AH57" s="868"/>
      <c r="AI57" s="868"/>
      <c r="AJ57" s="868"/>
      <c r="AK57" s="868"/>
      <c r="AL57" s="868"/>
      <c r="AM57" s="868"/>
      <c r="AN57" s="868"/>
      <c r="AO57" s="868"/>
      <c r="AP57" s="868"/>
      <c r="AQ57" s="868"/>
      <c r="AR57" s="868"/>
      <c r="AS57" s="866"/>
      <c r="AT57" s="866"/>
      <c r="AU57" s="866"/>
      <c r="AV57" s="866"/>
      <c r="AW57" s="866"/>
      <c r="AX57" s="866"/>
      <c r="AY57" s="866"/>
      <c r="AZ57" s="866"/>
      <c r="BA57" s="866"/>
      <c r="BB57" s="866"/>
      <c r="BC57" s="866"/>
      <c r="BD57" s="866"/>
      <c r="BE57" s="866"/>
      <c r="BF57" s="866"/>
      <c r="BG57" s="866"/>
      <c r="BH57" s="866"/>
      <c r="BI57" s="866"/>
      <c r="BJ57" s="866"/>
      <c r="BK57" s="916"/>
    </row>
    <row r="58" spans="1:63" s="289" customFormat="1" ht="14.25">
      <c r="A58" s="866"/>
      <c r="B58" s="866"/>
      <c r="C58" s="866"/>
      <c r="D58" s="866"/>
      <c r="E58" s="866"/>
      <c r="F58" s="866"/>
      <c r="G58" s="866"/>
      <c r="H58" s="866"/>
      <c r="I58" s="866"/>
      <c r="J58" s="866"/>
      <c r="K58" s="866"/>
      <c r="L58" s="866"/>
      <c r="M58" s="866"/>
      <c r="N58" s="866"/>
      <c r="O58" s="866"/>
      <c r="P58" s="866"/>
      <c r="Q58" s="866"/>
      <c r="R58" s="866"/>
      <c r="S58" s="866"/>
      <c r="T58" s="866"/>
      <c r="U58" s="866"/>
      <c r="V58" s="866"/>
      <c r="W58" s="866"/>
      <c r="X58" s="866"/>
      <c r="Y58" s="866"/>
      <c r="Z58" s="866"/>
      <c r="AA58" s="866"/>
      <c r="AB58" s="866"/>
      <c r="AC58" s="866"/>
      <c r="AD58" s="866"/>
      <c r="AE58" s="866"/>
      <c r="AF58" s="866"/>
      <c r="AG58" s="866"/>
      <c r="AH58" s="866"/>
      <c r="AI58" s="866"/>
      <c r="AJ58" s="866"/>
      <c r="AK58" s="866"/>
      <c r="AL58" s="866"/>
      <c r="AM58" s="866"/>
      <c r="AN58" s="866"/>
      <c r="AO58" s="866"/>
      <c r="AP58" s="866"/>
      <c r="AQ58" s="866"/>
      <c r="AR58" s="866"/>
      <c r="AS58" s="866"/>
      <c r="AT58" s="866"/>
      <c r="AU58" s="866"/>
      <c r="AV58" s="866"/>
      <c r="AW58" s="866"/>
      <c r="AX58" s="866"/>
      <c r="AY58" s="866"/>
      <c r="AZ58" s="866"/>
      <c r="BA58" s="866"/>
      <c r="BB58" s="866"/>
      <c r="BC58" s="866"/>
      <c r="BD58" s="866"/>
      <c r="BE58" s="866"/>
      <c r="BF58" s="866"/>
      <c r="BG58" s="866"/>
      <c r="BH58" s="866"/>
      <c r="BI58" s="866"/>
      <c r="BJ58" s="866"/>
      <c r="BK58" s="916"/>
    </row>
    <row r="59" spans="1:63" s="289" customFormat="1" ht="14.25">
      <c r="A59" s="866"/>
      <c r="B59" s="866"/>
      <c r="C59" s="866"/>
      <c r="D59" s="866"/>
      <c r="E59" s="866"/>
      <c r="F59" s="866"/>
      <c r="G59" s="866"/>
      <c r="H59" s="866"/>
      <c r="I59" s="866"/>
      <c r="J59" s="866"/>
      <c r="K59" s="866"/>
      <c r="L59" s="866"/>
      <c r="M59" s="866"/>
      <c r="N59" s="866"/>
      <c r="O59" s="866"/>
      <c r="P59" s="866"/>
      <c r="Q59" s="866"/>
      <c r="R59" s="866"/>
      <c r="S59" s="866"/>
      <c r="T59" s="866"/>
      <c r="U59" s="866"/>
      <c r="V59" s="866"/>
      <c r="W59" s="866"/>
      <c r="X59" s="866"/>
      <c r="Y59" s="866"/>
      <c r="Z59" s="866"/>
      <c r="AA59" s="866"/>
      <c r="AB59" s="866"/>
      <c r="AC59" s="866"/>
      <c r="AD59" s="866"/>
      <c r="AE59" s="866"/>
      <c r="AF59" s="866"/>
      <c r="AG59" s="866"/>
      <c r="AH59" s="866"/>
      <c r="AI59" s="866"/>
      <c r="AJ59" s="866"/>
      <c r="AK59" s="866"/>
      <c r="AL59" s="866"/>
      <c r="AM59" s="866"/>
      <c r="AN59" s="866"/>
      <c r="AO59" s="866"/>
      <c r="AP59" s="866"/>
      <c r="AQ59" s="866"/>
      <c r="AR59" s="866"/>
      <c r="AS59" s="866"/>
      <c r="AT59" s="866"/>
      <c r="AU59" s="866"/>
      <c r="AV59" s="866"/>
      <c r="AW59" s="866"/>
      <c r="AX59" s="866"/>
      <c r="AY59" s="866"/>
      <c r="AZ59" s="866"/>
      <c r="BA59" s="866"/>
      <c r="BB59" s="866"/>
      <c r="BC59" s="866"/>
      <c r="BD59" s="866"/>
      <c r="BE59" s="866"/>
      <c r="BF59" s="866"/>
      <c r="BG59" s="866"/>
      <c r="BH59" s="866"/>
      <c r="BI59" s="866"/>
      <c r="BJ59" s="866"/>
      <c r="BK59" s="916"/>
    </row>
    <row r="60" spans="1:63" s="289" customFormat="1" ht="14.25">
      <c r="A60" s="866"/>
      <c r="B60" s="866"/>
      <c r="C60" s="866"/>
      <c r="D60" s="866"/>
      <c r="E60" s="866"/>
      <c r="F60" s="866"/>
      <c r="G60" s="866"/>
      <c r="H60" s="866"/>
      <c r="I60" s="866"/>
      <c r="J60" s="866"/>
      <c r="K60" s="866"/>
      <c r="L60" s="866"/>
      <c r="M60" s="866"/>
      <c r="N60" s="866"/>
      <c r="O60" s="866"/>
      <c r="P60" s="866"/>
      <c r="Q60" s="866"/>
      <c r="R60" s="866"/>
      <c r="S60" s="866"/>
      <c r="T60" s="866"/>
      <c r="U60" s="866"/>
      <c r="V60" s="866"/>
      <c r="W60" s="866"/>
      <c r="X60" s="866"/>
      <c r="Y60" s="866"/>
      <c r="Z60" s="866"/>
      <c r="AA60" s="866"/>
      <c r="AB60" s="866"/>
      <c r="AC60" s="866"/>
      <c r="AD60" s="866"/>
      <c r="AE60" s="866"/>
      <c r="AF60" s="866"/>
      <c r="AG60" s="866"/>
      <c r="AH60" s="866"/>
      <c r="AI60" s="866"/>
      <c r="AJ60" s="866"/>
      <c r="AK60" s="866"/>
      <c r="AL60" s="866"/>
      <c r="AM60" s="866"/>
      <c r="AN60" s="866"/>
      <c r="AO60" s="866"/>
      <c r="AP60" s="866"/>
      <c r="AQ60" s="866"/>
      <c r="AR60" s="866"/>
      <c r="AS60" s="866"/>
      <c r="AT60" s="866"/>
      <c r="AU60" s="866"/>
      <c r="AV60" s="866"/>
      <c r="AW60" s="866"/>
      <c r="AX60" s="866"/>
      <c r="AY60" s="866"/>
      <c r="AZ60" s="866"/>
      <c r="BA60" s="866"/>
      <c r="BB60" s="866"/>
      <c r="BC60" s="866"/>
      <c r="BD60" s="866"/>
      <c r="BE60" s="866"/>
      <c r="BF60" s="866"/>
      <c r="BG60" s="866"/>
      <c r="BH60" s="866"/>
      <c r="BI60" s="866"/>
      <c r="BJ60" s="866"/>
      <c r="BK60" s="916"/>
    </row>
    <row r="61" spans="1:63" s="289" customFormat="1" ht="14.25">
      <c r="A61" s="866"/>
      <c r="B61" s="866"/>
      <c r="C61" s="866"/>
      <c r="D61" s="866"/>
      <c r="E61" s="866"/>
      <c r="F61" s="866"/>
      <c r="G61" s="866"/>
      <c r="H61" s="866"/>
      <c r="I61" s="866"/>
      <c r="J61" s="866"/>
      <c r="K61" s="866"/>
      <c r="L61" s="866"/>
      <c r="M61" s="866"/>
      <c r="N61" s="866"/>
      <c r="O61" s="866"/>
      <c r="P61" s="866"/>
      <c r="Q61" s="866"/>
      <c r="R61" s="866"/>
      <c r="S61" s="866"/>
      <c r="T61" s="866"/>
      <c r="U61" s="866"/>
      <c r="V61" s="866"/>
      <c r="W61" s="866"/>
      <c r="X61" s="866"/>
      <c r="Y61" s="866"/>
      <c r="Z61" s="866"/>
      <c r="AA61" s="866"/>
      <c r="AB61" s="866"/>
      <c r="AC61" s="866"/>
      <c r="AD61" s="866"/>
      <c r="AE61" s="866"/>
      <c r="AF61" s="866"/>
      <c r="AG61" s="866"/>
      <c r="AH61" s="866"/>
      <c r="AI61" s="866"/>
      <c r="AJ61" s="866"/>
      <c r="AK61" s="866"/>
      <c r="AL61" s="866"/>
      <c r="AM61" s="866"/>
      <c r="AN61" s="866"/>
      <c r="AO61" s="866"/>
      <c r="AP61" s="866"/>
      <c r="AQ61" s="866"/>
      <c r="AR61" s="866"/>
      <c r="AS61" s="866"/>
      <c r="AT61" s="866"/>
      <c r="AU61" s="866"/>
      <c r="AV61" s="866"/>
      <c r="AW61" s="866"/>
      <c r="AX61" s="866"/>
      <c r="AY61" s="866"/>
      <c r="AZ61" s="866"/>
      <c r="BA61" s="866"/>
      <c r="BB61" s="866"/>
      <c r="BC61" s="866"/>
      <c r="BD61" s="866"/>
      <c r="BE61" s="866"/>
      <c r="BF61" s="866"/>
      <c r="BG61" s="866"/>
      <c r="BH61" s="866"/>
      <c r="BI61" s="866"/>
      <c r="BJ61" s="866"/>
      <c r="BK61" s="916"/>
    </row>
    <row r="62" spans="1:63" s="289" customFormat="1" ht="14.25">
      <c r="A62" s="866"/>
      <c r="B62" s="866"/>
      <c r="C62" s="866"/>
      <c r="D62" s="866"/>
      <c r="E62" s="866"/>
      <c r="F62" s="866"/>
      <c r="G62" s="866"/>
      <c r="H62" s="866"/>
      <c r="I62" s="866"/>
      <c r="J62" s="866"/>
      <c r="K62" s="866"/>
      <c r="L62" s="866"/>
      <c r="M62" s="866"/>
      <c r="N62" s="866"/>
      <c r="O62" s="866"/>
      <c r="P62" s="866"/>
      <c r="Q62" s="866"/>
      <c r="R62" s="866"/>
      <c r="S62" s="866"/>
      <c r="T62" s="866"/>
      <c r="U62" s="866"/>
      <c r="V62" s="866"/>
      <c r="W62" s="866"/>
      <c r="X62" s="866"/>
      <c r="Y62" s="866"/>
      <c r="Z62" s="866"/>
      <c r="AA62" s="866"/>
      <c r="AB62" s="866"/>
      <c r="AC62" s="866"/>
      <c r="AD62" s="866"/>
      <c r="AE62" s="866"/>
      <c r="AF62" s="866"/>
      <c r="AG62" s="866"/>
      <c r="AH62" s="866"/>
      <c r="AI62" s="866"/>
      <c r="AJ62" s="866"/>
      <c r="AK62" s="866"/>
      <c r="AL62" s="866"/>
      <c r="AM62" s="866"/>
      <c r="AN62" s="866"/>
      <c r="AO62" s="866"/>
      <c r="AP62" s="866"/>
      <c r="AQ62" s="866"/>
      <c r="AR62" s="866"/>
      <c r="AS62" s="866"/>
      <c r="AT62" s="866"/>
      <c r="AU62" s="866"/>
      <c r="AV62" s="866"/>
      <c r="AW62" s="866"/>
      <c r="AX62" s="866"/>
      <c r="AY62" s="866"/>
      <c r="AZ62" s="866"/>
      <c r="BA62" s="866"/>
      <c r="BB62" s="866"/>
      <c r="BC62" s="866"/>
      <c r="BD62" s="866"/>
      <c r="BE62" s="866"/>
      <c r="BF62" s="866"/>
      <c r="BG62" s="866"/>
      <c r="BH62" s="866"/>
      <c r="BI62" s="866"/>
      <c r="BJ62" s="866"/>
      <c r="BK62" s="916"/>
    </row>
    <row r="63" spans="1:63" s="289" customFormat="1" ht="14.25">
      <c r="A63" s="866"/>
      <c r="B63" s="866"/>
      <c r="C63" s="866"/>
      <c r="D63" s="866"/>
      <c r="E63" s="866"/>
      <c r="F63" s="866"/>
      <c r="G63" s="866"/>
      <c r="H63" s="866"/>
      <c r="I63" s="866"/>
      <c r="J63" s="866"/>
      <c r="K63" s="866"/>
      <c r="L63" s="866"/>
      <c r="M63" s="866"/>
      <c r="N63" s="866"/>
      <c r="O63" s="866"/>
      <c r="P63" s="866"/>
      <c r="Q63" s="866"/>
      <c r="R63" s="866"/>
      <c r="S63" s="866"/>
      <c r="T63" s="866"/>
      <c r="U63" s="866"/>
      <c r="V63" s="866"/>
      <c r="W63" s="866"/>
      <c r="X63" s="866"/>
      <c r="Y63" s="866"/>
      <c r="Z63" s="866"/>
      <c r="AA63" s="866"/>
      <c r="AB63" s="866"/>
      <c r="AC63" s="866"/>
      <c r="AD63" s="866"/>
      <c r="AE63" s="866"/>
      <c r="AF63" s="866"/>
      <c r="AG63" s="866"/>
      <c r="AH63" s="866"/>
      <c r="AI63" s="866"/>
      <c r="AJ63" s="866"/>
      <c r="AK63" s="866"/>
      <c r="AL63" s="866"/>
      <c r="AM63" s="866"/>
      <c r="AN63" s="866"/>
      <c r="AO63" s="866"/>
      <c r="AP63" s="866"/>
      <c r="AQ63" s="866"/>
      <c r="AR63" s="866"/>
      <c r="AS63" s="866"/>
      <c r="AT63" s="866"/>
      <c r="AU63" s="866"/>
      <c r="AV63" s="866"/>
      <c r="AW63" s="866"/>
      <c r="AX63" s="866"/>
      <c r="AY63" s="866"/>
      <c r="AZ63" s="866"/>
      <c r="BA63" s="866"/>
      <c r="BB63" s="866"/>
      <c r="BC63" s="866"/>
      <c r="BD63" s="866"/>
      <c r="BE63" s="866"/>
      <c r="BF63" s="866"/>
      <c r="BG63" s="866"/>
      <c r="BH63" s="866"/>
      <c r="BI63" s="866"/>
      <c r="BJ63" s="866"/>
      <c r="BK63" s="916"/>
    </row>
    <row r="64" spans="1:63" s="289" customFormat="1" ht="14.25">
      <c r="A64" s="866"/>
      <c r="B64" s="866"/>
      <c r="C64" s="866"/>
      <c r="D64" s="866"/>
      <c r="E64" s="866"/>
      <c r="F64" s="866"/>
      <c r="G64" s="866"/>
      <c r="H64" s="866"/>
      <c r="I64" s="866"/>
      <c r="J64" s="866"/>
      <c r="K64" s="866"/>
      <c r="L64" s="866"/>
      <c r="M64" s="866"/>
      <c r="N64" s="866"/>
      <c r="O64" s="866"/>
      <c r="P64" s="866"/>
      <c r="Q64" s="866"/>
      <c r="R64" s="866"/>
      <c r="S64" s="866"/>
      <c r="T64" s="866"/>
      <c r="U64" s="866"/>
      <c r="V64" s="866"/>
      <c r="W64" s="866"/>
      <c r="X64" s="866"/>
      <c r="Y64" s="866"/>
      <c r="Z64" s="866"/>
      <c r="AA64" s="866"/>
      <c r="AB64" s="866"/>
      <c r="AC64" s="866"/>
      <c r="AD64" s="866"/>
      <c r="AE64" s="866"/>
      <c r="AF64" s="866"/>
      <c r="AG64" s="866"/>
      <c r="AH64" s="866"/>
      <c r="AI64" s="866"/>
      <c r="AJ64" s="866"/>
      <c r="AK64" s="866"/>
      <c r="AL64" s="866"/>
      <c r="AM64" s="866"/>
      <c r="AN64" s="866"/>
      <c r="AO64" s="866"/>
      <c r="AP64" s="866"/>
      <c r="AQ64" s="866"/>
      <c r="AR64" s="866"/>
      <c r="AS64" s="866"/>
      <c r="AT64" s="866"/>
      <c r="AU64" s="866"/>
      <c r="AV64" s="866"/>
      <c r="AW64" s="866"/>
      <c r="AX64" s="866"/>
      <c r="AY64" s="866"/>
      <c r="AZ64" s="866"/>
      <c r="BA64" s="866"/>
      <c r="BB64" s="866"/>
      <c r="BC64" s="866"/>
      <c r="BD64" s="866"/>
      <c r="BE64" s="866"/>
      <c r="BF64" s="866"/>
      <c r="BG64" s="866"/>
      <c r="BH64" s="866"/>
      <c r="BI64" s="866"/>
      <c r="BJ64" s="866"/>
      <c r="BK64" s="916"/>
    </row>
    <row r="65" spans="1:63" s="289" customFormat="1" ht="14.25">
      <c r="A65" s="866"/>
      <c r="B65" s="866"/>
      <c r="C65" s="866"/>
      <c r="D65" s="866"/>
      <c r="E65" s="866"/>
      <c r="F65" s="866"/>
      <c r="G65" s="866"/>
      <c r="H65" s="866"/>
      <c r="I65" s="866"/>
      <c r="J65" s="866"/>
      <c r="K65" s="866"/>
      <c r="L65" s="866"/>
      <c r="M65" s="866"/>
      <c r="N65" s="866"/>
      <c r="O65" s="866"/>
      <c r="P65" s="866"/>
      <c r="Q65" s="866"/>
      <c r="R65" s="866"/>
      <c r="S65" s="866"/>
      <c r="T65" s="866"/>
      <c r="U65" s="866"/>
      <c r="V65" s="866"/>
      <c r="W65" s="866"/>
      <c r="X65" s="866"/>
      <c r="Y65" s="866"/>
      <c r="Z65" s="866"/>
      <c r="AA65" s="866"/>
      <c r="AB65" s="866"/>
      <c r="AC65" s="866"/>
      <c r="AD65" s="866"/>
      <c r="AE65" s="866"/>
      <c r="AF65" s="866"/>
      <c r="AG65" s="866"/>
      <c r="AH65" s="866"/>
      <c r="AI65" s="866"/>
      <c r="AJ65" s="866"/>
      <c r="AK65" s="866"/>
      <c r="AL65" s="866"/>
      <c r="AM65" s="866"/>
      <c r="AN65" s="866"/>
      <c r="AO65" s="866"/>
      <c r="AP65" s="866"/>
      <c r="AQ65" s="866"/>
      <c r="AR65" s="866"/>
      <c r="AS65" s="866"/>
      <c r="AT65" s="866"/>
      <c r="AU65" s="866"/>
      <c r="AV65" s="866"/>
      <c r="AW65" s="866"/>
      <c r="AX65" s="866"/>
      <c r="AY65" s="866"/>
      <c r="AZ65" s="866"/>
      <c r="BA65" s="866"/>
      <c r="BB65" s="866"/>
      <c r="BC65" s="866"/>
      <c r="BD65" s="866"/>
      <c r="BE65" s="866"/>
      <c r="BF65" s="866"/>
      <c r="BG65" s="866"/>
      <c r="BH65" s="866"/>
      <c r="BI65" s="866"/>
      <c r="BJ65" s="866"/>
      <c r="BK65" s="916"/>
    </row>
    <row r="66" spans="1:63">
      <c r="A66" s="185"/>
      <c r="B66" s="185"/>
      <c r="C66" s="185"/>
      <c r="D66" s="185"/>
      <c r="E66" s="185"/>
      <c r="F66" s="185"/>
      <c r="G66" s="185"/>
      <c r="H66" s="185"/>
      <c r="I66" s="185"/>
      <c r="J66" s="185"/>
      <c r="K66" s="185"/>
      <c r="L66" s="185"/>
      <c r="M66" s="185"/>
      <c r="N66" s="185"/>
      <c r="O66" s="185"/>
      <c r="P66" s="185"/>
      <c r="Q66" s="185"/>
      <c r="R66" s="185"/>
      <c r="S66" s="185"/>
      <c r="T66" s="185"/>
      <c r="U66" s="185"/>
      <c r="V66" s="185"/>
      <c r="W66" s="185"/>
      <c r="X66" s="185"/>
      <c r="Y66" s="185"/>
      <c r="Z66" s="185"/>
      <c r="AA66" s="185"/>
      <c r="AB66" s="185"/>
      <c r="AC66" s="185"/>
      <c r="AD66" s="185"/>
      <c r="AE66" s="185"/>
      <c r="AF66" s="185"/>
      <c r="AG66" s="185"/>
      <c r="AH66" s="185"/>
      <c r="AI66" s="185"/>
      <c r="AJ66" s="185"/>
      <c r="AK66" s="185"/>
      <c r="AL66" s="185"/>
      <c r="AM66" s="185"/>
      <c r="AN66" s="185"/>
      <c r="AO66" s="185"/>
      <c r="AP66" s="185"/>
      <c r="AQ66" s="185"/>
      <c r="AR66" s="185"/>
      <c r="AS66" s="185"/>
      <c r="AT66" s="185"/>
      <c r="AU66" s="185"/>
      <c r="AV66" s="185"/>
      <c r="AW66" s="185"/>
      <c r="AX66" s="185"/>
      <c r="AY66" s="185"/>
      <c r="AZ66" s="185"/>
      <c r="BA66" s="185"/>
      <c r="BB66" s="185"/>
      <c r="BC66" s="185"/>
      <c r="BD66" s="185"/>
      <c r="BE66" s="185"/>
      <c r="BF66" s="185"/>
      <c r="BG66" s="185"/>
      <c r="BH66" s="185"/>
      <c r="BI66" s="185"/>
      <c r="BJ66" s="185"/>
      <c r="BK66" s="186"/>
    </row>
    <row r="67" spans="1:63">
      <c r="A67" s="185"/>
      <c r="B67" s="185"/>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5"/>
      <c r="AJ67" s="185"/>
      <c r="AK67" s="185"/>
      <c r="AL67" s="185"/>
      <c r="AM67" s="185"/>
      <c r="AN67" s="185"/>
      <c r="AO67" s="185"/>
      <c r="AP67" s="185"/>
      <c r="AQ67" s="185"/>
      <c r="AR67" s="185"/>
      <c r="AS67" s="185"/>
      <c r="AT67" s="185"/>
      <c r="AU67" s="185"/>
      <c r="AV67" s="185"/>
      <c r="AW67" s="185"/>
      <c r="AX67" s="185"/>
      <c r="AY67" s="185"/>
      <c r="AZ67" s="185"/>
      <c r="BA67" s="185"/>
      <c r="BB67" s="185"/>
      <c r="BC67" s="185"/>
      <c r="BD67" s="185"/>
      <c r="BE67" s="185"/>
      <c r="BF67" s="185"/>
      <c r="BG67" s="185"/>
      <c r="BH67" s="185"/>
      <c r="BI67" s="185"/>
      <c r="BJ67" s="185"/>
      <c r="BK67" s="186"/>
    </row>
    <row r="68" spans="1:63">
      <c r="A68" s="185"/>
      <c r="B68" s="185"/>
      <c r="C68" s="185"/>
      <c r="D68" s="185"/>
      <c r="E68" s="185"/>
      <c r="F68" s="185"/>
      <c r="G68" s="185"/>
      <c r="H68" s="185"/>
      <c r="I68" s="185"/>
      <c r="J68" s="185"/>
      <c r="K68" s="185"/>
      <c r="L68" s="185"/>
      <c r="M68" s="185"/>
      <c r="N68" s="185"/>
      <c r="O68" s="185"/>
      <c r="P68" s="185"/>
      <c r="Q68" s="185"/>
      <c r="R68" s="185"/>
      <c r="S68" s="185"/>
      <c r="T68" s="185"/>
      <c r="U68" s="185"/>
      <c r="V68" s="185"/>
      <c r="W68" s="185"/>
      <c r="X68" s="185"/>
      <c r="Y68" s="185"/>
      <c r="Z68" s="185"/>
      <c r="AA68" s="185"/>
      <c r="AB68" s="185"/>
      <c r="AC68" s="185"/>
      <c r="AD68" s="185"/>
      <c r="AE68" s="185"/>
      <c r="AF68" s="185"/>
      <c r="AG68" s="185"/>
      <c r="AH68" s="185"/>
      <c r="AI68" s="185"/>
      <c r="AJ68" s="185"/>
      <c r="AK68" s="185"/>
      <c r="AL68" s="185"/>
      <c r="AM68" s="185"/>
      <c r="AN68" s="185"/>
      <c r="AO68" s="185"/>
      <c r="AP68" s="185"/>
      <c r="AQ68" s="185"/>
      <c r="AR68" s="185"/>
      <c r="AS68" s="185"/>
      <c r="AT68" s="185"/>
      <c r="AU68" s="185"/>
      <c r="AV68" s="185"/>
      <c r="AW68" s="185"/>
      <c r="AX68" s="185"/>
      <c r="AY68" s="185"/>
      <c r="AZ68" s="185"/>
      <c r="BA68" s="185"/>
      <c r="BB68" s="185"/>
      <c r="BC68" s="185"/>
      <c r="BD68" s="185"/>
      <c r="BE68" s="185"/>
      <c r="BF68" s="185"/>
      <c r="BG68" s="185"/>
      <c r="BH68" s="185"/>
      <c r="BI68" s="185"/>
      <c r="BJ68" s="185"/>
      <c r="BK68" s="186"/>
    </row>
    <row r="69" spans="1:63">
      <c r="A69" s="185"/>
      <c r="B69" s="185"/>
      <c r="C69" s="185"/>
      <c r="D69" s="185"/>
      <c r="E69" s="185"/>
      <c r="F69" s="185"/>
      <c r="G69" s="185"/>
      <c r="H69" s="185"/>
      <c r="I69" s="185"/>
      <c r="J69" s="185"/>
      <c r="K69" s="185"/>
      <c r="L69" s="185"/>
      <c r="M69" s="185"/>
      <c r="N69" s="185"/>
      <c r="O69" s="185"/>
      <c r="P69" s="185"/>
      <c r="Q69" s="185"/>
      <c r="R69" s="185"/>
      <c r="S69" s="185"/>
      <c r="T69" s="185"/>
      <c r="U69" s="185"/>
      <c r="V69" s="185"/>
      <c r="W69" s="185"/>
      <c r="X69" s="185"/>
      <c r="Y69" s="185"/>
      <c r="Z69" s="185"/>
      <c r="AA69" s="185"/>
      <c r="AB69" s="185"/>
      <c r="AC69" s="185"/>
      <c r="AD69" s="185"/>
      <c r="AE69" s="185"/>
      <c r="AF69" s="185"/>
      <c r="AG69" s="185"/>
      <c r="AH69" s="185"/>
      <c r="AI69" s="185"/>
      <c r="AJ69" s="185"/>
      <c r="AK69" s="185"/>
      <c r="AL69" s="185"/>
      <c r="AM69" s="185"/>
      <c r="AN69" s="185"/>
      <c r="AO69" s="185"/>
      <c r="AP69" s="185"/>
      <c r="AQ69" s="185"/>
      <c r="AR69" s="185"/>
      <c r="AS69" s="185"/>
      <c r="AT69" s="185"/>
      <c r="AU69" s="185"/>
      <c r="AV69" s="185"/>
      <c r="AW69" s="185"/>
      <c r="AX69" s="185"/>
      <c r="AY69" s="185"/>
      <c r="AZ69" s="185"/>
      <c r="BA69" s="185"/>
      <c r="BB69" s="185"/>
      <c r="BC69" s="185"/>
      <c r="BD69" s="185"/>
      <c r="BE69" s="185"/>
      <c r="BF69" s="185"/>
      <c r="BG69" s="185"/>
      <c r="BH69" s="185"/>
      <c r="BI69" s="185"/>
      <c r="BJ69" s="185"/>
      <c r="BK69" s="186"/>
    </row>
    <row r="70" spans="1:63">
      <c r="A70" s="185"/>
      <c r="B70" s="185"/>
      <c r="C70" s="185"/>
      <c r="D70" s="185"/>
      <c r="E70" s="185"/>
      <c r="F70" s="185"/>
      <c r="G70" s="185"/>
      <c r="H70" s="185"/>
      <c r="I70" s="185"/>
      <c r="J70" s="185"/>
      <c r="K70" s="185"/>
      <c r="L70" s="185"/>
      <c r="M70" s="185"/>
      <c r="N70" s="185"/>
      <c r="O70" s="185"/>
      <c r="P70" s="185"/>
      <c r="Q70" s="185"/>
      <c r="R70" s="185"/>
      <c r="S70" s="185"/>
      <c r="T70" s="185"/>
      <c r="U70" s="185"/>
      <c r="V70" s="185"/>
      <c r="W70" s="185"/>
      <c r="X70" s="185"/>
      <c r="Y70" s="185"/>
      <c r="Z70" s="185"/>
      <c r="AA70" s="185"/>
      <c r="AB70" s="185"/>
      <c r="AC70" s="185"/>
      <c r="AD70" s="185"/>
      <c r="AE70" s="185"/>
      <c r="AF70" s="185"/>
      <c r="AG70" s="185"/>
      <c r="AH70" s="185"/>
      <c r="AI70" s="185"/>
      <c r="AJ70" s="185"/>
      <c r="AK70" s="185"/>
      <c r="AL70" s="185"/>
      <c r="AM70" s="185"/>
      <c r="AN70" s="185"/>
      <c r="AO70" s="185"/>
      <c r="AP70" s="185"/>
      <c r="AQ70" s="185"/>
      <c r="AR70" s="185"/>
      <c r="AS70" s="185"/>
      <c r="AT70" s="185"/>
      <c r="AU70" s="185"/>
      <c r="AV70" s="185"/>
      <c r="AW70" s="185"/>
      <c r="AX70" s="185"/>
      <c r="AY70" s="185"/>
      <c r="AZ70" s="185"/>
      <c r="BA70" s="185"/>
      <c r="BB70" s="185"/>
      <c r="BC70" s="185"/>
      <c r="BD70" s="185"/>
      <c r="BE70" s="185"/>
      <c r="BF70" s="185"/>
      <c r="BG70" s="185"/>
      <c r="BH70" s="185"/>
      <c r="BI70" s="185"/>
      <c r="BJ70" s="185"/>
      <c r="BK70" s="186"/>
    </row>
    <row r="71" spans="1:63">
      <c r="A71" s="185"/>
      <c r="B71" s="185"/>
      <c r="C71" s="185"/>
      <c r="D71" s="185"/>
      <c r="E71" s="185"/>
      <c r="F71" s="185"/>
      <c r="G71" s="185"/>
      <c r="H71" s="185"/>
      <c r="I71" s="185"/>
      <c r="J71" s="185"/>
      <c r="K71" s="185"/>
      <c r="L71" s="185"/>
      <c r="M71" s="185"/>
      <c r="N71" s="185"/>
      <c r="O71" s="185"/>
      <c r="P71" s="185"/>
      <c r="Q71" s="185"/>
      <c r="R71" s="185"/>
      <c r="S71" s="185"/>
      <c r="T71" s="185"/>
      <c r="U71" s="185"/>
      <c r="V71" s="185"/>
      <c r="W71" s="185"/>
      <c r="X71" s="185"/>
      <c r="Y71" s="185"/>
      <c r="Z71" s="185"/>
      <c r="AA71" s="185"/>
      <c r="AB71" s="185"/>
      <c r="AC71" s="185"/>
      <c r="AD71" s="185"/>
      <c r="AE71" s="185"/>
      <c r="AF71" s="185"/>
      <c r="AG71" s="185"/>
      <c r="AH71" s="185"/>
      <c r="AI71" s="185"/>
      <c r="AJ71" s="185"/>
      <c r="AK71" s="185"/>
      <c r="AL71" s="185"/>
      <c r="AM71" s="185"/>
      <c r="AN71" s="185"/>
      <c r="AO71" s="185"/>
      <c r="AP71" s="185"/>
      <c r="AQ71" s="185"/>
      <c r="AR71" s="185"/>
      <c r="AS71" s="185"/>
      <c r="AT71" s="185"/>
      <c r="AU71" s="185"/>
      <c r="AV71" s="185"/>
      <c r="AW71" s="185"/>
      <c r="AX71" s="185"/>
      <c r="AY71" s="185"/>
      <c r="AZ71" s="185"/>
      <c r="BA71" s="185"/>
      <c r="BB71" s="185"/>
      <c r="BC71" s="185"/>
      <c r="BD71" s="185"/>
      <c r="BE71" s="185"/>
      <c r="BF71" s="185"/>
      <c r="BG71" s="185"/>
      <c r="BH71" s="185"/>
      <c r="BI71" s="185"/>
      <c r="BJ71" s="185"/>
      <c r="BK71" s="186"/>
    </row>
    <row r="72" spans="1:63">
      <c r="A72" s="185"/>
      <c r="B72" s="185"/>
      <c r="C72" s="185"/>
      <c r="D72" s="185"/>
      <c r="E72" s="185"/>
      <c r="F72" s="185"/>
      <c r="G72" s="185"/>
      <c r="H72" s="185"/>
      <c r="I72" s="185"/>
      <c r="J72" s="185"/>
      <c r="K72" s="185"/>
      <c r="L72" s="185"/>
      <c r="M72" s="185"/>
      <c r="N72" s="185"/>
      <c r="O72" s="185"/>
      <c r="P72" s="185"/>
      <c r="Q72" s="185"/>
      <c r="R72" s="185"/>
      <c r="S72" s="185"/>
      <c r="T72" s="185"/>
      <c r="U72" s="185"/>
      <c r="V72" s="185"/>
      <c r="W72" s="185"/>
      <c r="X72" s="185"/>
      <c r="Y72" s="185"/>
      <c r="Z72" s="185"/>
      <c r="AA72" s="185"/>
      <c r="AB72" s="185"/>
      <c r="AC72" s="185"/>
      <c r="AD72" s="185"/>
      <c r="AE72" s="185"/>
      <c r="AF72" s="185"/>
      <c r="AG72" s="185"/>
      <c r="AH72" s="185"/>
      <c r="AI72" s="185"/>
      <c r="AJ72" s="185"/>
      <c r="AK72" s="185"/>
      <c r="AL72" s="185"/>
      <c r="AM72" s="185"/>
      <c r="AN72" s="185"/>
      <c r="AO72" s="185"/>
      <c r="AP72" s="185"/>
      <c r="AQ72" s="185"/>
      <c r="AR72" s="185"/>
      <c r="AS72" s="185"/>
      <c r="AT72" s="185"/>
      <c r="AU72" s="185"/>
      <c r="AV72" s="185"/>
      <c r="AW72" s="185"/>
      <c r="AX72" s="185"/>
      <c r="AY72" s="185"/>
      <c r="AZ72" s="185"/>
      <c r="BA72" s="185"/>
      <c r="BB72" s="185"/>
      <c r="BC72" s="185"/>
      <c r="BD72" s="185"/>
      <c r="BE72" s="185"/>
      <c r="BF72" s="185"/>
      <c r="BG72" s="185"/>
      <c r="BH72" s="185"/>
      <c r="BI72" s="185"/>
      <c r="BJ72" s="185"/>
      <c r="BK72" s="186"/>
    </row>
    <row r="73" spans="1:63">
      <c r="A73" s="185"/>
      <c r="B73" s="185"/>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5"/>
      <c r="AJ73" s="185"/>
      <c r="AK73" s="185"/>
      <c r="AL73" s="185"/>
      <c r="AM73" s="185"/>
      <c r="AN73" s="185"/>
      <c r="AO73" s="185"/>
      <c r="AP73" s="185"/>
      <c r="AQ73" s="185"/>
      <c r="AR73" s="185"/>
      <c r="AS73" s="185"/>
      <c r="AT73" s="185"/>
      <c r="AU73" s="185"/>
      <c r="AV73" s="185"/>
      <c r="AW73" s="185"/>
      <c r="AX73" s="185"/>
      <c r="AY73" s="185"/>
      <c r="AZ73" s="185"/>
      <c r="BA73" s="185"/>
      <c r="BB73" s="185"/>
      <c r="BC73" s="185"/>
      <c r="BD73" s="185"/>
      <c r="BE73" s="185"/>
      <c r="BF73" s="185"/>
      <c r="BG73" s="185"/>
      <c r="BH73" s="185"/>
      <c r="BI73" s="185"/>
      <c r="BJ73" s="185"/>
      <c r="BK73" s="186"/>
    </row>
    <row r="74" spans="1:63">
      <c r="A74" s="185"/>
      <c r="B74" s="185"/>
      <c r="C74" s="185"/>
      <c r="D74" s="185"/>
      <c r="E74" s="185"/>
      <c r="F74" s="185"/>
      <c r="G74" s="185"/>
      <c r="H74" s="185"/>
      <c r="I74" s="185"/>
      <c r="J74" s="185"/>
      <c r="K74" s="185"/>
      <c r="L74" s="185"/>
      <c r="M74" s="185"/>
      <c r="N74" s="185"/>
      <c r="O74" s="185"/>
      <c r="P74" s="185"/>
      <c r="Q74" s="185"/>
      <c r="R74" s="185"/>
      <c r="S74" s="185"/>
      <c r="T74" s="185"/>
      <c r="U74" s="185"/>
      <c r="V74" s="185"/>
      <c r="W74" s="185"/>
      <c r="X74" s="185"/>
      <c r="Y74" s="185"/>
      <c r="Z74" s="185"/>
      <c r="AA74" s="185"/>
      <c r="AB74" s="185"/>
      <c r="AC74" s="185"/>
      <c r="AD74" s="185"/>
      <c r="AE74" s="185"/>
      <c r="AF74" s="185"/>
      <c r="AG74" s="185"/>
      <c r="AH74" s="185"/>
      <c r="AI74" s="185"/>
      <c r="AJ74" s="185"/>
      <c r="AK74" s="185"/>
      <c r="AL74" s="185"/>
      <c r="AM74" s="185"/>
      <c r="AN74" s="185"/>
      <c r="AO74" s="185"/>
      <c r="AP74" s="185"/>
      <c r="AQ74" s="185"/>
      <c r="AR74" s="185"/>
      <c r="AS74" s="185"/>
      <c r="AT74" s="185"/>
      <c r="AU74" s="185"/>
      <c r="AV74" s="185"/>
      <c r="AW74" s="185"/>
      <c r="AX74" s="185"/>
      <c r="AY74" s="185"/>
      <c r="AZ74" s="185"/>
      <c r="BA74" s="185"/>
      <c r="BB74" s="185"/>
      <c r="BC74" s="185"/>
      <c r="BD74" s="185"/>
      <c r="BE74" s="185"/>
      <c r="BF74" s="185"/>
      <c r="BG74" s="185"/>
      <c r="BH74" s="185"/>
      <c r="BI74" s="185"/>
      <c r="BJ74" s="185"/>
      <c r="BK74" s="186"/>
    </row>
    <row r="75" spans="1:63">
      <c r="A75" s="185"/>
      <c r="B75" s="185"/>
      <c r="C75" s="185"/>
      <c r="D75" s="185"/>
      <c r="E75" s="185"/>
      <c r="F75" s="185"/>
      <c r="G75" s="185"/>
      <c r="H75" s="185"/>
      <c r="I75" s="185"/>
      <c r="J75" s="185"/>
      <c r="K75" s="185"/>
      <c r="L75" s="185"/>
      <c r="M75" s="185"/>
      <c r="N75" s="185"/>
      <c r="O75" s="185"/>
      <c r="P75" s="185"/>
      <c r="Q75" s="185"/>
      <c r="R75" s="185"/>
      <c r="S75" s="185"/>
      <c r="T75" s="185"/>
      <c r="U75" s="185"/>
      <c r="V75" s="185"/>
      <c r="W75" s="185"/>
      <c r="X75" s="185"/>
      <c r="Y75" s="185"/>
      <c r="Z75" s="185"/>
      <c r="AA75" s="185"/>
      <c r="AB75" s="185"/>
      <c r="AC75" s="185"/>
      <c r="AD75" s="185"/>
      <c r="AE75" s="185"/>
      <c r="AF75" s="185"/>
      <c r="AG75" s="185"/>
      <c r="AH75" s="185"/>
      <c r="AI75" s="185"/>
      <c r="AJ75" s="185"/>
      <c r="AK75" s="185"/>
      <c r="AL75" s="185"/>
      <c r="AM75" s="185"/>
      <c r="AN75" s="185"/>
      <c r="AO75" s="185"/>
      <c r="AP75" s="185"/>
      <c r="AQ75" s="185"/>
      <c r="AR75" s="185"/>
      <c r="AS75" s="185"/>
      <c r="AT75" s="185"/>
      <c r="AU75" s="185"/>
      <c r="AV75" s="185"/>
      <c r="AW75" s="185"/>
      <c r="AX75" s="185"/>
      <c r="AY75" s="185"/>
      <c r="AZ75" s="185"/>
      <c r="BA75" s="185"/>
      <c r="BB75" s="185"/>
      <c r="BC75" s="185"/>
      <c r="BD75" s="185"/>
      <c r="BE75" s="185"/>
      <c r="BF75" s="185"/>
      <c r="BG75" s="185"/>
      <c r="BH75" s="185"/>
      <c r="BI75" s="185"/>
      <c r="BJ75" s="185"/>
      <c r="BK75" s="186"/>
    </row>
    <row r="76" spans="1:63">
      <c r="A76" s="185"/>
      <c r="B76" s="185"/>
      <c r="C76" s="185"/>
      <c r="D76" s="185"/>
      <c r="E76" s="185"/>
      <c r="F76" s="185"/>
      <c r="G76" s="185"/>
      <c r="H76" s="185"/>
      <c r="I76" s="185"/>
      <c r="J76" s="185"/>
      <c r="K76" s="185"/>
      <c r="L76" s="185"/>
      <c r="M76" s="185"/>
      <c r="N76" s="185"/>
      <c r="O76" s="185"/>
      <c r="P76" s="185"/>
      <c r="Q76" s="185"/>
      <c r="R76" s="185"/>
      <c r="S76" s="185"/>
      <c r="T76" s="185"/>
      <c r="U76" s="185"/>
      <c r="V76" s="185"/>
      <c r="W76" s="185"/>
      <c r="X76" s="185"/>
      <c r="Y76" s="185"/>
      <c r="Z76" s="185"/>
      <c r="AA76" s="185"/>
      <c r="AB76" s="185"/>
      <c r="AC76" s="185"/>
      <c r="AD76" s="185"/>
      <c r="AE76" s="185"/>
      <c r="AF76" s="185"/>
      <c r="AG76" s="185"/>
      <c r="AH76" s="185"/>
      <c r="AI76" s="185"/>
      <c r="AJ76" s="185"/>
      <c r="AK76" s="185"/>
      <c r="AL76" s="185"/>
      <c r="AM76" s="185"/>
      <c r="AN76" s="185"/>
      <c r="AO76" s="185"/>
      <c r="AP76" s="185"/>
      <c r="AQ76" s="185"/>
      <c r="AR76" s="185"/>
      <c r="AS76" s="185"/>
      <c r="AT76" s="185"/>
      <c r="AU76" s="185"/>
      <c r="AV76" s="185"/>
      <c r="AW76" s="185"/>
      <c r="AX76" s="185"/>
      <c r="AY76" s="185"/>
      <c r="AZ76" s="185"/>
      <c r="BA76" s="185"/>
      <c r="BB76" s="185"/>
      <c r="BC76" s="185"/>
      <c r="BD76" s="185"/>
      <c r="BE76" s="185"/>
      <c r="BF76" s="185"/>
      <c r="BG76" s="185"/>
      <c r="BH76" s="185"/>
      <c r="BI76" s="185"/>
      <c r="BJ76" s="185"/>
      <c r="BK76" s="186"/>
    </row>
    <row r="77" spans="1:63">
      <c r="A77" s="185"/>
      <c r="B77" s="185"/>
      <c r="C77" s="185"/>
      <c r="D77" s="185"/>
      <c r="E77" s="185"/>
      <c r="F77" s="185"/>
      <c r="G77" s="185"/>
      <c r="H77" s="185"/>
      <c r="I77" s="185"/>
      <c r="J77" s="185"/>
      <c r="K77" s="185"/>
      <c r="L77" s="185"/>
      <c r="M77" s="185"/>
      <c r="N77" s="185"/>
      <c r="O77" s="185"/>
      <c r="P77" s="185"/>
      <c r="Q77" s="185"/>
      <c r="R77" s="185"/>
      <c r="S77" s="185"/>
      <c r="T77" s="185"/>
      <c r="U77" s="185"/>
      <c r="V77" s="185"/>
      <c r="W77" s="185"/>
      <c r="X77" s="185"/>
      <c r="Y77" s="185"/>
      <c r="Z77" s="185"/>
      <c r="AA77" s="185"/>
      <c r="AB77" s="185"/>
      <c r="AC77" s="185"/>
      <c r="AD77" s="185"/>
      <c r="AE77" s="185"/>
      <c r="AF77" s="185"/>
      <c r="AG77" s="185"/>
      <c r="AH77" s="185"/>
      <c r="AI77" s="185"/>
      <c r="AJ77" s="185"/>
      <c r="AK77" s="185"/>
      <c r="AL77" s="185"/>
      <c r="AM77" s="185"/>
      <c r="AN77" s="185"/>
      <c r="AO77" s="185"/>
      <c r="AP77" s="185"/>
      <c r="AQ77" s="185"/>
      <c r="AR77" s="185"/>
      <c r="AS77" s="185"/>
      <c r="AT77" s="185"/>
      <c r="AU77" s="185"/>
      <c r="AV77" s="185"/>
      <c r="AW77" s="185"/>
      <c r="AX77" s="185"/>
      <c r="AY77" s="185"/>
      <c r="AZ77" s="185"/>
      <c r="BA77" s="185"/>
      <c r="BB77" s="185"/>
      <c r="BC77" s="185"/>
      <c r="BD77" s="185"/>
      <c r="BE77" s="185"/>
      <c r="BF77" s="185"/>
      <c r="BG77" s="185"/>
      <c r="BH77" s="185"/>
      <c r="BI77" s="185"/>
      <c r="BJ77" s="185"/>
      <c r="BK77" s="186"/>
    </row>
    <row r="78" spans="1:63">
      <c r="A78" s="185"/>
      <c r="B78" s="185"/>
      <c r="C78" s="185"/>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6"/>
    </row>
    <row r="79" spans="1:63">
      <c r="A79" s="185"/>
      <c r="B79" s="185"/>
      <c r="C79" s="185"/>
      <c r="D79" s="185"/>
      <c r="E79" s="185"/>
      <c r="F79" s="185"/>
      <c r="G79" s="185"/>
      <c r="H79" s="185"/>
      <c r="I79" s="185"/>
      <c r="J79" s="185"/>
      <c r="K79" s="185"/>
      <c r="L79" s="185"/>
      <c r="M79" s="185"/>
      <c r="N79" s="185"/>
      <c r="O79" s="185"/>
      <c r="P79" s="185"/>
      <c r="Q79" s="185"/>
      <c r="R79" s="185"/>
      <c r="S79" s="185"/>
      <c r="T79" s="185"/>
      <c r="U79" s="185"/>
      <c r="V79" s="185"/>
      <c r="W79" s="185"/>
      <c r="X79" s="185"/>
      <c r="Y79" s="185"/>
      <c r="Z79" s="185"/>
      <c r="AA79" s="185"/>
      <c r="AB79" s="185"/>
      <c r="AC79" s="185"/>
      <c r="AD79" s="185"/>
      <c r="AE79" s="185"/>
      <c r="AF79" s="185"/>
      <c r="AG79" s="185"/>
      <c r="AH79" s="185"/>
      <c r="AI79" s="185"/>
      <c r="AJ79" s="185"/>
      <c r="AK79" s="185"/>
      <c r="AL79" s="185"/>
      <c r="AM79" s="185"/>
      <c r="AN79" s="185"/>
      <c r="AO79" s="185"/>
      <c r="AP79" s="185"/>
      <c r="AQ79" s="185"/>
      <c r="AR79" s="185"/>
      <c r="AS79" s="185"/>
      <c r="AT79" s="185"/>
      <c r="AU79" s="185"/>
      <c r="AV79" s="185"/>
      <c r="AW79" s="185"/>
      <c r="AX79" s="185"/>
      <c r="AY79" s="185"/>
      <c r="AZ79" s="185"/>
      <c r="BA79" s="185"/>
      <c r="BB79" s="185"/>
      <c r="BC79" s="185"/>
      <c r="BD79" s="185"/>
      <c r="BE79" s="185"/>
      <c r="BF79" s="185"/>
      <c r="BG79" s="185"/>
      <c r="BH79" s="185"/>
      <c r="BI79" s="185"/>
      <c r="BJ79" s="185"/>
      <c r="BK79" s="186"/>
    </row>
    <row r="80" spans="1:63">
      <c r="A80" s="185"/>
      <c r="B80" s="185"/>
      <c r="C80" s="185"/>
      <c r="D80" s="185"/>
      <c r="E80" s="185"/>
      <c r="F80" s="185"/>
      <c r="G80" s="185"/>
      <c r="H80" s="185"/>
      <c r="I80" s="185"/>
      <c r="J80" s="185"/>
      <c r="K80" s="185"/>
      <c r="L80" s="185"/>
      <c r="M80" s="185"/>
      <c r="N80" s="185"/>
      <c r="O80" s="185"/>
      <c r="P80" s="185"/>
      <c r="Q80" s="185"/>
      <c r="R80" s="185"/>
      <c r="S80" s="185"/>
      <c r="T80" s="185"/>
      <c r="U80" s="185"/>
      <c r="V80" s="185"/>
      <c r="W80" s="185"/>
      <c r="X80" s="185"/>
      <c r="Y80" s="185"/>
      <c r="Z80" s="185"/>
      <c r="AA80" s="185"/>
      <c r="AB80" s="185"/>
      <c r="AC80" s="185"/>
      <c r="AD80" s="185"/>
      <c r="AE80" s="185"/>
      <c r="AF80" s="185"/>
      <c r="AG80" s="185"/>
      <c r="AH80" s="185"/>
      <c r="AI80" s="185"/>
      <c r="AJ80" s="185"/>
      <c r="AK80" s="185"/>
      <c r="AL80" s="185"/>
      <c r="AM80" s="185"/>
      <c r="AN80" s="185"/>
      <c r="AO80" s="185"/>
      <c r="AP80" s="185"/>
      <c r="AQ80" s="185"/>
      <c r="AR80" s="185"/>
      <c r="AS80" s="185"/>
      <c r="AT80" s="185"/>
      <c r="AU80" s="185"/>
      <c r="AV80" s="185"/>
      <c r="AW80" s="185"/>
      <c r="AX80" s="185"/>
      <c r="AY80" s="185"/>
      <c r="AZ80" s="185"/>
      <c r="BA80" s="185"/>
      <c r="BB80" s="185"/>
      <c r="BC80" s="185"/>
      <c r="BD80" s="185"/>
      <c r="BE80" s="185"/>
      <c r="BF80" s="185"/>
      <c r="BG80" s="185"/>
      <c r="BH80" s="185"/>
      <c r="BI80" s="185"/>
      <c r="BJ80" s="185"/>
      <c r="BK80" s="186"/>
    </row>
    <row r="81" spans="1:63">
      <c r="A81" s="185"/>
      <c r="B81" s="185"/>
      <c r="C81" s="185"/>
      <c r="D81" s="185"/>
      <c r="E81" s="185"/>
      <c r="F81" s="185"/>
      <c r="G81" s="185"/>
      <c r="H81" s="185"/>
      <c r="I81" s="185"/>
      <c r="J81" s="185"/>
      <c r="K81" s="185"/>
      <c r="L81" s="185"/>
      <c r="M81" s="185"/>
      <c r="N81" s="185"/>
      <c r="O81" s="185"/>
      <c r="P81" s="185"/>
      <c r="Q81" s="185"/>
      <c r="R81" s="185"/>
      <c r="S81" s="185"/>
      <c r="T81" s="185"/>
      <c r="U81" s="185"/>
      <c r="V81" s="185"/>
      <c r="W81" s="185"/>
      <c r="X81" s="185"/>
      <c r="Y81" s="185"/>
      <c r="Z81" s="185"/>
      <c r="AA81" s="185"/>
      <c r="AB81" s="185"/>
      <c r="AC81" s="185"/>
      <c r="AD81" s="185"/>
      <c r="AE81" s="185"/>
      <c r="AF81" s="185"/>
      <c r="AG81" s="185"/>
      <c r="AH81" s="185"/>
      <c r="AI81" s="185"/>
      <c r="AJ81" s="185"/>
      <c r="AK81" s="185"/>
      <c r="AL81" s="185"/>
      <c r="AM81" s="185"/>
      <c r="AN81" s="185"/>
      <c r="AO81" s="185"/>
      <c r="AP81" s="185"/>
      <c r="AQ81" s="185"/>
      <c r="AR81" s="185"/>
      <c r="AS81" s="185"/>
      <c r="AT81" s="185"/>
      <c r="AU81" s="185"/>
      <c r="AV81" s="185"/>
      <c r="AW81" s="185"/>
      <c r="AX81" s="185"/>
      <c r="AY81" s="185"/>
      <c r="AZ81" s="185"/>
      <c r="BA81" s="185"/>
      <c r="BB81" s="185"/>
      <c r="BC81" s="185"/>
      <c r="BD81" s="185"/>
      <c r="BE81" s="185"/>
      <c r="BF81" s="185"/>
      <c r="BG81" s="185"/>
      <c r="BH81" s="185"/>
      <c r="BI81" s="185"/>
      <c r="BJ81" s="185"/>
      <c r="BK81" s="186"/>
    </row>
    <row r="82" spans="1:63">
      <c r="A82" s="185"/>
      <c r="B82" s="185"/>
      <c r="C82" s="185"/>
      <c r="D82" s="185"/>
      <c r="E82" s="185"/>
      <c r="F82" s="185"/>
      <c r="G82" s="185"/>
      <c r="H82" s="185"/>
      <c r="I82" s="185"/>
      <c r="J82" s="185"/>
      <c r="K82" s="185"/>
      <c r="L82" s="185"/>
      <c r="M82" s="185"/>
      <c r="N82" s="185"/>
      <c r="O82" s="185"/>
      <c r="P82" s="185"/>
      <c r="Q82" s="185"/>
      <c r="R82" s="185"/>
      <c r="S82" s="185"/>
      <c r="T82" s="185"/>
      <c r="U82" s="185"/>
      <c r="V82" s="185"/>
      <c r="W82" s="185"/>
      <c r="X82" s="185"/>
      <c r="Y82" s="185"/>
      <c r="Z82" s="185"/>
      <c r="AA82" s="185"/>
      <c r="AB82" s="185"/>
      <c r="AC82" s="185"/>
      <c r="AD82" s="185"/>
      <c r="AE82" s="185"/>
      <c r="AF82" s="185"/>
      <c r="AG82" s="185"/>
      <c r="AH82" s="185"/>
      <c r="AI82" s="185"/>
      <c r="AJ82" s="185"/>
      <c r="AK82" s="185"/>
      <c r="AL82" s="185"/>
      <c r="AM82" s="185"/>
      <c r="AN82" s="185"/>
      <c r="AO82" s="185"/>
      <c r="AP82" s="185"/>
      <c r="AQ82" s="185"/>
      <c r="AR82" s="185"/>
      <c r="AS82" s="185"/>
      <c r="AT82" s="185"/>
      <c r="AU82" s="185"/>
      <c r="AV82" s="185"/>
      <c r="AW82" s="185"/>
      <c r="AX82" s="185"/>
      <c r="AY82" s="185"/>
      <c r="AZ82" s="185"/>
      <c r="BA82" s="185"/>
      <c r="BB82" s="185"/>
      <c r="BC82" s="185"/>
      <c r="BD82" s="185"/>
      <c r="BE82" s="185"/>
      <c r="BF82" s="185"/>
      <c r="BG82" s="185"/>
      <c r="BH82" s="185"/>
      <c r="BI82" s="185"/>
      <c r="BJ82" s="185"/>
      <c r="BK82" s="186"/>
    </row>
    <row r="83" spans="1:63">
      <c r="A83" s="185"/>
      <c r="B83" s="185"/>
      <c r="C83" s="185"/>
      <c r="D83" s="185"/>
      <c r="E83" s="185"/>
      <c r="F83" s="185"/>
      <c r="G83" s="185"/>
      <c r="H83" s="185"/>
      <c r="I83" s="185"/>
      <c r="J83" s="185"/>
      <c r="K83" s="185"/>
      <c r="L83" s="185"/>
      <c r="M83" s="185"/>
      <c r="N83" s="185"/>
      <c r="O83" s="185"/>
      <c r="P83" s="185"/>
      <c r="Q83" s="185"/>
      <c r="R83" s="185"/>
      <c r="S83" s="185"/>
      <c r="T83" s="185"/>
      <c r="U83" s="185"/>
      <c r="V83" s="185"/>
      <c r="W83" s="185"/>
      <c r="X83" s="185"/>
      <c r="Y83" s="185"/>
      <c r="Z83" s="185"/>
      <c r="AA83" s="185"/>
      <c r="AB83" s="185"/>
      <c r="AC83" s="185"/>
      <c r="AD83" s="185"/>
      <c r="AE83" s="185"/>
      <c r="AF83" s="185"/>
      <c r="AG83" s="185"/>
      <c r="AH83" s="185"/>
      <c r="AI83" s="185"/>
      <c r="AJ83" s="185"/>
      <c r="AK83" s="185"/>
      <c r="AL83" s="185"/>
      <c r="AM83" s="185"/>
      <c r="AN83" s="185"/>
      <c r="AO83" s="185"/>
      <c r="AP83" s="185"/>
      <c r="AQ83" s="185"/>
      <c r="AR83" s="185"/>
      <c r="AS83" s="185"/>
      <c r="AT83" s="185"/>
      <c r="AU83" s="185"/>
      <c r="AV83" s="185"/>
      <c r="AW83" s="185"/>
      <c r="AX83" s="185"/>
      <c r="AY83" s="185"/>
      <c r="AZ83" s="185"/>
      <c r="BA83" s="185"/>
      <c r="BB83" s="185"/>
      <c r="BC83" s="185"/>
      <c r="BD83" s="185"/>
      <c r="BE83" s="185"/>
      <c r="BF83" s="185"/>
      <c r="BG83" s="185"/>
      <c r="BH83" s="185"/>
      <c r="BI83" s="185"/>
      <c r="BJ83" s="185"/>
      <c r="BK83" s="186"/>
    </row>
    <row r="84" spans="1:63">
      <c r="A84" s="185"/>
      <c r="B84" s="185"/>
      <c r="C84" s="185"/>
      <c r="D84" s="185"/>
      <c r="E84" s="185"/>
      <c r="F84" s="185"/>
      <c r="G84" s="185"/>
      <c r="H84" s="185"/>
      <c r="I84" s="185"/>
      <c r="J84" s="185"/>
      <c r="K84" s="185"/>
      <c r="L84" s="185"/>
      <c r="M84" s="185"/>
      <c r="N84" s="185"/>
      <c r="O84" s="185"/>
      <c r="P84" s="185"/>
      <c r="Q84" s="185"/>
      <c r="R84" s="185"/>
      <c r="S84" s="185"/>
      <c r="T84" s="185"/>
      <c r="U84" s="185"/>
      <c r="V84" s="185"/>
      <c r="W84" s="185"/>
      <c r="X84" s="185"/>
      <c r="Y84" s="185"/>
      <c r="Z84" s="185"/>
      <c r="AA84" s="185"/>
      <c r="AB84" s="185"/>
      <c r="AC84" s="185"/>
      <c r="AD84" s="185"/>
      <c r="AE84" s="185"/>
      <c r="AF84" s="185"/>
      <c r="AG84" s="185"/>
      <c r="AH84" s="185"/>
      <c r="AI84" s="185"/>
      <c r="AJ84" s="185"/>
      <c r="AK84" s="185"/>
      <c r="AL84" s="185"/>
      <c r="AM84" s="185"/>
      <c r="AN84" s="185"/>
      <c r="AO84" s="185"/>
      <c r="AP84" s="185"/>
      <c r="AQ84" s="185"/>
      <c r="AR84" s="185"/>
      <c r="AS84" s="185"/>
      <c r="AT84" s="185"/>
      <c r="AU84" s="185"/>
      <c r="AV84" s="185"/>
      <c r="AW84" s="185"/>
      <c r="AX84" s="185"/>
      <c r="AY84" s="185"/>
      <c r="AZ84" s="185"/>
      <c r="BA84" s="185"/>
      <c r="BB84" s="185"/>
      <c r="BC84" s="185"/>
      <c r="BD84" s="185"/>
      <c r="BE84" s="185"/>
      <c r="BF84" s="185"/>
      <c r="BG84" s="185"/>
      <c r="BH84" s="185"/>
      <c r="BI84" s="185"/>
      <c r="BJ84" s="185"/>
      <c r="BK84" s="186"/>
    </row>
    <row r="85" spans="1:63">
      <c r="A85" s="185"/>
      <c r="B85" s="185"/>
      <c r="C85" s="185"/>
      <c r="D85" s="185"/>
      <c r="E85" s="185"/>
      <c r="F85" s="185"/>
      <c r="G85" s="185"/>
      <c r="H85" s="185"/>
      <c r="I85" s="185"/>
      <c r="J85" s="185"/>
      <c r="K85" s="185"/>
      <c r="L85" s="185"/>
      <c r="M85" s="185"/>
      <c r="N85" s="185"/>
      <c r="O85" s="185"/>
      <c r="P85" s="185"/>
      <c r="Q85" s="185"/>
      <c r="R85" s="185"/>
      <c r="S85" s="185"/>
      <c r="T85" s="185"/>
      <c r="U85" s="185"/>
      <c r="V85" s="185"/>
      <c r="W85" s="185"/>
      <c r="X85" s="185"/>
      <c r="Y85" s="185"/>
      <c r="Z85" s="185"/>
      <c r="AA85" s="185"/>
      <c r="AB85" s="185"/>
      <c r="AC85" s="185"/>
      <c r="AD85" s="185"/>
      <c r="AE85" s="185"/>
      <c r="AF85" s="185"/>
      <c r="AG85" s="185"/>
      <c r="AH85" s="185"/>
      <c r="AI85" s="185"/>
      <c r="AJ85" s="185"/>
      <c r="AK85" s="185"/>
      <c r="AL85" s="185"/>
      <c r="AM85" s="185"/>
      <c r="AN85" s="185"/>
      <c r="AO85" s="185"/>
      <c r="AP85" s="185"/>
      <c r="AQ85" s="185"/>
      <c r="AR85" s="185"/>
      <c r="AS85" s="185"/>
      <c r="AT85" s="185"/>
      <c r="AU85" s="185"/>
      <c r="AV85" s="185"/>
      <c r="AW85" s="185"/>
      <c r="AX85" s="185"/>
      <c r="AY85" s="185"/>
      <c r="AZ85" s="185"/>
      <c r="BA85" s="185"/>
      <c r="BB85" s="185"/>
      <c r="BC85" s="185"/>
      <c r="BD85" s="185"/>
      <c r="BE85" s="185"/>
      <c r="BF85" s="185"/>
      <c r="BG85" s="185"/>
      <c r="BH85" s="185"/>
      <c r="BI85" s="185"/>
      <c r="BJ85" s="185"/>
      <c r="BK85" s="186"/>
    </row>
    <row r="86" spans="1:63">
      <c r="A86" s="185"/>
      <c r="B86" s="185"/>
      <c r="C86" s="185"/>
      <c r="D86" s="185"/>
      <c r="E86" s="185"/>
      <c r="F86" s="185"/>
      <c r="G86" s="185"/>
      <c r="H86" s="185"/>
      <c r="I86" s="185"/>
      <c r="J86" s="185"/>
      <c r="K86" s="185"/>
      <c r="L86" s="185"/>
      <c r="M86" s="185"/>
      <c r="N86" s="185"/>
      <c r="O86" s="185"/>
      <c r="P86" s="185"/>
      <c r="Q86" s="185"/>
      <c r="R86" s="185"/>
      <c r="S86" s="185"/>
      <c r="T86" s="185"/>
      <c r="U86" s="185"/>
      <c r="V86" s="185"/>
      <c r="W86" s="185"/>
      <c r="X86" s="185"/>
      <c r="Y86" s="185"/>
      <c r="Z86" s="185"/>
      <c r="AA86" s="185"/>
      <c r="AB86" s="185"/>
      <c r="AC86" s="185"/>
      <c r="AD86" s="185"/>
      <c r="AE86" s="185"/>
      <c r="AF86" s="185"/>
      <c r="AG86" s="185"/>
      <c r="AH86" s="185"/>
      <c r="AI86" s="185"/>
      <c r="AJ86" s="185"/>
      <c r="AK86" s="185"/>
      <c r="AL86" s="185"/>
      <c r="AM86" s="185"/>
      <c r="AN86" s="185"/>
      <c r="AO86" s="185"/>
      <c r="AP86" s="185"/>
      <c r="AQ86" s="185"/>
      <c r="AR86" s="185"/>
      <c r="AS86" s="185"/>
      <c r="AT86" s="185"/>
      <c r="AU86" s="185"/>
      <c r="AV86" s="185"/>
      <c r="AW86" s="185"/>
      <c r="AX86" s="185"/>
      <c r="AY86" s="185"/>
      <c r="AZ86" s="185"/>
      <c r="BA86" s="185"/>
      <c r="BB86" s="185"/>
      <c r="BC86" s="185"/>
      <c r="BD86" s="185"/>
      <c r="BE86" s="185"/>
      <c r="BF86" s="185"/>
      <c r="BG86" s="185"/>
      <c r="BH86" s="185"/>
      <c r="BI86" s="185"/>
      <c r="BJ86" s="185"/>
      <c r="BK86" s="186"/>
    </row>
    <row r="87" spans="1:63">
      <c r="A87" s="185"/>
      <c r="B87" s="185"/>
      <c r="C87" s="185"/>
      <c r="D87" s="185"/>
      <c r="E87" s="185"/>
      <c r="F87" s="185"/>
      <c r="G87" s="185"/>
      <c r="H87" s="185"/>
      <c r="I87" s="185"/>
      <c r="J87" s="185"/>
      <c r="K87" s="185"/>
      <c r="L87" s="185"/>
      <c r="M87" s="185"/>
      <c r="N87" s="185"/>
      <c r="O87" s="185"/>
      <c r="P87" s="185"/>
      <c r="Q87" s="185"/>
      <c r="R87" s="185"/>
      <c r="S87" s="185"/>
      <c r="T87" s="185"/>
      <c r="U87" s="185"/>
      <c r="V87" s="185"/>
      <c r="W87" s="185"/>
      <c r="X87" s="185"/>
      <c r="Y87" s="185"/>
      <c r="Z87" s="185"/>
      <c r="AA87" s="185"/>
      <c r="AB87" s="185"/>
      <c r="AC87" s="185"/>
      <c r="AD87" s="185"/>
      <c r="AE87" s="185"/>
      <c r="AF87" s="185"/>
      <c r="AG87" s="185"/>
      <c r="AH87" s="185"/>
      <c r="AI87" s="185"/>
      <c r="AJ87" s="185"/>
      <c r="AK87" s="185"/>
      <c r="AL87" s="185"/>
      <c r="AM87" s="185"/>
      <c r="AN87" s="185"/>
      <c r="AO87" s="185"/>
      <c r="AP87" s="185"/>
      <c r="AQ87" s="185"/>
      <c r="AR87" s="185"/>
      <c r="AS87" s="185"/>
      <c r="AT87" s="185"/>
      <c r="AU87" s="185"/>
      <c r="AV87" s="185"/>
      <c r="AW87" s="185"/>
      <c r="AX87" s="185"/>
      <c r="AY87" s="185"/>
      <c r="AZ87" s="185"/>
      <c r="BA87" s="185"/>
      <c r="BB87" s="185"/>
      <c r="BC87" s="185"/>
      <c r="BD87" s="185"/>
      <c r="BE87" s="185"/>
      <c r="BF87" s="185"/>
      <c r="BG87" s="185"/>
      <c r="BH87" s="185"/>
      <c r="BI87" s="185"/>
      <c r="BJ87" s="185"/>
      <c r="BK87" s="186"/>
    </row>
    <row r="88" spans="1:63">
      <c r="A88" s="185"/>
      <c r="B88" s="185"/>
      <c r="C88" s="185"/>
      <c r="D88" s="185"/>
      <c r="E88" s="185"/>
      <c r="F88" s="185"/>
      <c r="G88" s="185"/>
      <c r="H88" s="185"/>
      <c r="I88" s="185"/>
      <c r="J88" s="185"/>
      <c r="K88" s="185"/>
      <c r="L88" s="185"/>
      <c r="M88" s="185"/>
      <c r="N88" s="185"/>
      <c r="O88" s="185"/>
      <c r="P88" s="185"/>
      <c r="Q88" s="185"/>
      <c r="R88" s="185"/>
      <c r="S88" s="185"/>
      <c r="T88" s="185"/>
      <c r="U88" s="185"/>
      <c r="V88" s="185"/>
      <c r="W88" s="185"/>
      <c r="X88" s="185"/>
      <c r="Y88" s="185"/>
      <c r="Z88" s="185"/>
      <c r="AA88" s="185"/>
      <c r="AB88" s="185"/>
      <c r="AC88" s="185"/>
      <c r="AD88" s="185"/>
      <c r="AE88" s="185"/>
      <c r="AF88" s="185"/>
      <c r="AG88" s="185"/>
      <c r="AH88" s="185"/>
      <c r="AI88" s="185"/>
      <c r="AJ88" s="185"/>
      <c r="AK88" s="185"/>
      <c r="AL88" s="185"/>
      <c r="AM88" s="185"/>
      <c r="AN88" s="185"/>
      <c r="AO88" s="185"/>
      <c r="AP88" s="185"/>
      <c r="AQ88" s="185"/>
      <c r="AR88" s="185"/>
      <c r="AS88" s="185"/>
      <c r="AT88" s="185"/>
      <c r="AU88" s="185"/>
      <c r="AV88" s="185"/>
      <c r="AW88" s="185"/>
      <c r="AX88" s="185"/>
      <c r="AY88" s="185"/>
      <c r="AZ88" s="185"/>
      <c r="BA88" s="185"/>
      <c r="BB88" s="185"/>
      <c r="BC88" s="185"/>
      <c r="BD88" s="185"/>
      <c r="BE88" s="185"/>
      <c r="BF88" s="185"/>
      <c r="BG88" s="185"/>
      <c r="BH88" s="185"/>
      <c r="BI88" s="185"/>
      <c r="BJ88" s="185"/>
      <c r="BK88" s="186"/>
    </row>
    <row r="89" spans="1:63">
      <c r="A89" s="185"/>
      <c r="B89" s="185"/>
      <c r="C89" s="185"/>
      <c r="D89" s="185"/>
      <c r="E89" s="185"/>
      <c r="F89" s="185"/>
      <c r="G89" s="185"/>
      <c r="H89" s="185"/>
      <c r="I89" s="185"/>
      <c r="J89" s="185"/>
      <c r="K89" s="185"/>
      <c r="L89" s="185"/>
      <c r="M89" s="185"/>
      <c r="N89" s="185"/>
      <c r="O89" s="185"/>
      <c r="P89" s="185"/>
      <c r="Q89" s="185"/>
      <c r="R89" s="185"/>
      <c r="S89" s="185"/>
      <c r="T89" s="185"/>
      <c r="U89" s="185"/>
      <c r="V89" s="185"/>
      <c r="W89" s="185"/>
      <c r="X89" s="185"/>
      <c r="Y89" s="185"/>
      <c r="Z89" s="185"/>
      <c r="AA89" s="185"/>
      <c r="AB89" s="185"/>
      <c r="AC89" s="185"/>
      <c r="AD89" s="185"/>
      <c r="AE89" s="185"/>
      <c r="AF89" s="185"/>
      <c r="AG89" s="185"/>
      <c r="AH89" s="185"/>
      <c r="AI89" s="185"/>
      <c r="AJ89" s="185"/>
      <c r="AK89" s="185"/>
      <c r="AL89" s="185"/>
      <c r="AM89" s="185"/>
      <c r="AN89" s="185"/>
      <c r="AO89" s="185"/>
      <c r="AP89" s="185"/>
      <c r="AQ89" s="185"/>
      <c r="AR89" s="185"/>
      <c r="AS89" s="185"/>
      <c r="AT89" s="185"/>
      <c r="AU89" s="185"/>
      <c r="AV89" s="185"/>
      <c r="AW89" s="185"/>
      <c r="AX89" s="185"/>
      <c r="AY89" s="185"/>
      <c r="AZ89" s="185"/>
      <c r="BA89" s="185"/>
      <c r="BB89" s="185"/>
      <c r="BC89" s="185"/>
      <c r="BD89" s="185"/>
      <c r="BE89" s="185"/>
      <c r="BF89" s="185"/>
      <c r="BG89" s="185"/>
      <c r="BH89" s="185"/>
      <c r="BI89" s="185"/>
      <c r="BJ89" s="185"/>
      <c r="BK89" s="186"/>
    </row>
    <row r="90" spans="1:63">
      <c r="A90" s="185"/>
      <c r="B90" s="185"/>
      <c r="C90" s="185"/>
      <c r="D90" s="185"/>
      <c r="E90" s="185"/>
      <c r="F90" s="185"/>
      <c r="G90" s="185"/>
      <c r="H90" s="185"/>
      <c r="I90" s="185"/>
      <c r="J90" s="185"/>
      <c r="K90" s="185"/>
      <c r="L90" s="185"/>
      <c r="M90" s="185"/>
      <c r="N90" s="185"/>
      <c r="O90" s="185"/>
      <c r="P90" s="185"/>
      <c r="Q90" s="185"/>
      <c r="R90" s="185"/>
      <c r="S90" s="185"/>
      <c r="T90" s="185"/>
      <c r="U90" s="185"/>
      <c r="V90" s="185"/>
      <c r="W90" s="185"/>
      <c r="X90" s="185"/>
      <c r="Y90" s="185"/>
      <c r="Z90" s="185"/>
      <c r="AA90" s="185"/>
      <c r="AB90" s="185"/>
      <c r="AC90" s="185"/>
      <c r="AD90" s="185"/>
      <c r="AE90" s="185"/>
      <c r="AF90" s="185"/>
      <c r="AG90" s="185"/>
      <c r="AH90" s="185"/>
      <c r="AI90" s="185"/>
      <c r="AJ90" s="185"/>
      <c r="AK90" s="185"/>
      <c r="AL90" s="185"/>
      <c r="AM90" s="185"/>
      <c r="AN90" s="185"/>
      <c r="AO90" s="185"/>
      <c r="AP90" s="185"/>
      <c r="AQ90" s="185"/>
      <c r="AR90" s="185"/>
      <c r="AS90" s="185"/>
      <c r="AT90" s="185"/>
      <c r="AU90" s="185"/>
      <c r="AV90" s="185"/>
      <c r="AW90" s="185"/>
      <c r="AX90" s="185"/>
      <c r="AY90" s="185"/>
      <c r="AZ90" s="185"/>
      <c r="BA90" s="185"/>
      <c r="BB90" s="185"/>
      <c r="BC90" s="185"/>
      <c r="BD90" s="185"/>
      <c r="BE90" s="185"/>
      <c r="BF90" s="185"/>
      <c r="BG90" s="185"/>
      <c r="BH90" s="185"/>
      <c r="BI90" s="185"/>
      <c r="BJ90" s="185"/>
      <c r="BK90" s="186"/>
    </row>
    <row r="91" spans="1:63">
      <c r="A91" s="185"/>
      <c r="B91" s="185"/>
      <c r="C91" s="185"/>
      <c r="D91" s="185"/>
      <c r="E91" s="185"/>
      <c r="F91" s="185"/>
      <c r="G91" s="185"/>
      <c r="H91" s="185"/>
      <c r="I91" s="185"/>
      <c r="J91" s="185"/>
      <c r="K91" s="185"/>
      <c r="L91" s="185"/>
      <c r="M91" s="185"/>
      <c r="N91" s="185"/>
      <c r="O91" s="185"/>
      <c r="P91" s="185"/>
      <c r="Q91" s="185"/>
      <c r="R91" s="185"/>
      <c r="S91" s="185"/>
      <c r="T91" s="185"/>
      <c r="U91" s="185"/>
      <c r="V91" s="185"/>
      <c r="W91" s="185"/>
      <c r="X91" s="185"/>
      <c r="Y91" s="185"/>
      <c r="Z91" s="185"/>
      <c r="AA91" s="185"/>
      <c r="AB91" s="185"/>
      <c r="AC91" s="185"/>
      <c r="AD91" s="185"/>
      <c r="AE91" s="185"/>
      <c r="AF91" s="185"/>
      <c r="AG91" s="185"/>
      <c r="AH91" s="185"/>
      <c r="AI91" s="185"/>
      <c r="AJ91" s="185"/>
      <c r="AK91" s="185"/>
      <c r="AL91" s="185"/>
      <c r="AM91" s="185"/>
      <c r="AN91" s="185"/>
      <c r="AO91" s="185"/>
      <c r="AP91" s="185"/>
      <c r="AQ91" s="185"/>
      <c r="AR91" s="185"/>
      <c r="AS91" s="185"/>
      <c r="AT91" s="185"/>
      <c r="AU91" s="185"/>
      <c r="AV91" s="185"/>
      <c r="AW91" s="185"/>
      <c r="AX91" s="185"/>
      <c r="AY91" s="185"/>
      <c r="AZ91" s="185"/>
      <c r="BA91" s="185"/>
      <c r="BB91" s="185"/>
      <c r="BC91" s="185"/>
      <c r="BD91" s="185"/>
      <c r="BE91" s="185"/>
      <c r="BF91" s="185"/>
      <c r="BG91" s="185"/>
      <c r="BH91" s="185"/>
      <c r="BI91" s="185"/>
      <c r="BJ91" s="185"/>
      <c r="BK91" s="186"/>
    </row>
    <row r="92" spans="1:63">
      <c r="A92" s="185"/>
      <c r="B92" s="185"/>
      <c r="C92" s="185"/>
      <c r="D92" s="185"/>
      <c r="E92" s="185"/>
      <c r="F92" s="185"/>
      <c r="G92" s="185"/>
      <c r="H92" s="185"/>
      <c r="I92" s="185"/>
      <c r="J92" s="185"/>
      <c r="K92" s="185"/>
      <c r="L92" s="185"/>
      <c r="M92" s="185"/>
      <c r="N92" s="185"/>
      <c r="O92" s="185"/>
      <c r="P92" s="185"/>
      <c r="Q92" s="185"/>
      <c r="R92" s="185"/>
      <c r="S92" s="185"/>
      <c r="T92" s="185"/>
      <c r="U92" s="185"/>
      <c r="V92" s="185"/>
      <c r="W92" s="185"/>
      <c r="X92" s="185"/>
      <c r="Y92" s="185"/>
      <c r="Z92" s="185"/>
      <c r="AA92" s="185"/>
      <c r="AB92" s="185"/>
      <c r="AC92" s="185"/>
      <c r="AD92" s="185"/>
      <c r="AE92" s="185"/>
      <c r="AF92" s="185"/>
      <c r="AG92" s="185"/>
      <c r="AH92" s="185"/>
      <c r="AI92" s="185"/>
      <c r="AJ92" s="185"/>
      <c r="AK92" s="185"/>
      <c r="AL92" s="185"/>
      <c r="AM92" s="185"/>
      <c r="AN92" s="185"/>
      <c r="AO92" s="185"/>
      <c r="AP92" s="185"/>
      <c r="AQ92" s="185"/>
      <c r="AR92" s="185"/>
      <c r="AS92" s="185"/>
      <c r="AT92" s="185"/>
      <c r="AU92" s="185"/>
      <c r="AV92" s="185"/>
      <c r="AW92" s="185"/>
      <c r="AX92" s="185"/>
      <c r="AY92" s="185"/>
      <c r="AZ92" s="185"/>
      <c r="BA92" s="185"/>
      <c r="BB92" s="185"/>
      <c r="BC92" s="185"/>
      <c r="BD92" s="185"/>
      <c r="BE92" s="185"/>
      <c r="BF92" s="185"/>
      <c r="BG92" s="185"/>
      <c r="BH92" s="185"/>
      <c r="BI92" s="185"/>
      <c r="BJ92" s="185"/>
      <c r="BK92" s="186"/>
    </row>
    <row r="93" spans="1:63">
      <c r="A93" s="185"/>
      <c r="B93" s="185"/>
      <c r="C93" s="185"/>
      <c r="D93" s="185"/>
      <c r="E93" s="185"/>
      <c r="F93" s="185"/>
      <c r="G93" s="185"/>
      <c r="H93" s="185"/>
      <c r="I93" s="185"/>
      <c r="J93" s="185"/>
      <c r="K93" s="185"/>
      <c r="L93" s="185"/>
      <c r="M93" s="185"/>
      <c r="N93" s="185"/>
      <c r="O93" s="185"/>
      <c r="P93" s="185"/>
      <c r="Q93" s="185"/>
      <c r="R93" s="185"/>
      <c r="S93" s="185"/>
      <c r="T93" s="185"/>
      <c r="U93" s="185"/>
      <c r="V93" s="185"/>
      <c r="W93" s="185"/>
      <c r="X93" s="185"/>
      <c r="Y93" s="185"/>
      <c r="Z93" s="185"/>
      <c r="AA93" s="185"/>
      <c r="AB93" s="185"/>
      <c r="AC93" s="185"/>
      <c r="AD93" s="185"/>
      <c r="AE93" s="185"/>
      <c r="AF93" s="185"/>
      <c r="AG93" s="185"/>
      <c r="AH93" s="185"/>
      <c r="AI93" s="185"/>
      <c r="AJ93" s="185"/>
      <c r="AK93" s="185"/>
      <c r="AL93" s="185"/>
      <c r="AM93" s="185"/>
      <c r="AN93" s="185"/>
      <c r="AO93" s="185"/>
      <c r="AP93" s="185"/>
      <c r="AQ93" s="185"/>
      <c r="AR93" s="185"/>
      <c r="AS93" s="185"/>
      <c r="AT93" s="185"/>
      <c r="AU93" s="185"/>
      <c r="AV93" s="185"/>
      <c r="AW93" s="185"/>
      <c r="AX93" s="185"/>
      <c r="AY93" s="185"/>
      <c r="AZ93" s="185"/>
      <c r="BA93" s="185"/>
      <c r="BB93" s="185"/>
      <c r="BC93" s="185"/>
      <c r="BD93" s="185"/>
      <c r="BE93" s="185"/>
      <c r="BF93" s="185"/>
      <c r="BG93" s="185"/>
      <c r="BH93" s="185"/>
      <c r="BI93" s="185"/>
      <c r="BJ93" s="185"/>
      <c r="BK93" s="186"/>
    </row>
    <row r="94" spans="1:63">
      <c r="A94" s="185"/>
      <c r="B94" s="185"/>
      <c r="C94" s="185"/>
      <c r="D94" s="185"/>
      <c r="E94" s="185"/>
      <c r="F94" s="185"/>
      <c r="G94" s="185"/>
      <c r="H94" s="185"/>
      <c r="I94" s="185"/>
      <c r="J94" s="185"/>
      <c r="K94" s="185"/>
      <c r="L94" s="185"/>
      <c r="M94" s="185"/>
      <c r="N94" s="185"/>
      <c r="O94" s="185"/>
      <c r="P94" s="185"/>
      <c r="Q94" s="185"/>
      <c r="R94" s="185"/>
      <c r="S94" s="185"/>
      <c r="T94" s="185"/>
      <c r="U94" s="185"/>
      <c r="V94" s="185"/>
      <c r="W94" s="185"/>
      <c r="X94" s="185"/>
      <c r="Y94" s="185"/>
      <c r="Z94" s="185"/>
      <c r="AA94" s="185"/>
      <c r="AB94" s="185"/>
      <c r="AC94" s="185"/>
      <c r="AD94" s="185"/>
      <c r="AE94" s="185"/>
      <c r="AF94" s="185"/>
      <c r="AG94" s="185"/>
      <c r="AH94" s="185"/>
      <c r="AI94" s="185"/>
      <c r="AJ94" s="185"/>
      <c r="AK94" s="185"/>
      <c r="AL94" s="185"/>
      <c r="AM94" s="185"/>
      <c r="AN94" s="185"/>
      <c r="AO94" s="185"/>
      <c r="AP94" s="185"/>
      <c r="AQ94" s="185"/>
      <c r="AR94" s="185"/>
      <c r="AS94" s="185"/>
      <c r="AT94" s="185"/>
      <c r="AU94" s="185"/>
      <c r="AV94" s="185"/>
      <c r="AW94" s="185"/>
      <c r="AX94" s="185"/>
      <c r="AY94" s="185"/>
      <c r="AZ94" s="185"/>
      <c r="BA94" s="185"/>
      <c r="BB94" s="185"/>
      <c r="BC94" s="185"/>
      <c r="BD94" s="185"/>
      <c r="BE94" s="185"/>
      <c r="BF94" s="185"/>
      <c r="BG94" s="185"/>
      <c r="BH94" s="185"/>
      <c r="BI94" s="185"/>
      <c r="BJ94" s="185"/>
      <c r="BK94" s="186"/>
    </row>
    <row r="95" spans="1:63">
      <c r="A95" s="185"/>
      <c r="B95" s="185"/>
      <c r="C95" s="185"/>
      <c r="D95" s="185"/>
      <c r="E95" s="185"/>
      <c r="F95" s="185"/>
      <c r="G95" s="185"/>
      <c r="H95" s="185"/>
      <c r="I95" s="185"/>
      <c r="J95" s="185"/>
      <c r="K95" s="185"/>
      <c r="L95" s="185"/>
      <c r="M95" s="185"/>
      <c r="N95" s="185"/>
      <c r="O95" s="185"/>
      <c r="P95" s="185"/>
      <c r="Q95" s="185"/>
      <c r="R95" s="185"/>
      <c r="S95" s="185"/>
      <c r="T95" s="185"/>
      <c r="U95" s="185"/>
      <c r="V95" s="185"/>
      <c r="W95" s="185"/>
      <c r="X95" s="185"/>
      <c r="Y95" s="185"/>
      <c r="Z95" s="185"/>
      <c r="AA95" s="185"/>
      <c r="AB95" s="185"/>
      <c r="AC95" s="185"/>
      <c r="AD95" s="185"/>
      <c r="AE95" s="185"/>
      <c r="AF95" s="185"/>
      <c r="AG95" s="185"/>
      <c r="AH95" s="185"/>
      <c r="AI95" s="185"/>
      <c r="AJ95" s="185"/>
      <c r="AK95" s="185"/>
      <c r="AL95" s="185"/>
      <c r="AM95" s="185"/>
      <c r="AN95" s="185"/>
      <c r="AO95" s="185"/>
      <c r="AP95" s="185"/>
      <c r="AQ95" s="185"/>
      <c r="AR95" s="185"/>
      <c r="AS95" s="185"/>
      <c r="AT95" s="185"/>
      <c r="AU95" s="185"/>
      <c r="AV95" s="185"/>
      <c r="AW95" s="185"/>
      <c r="AX95" s="185"/>
      <c r="AY95" s="185"/>
      <c r="AZ95" s="185"/>
      <c r="BA95" s="185"/>
      <c r="BB95" s="185"/>
      <c r="BC95" s="185"/>
      <c r="BD95" s="185"/>
      <c r="BE95" s="185"/>
      <c r="BF95" s="185"/>
      <c r="BG95" s="185"/>
      <c r="BH95" s="185"/>
      <c r="BI95" s="185"/>
      <c r="BJ95" s="185"/>
      <c r="BK95" s="186"/>
    </row>
    <row r="96" spans="1:63">
      <c r="A96" s="185"/>
      <c r="B96" s="185"/>
      <c r="C96" s="185"/>
      <c r="D96" s="185"/>
      <c r="E96" s="185"/>
      <c r="F96" s="185"/>
      <c r="G96" s="185"/>
      <c r="H96" s="185"/>
      <c r="I96" s="185"/>
      <c r="J96" s="185"/>
      <c r="K96" s="185"/>
      <c r="L96" s="185"/>
      <c r="M96" s="185"/>
      <c r="N96" s="185"/>
      <c r="O96" s="185"/>
      <c r="P96" s="185"/>
      <c r="Q96" s="185"/>
      <c r="R96" s="185"/>
      <c r="S96" s="185"/>
      <c r="T96" s="185"/>
      <c r="U96" s="185"/>
      <c r="V96" s="185"/>
      <c r="W96" s="185"/>
      <c r="X96" s="185"/>
      <c r="Y96" s="185"/>
      <c r="Z96" s="185"/>
      <c r="AA96" s="185"/>
      <c r="AB96" s="185"/>
      <c r="AC96" s="185"/>
      <c r="AD96" s="185"/>
      <c r="AE96" s="185"/>
      <c r="AF96" s="185"/>
      <c r="AG96" s="185"/>
      <c r="AH96" s="185"/>
      <c r="AI96" s="185"/>
      <c r="AJ96" s="185"/>
      <c r="AK96" s="185"/>
      <c r="AL96" s="185"/>
      <c r="AM96" s="185"/>
      <c r="AN96" s="185"/>
      <c r="AO96" s="185"/>
      <c r="AP96" s="185"/>
      <c r="AQ96" s="185"/>
      <c r="AR96" s="185"/>
      <c r="AS96" s="185"/>
      <c r="AT96" s="185"/>
      <c r="AU96" s="185"/>
      <c r="AV96" s="185"/>
      <c r="AW96" s="185"/>
      <c r="AX96" s="185"/>
      <c r="AY96" s="185"/>
      <c r="AZ96" s="185"/>
      <c r="BA96" s="185"/>
      <c r="BB96" s="185"/>
      <c r="BC96" s="185"/>
      <c r="BD96" s="185"/>
      <c r="BE96" s="185"/>
      <c r="BF96" s="185"/>
      <c r="BG96" s="185"/>
      <c r="BH96" s="185"/>
      <c r="BI96" s="185"/>
      <c r="BJ96" s="185"/>
      <c r="BK96" s="186"/>
    </row>
    <row r="97" spans="1:63">
      <c r="A97" s="185"/>
      <c r="B97" s="185"/>
      <c r="C97" s="185"/>
      <c r="D97" s="185"/>
      <c r="E97" s="185"/>
      <c r="F97" s="185"/>
      <c r="G97" s="185"/>
      <c r="H97" s="185"/>
      <c r="I97" s="185"/>
      <c r="J97" s="185"/>
      <c r="K97" s="185"/>
      <c r="L97" s="185"/>
      <c r="M97" s="185"/>
      <c r="N97" s="185"/>
      <c r="O97" s="185"/>
      <c r="P97" s="185"/>
      <c r="Q97" s="185"/>
      <c r="R97" s="185"/>
      <c r="S97" s="185"/>
      <c r="T97" s="185"/>
      <c r="U97" s="185"/>
      <c r="V97" s="185"/>
      <c r="W97" s="185"/>
      <c r="X97" s="185"/>
      <c r="Y97" s="185"/>
      <c r="Z97" s="185"/>
      <c r="AA97" s="185"/>
      <c r="AB97" s="185"/>
      <c r="AC97" s="185"/>
      <c r="AD97" s="185"/>
      <c r="AE97" s="185"/>
      <c r="AF97" s="185"/>
      <c r="AG97" s="185"/>
      <c r="AH97" s="185"/>
      <c r="AI97" s="185"/>
      <c r="AJ97" s="185"/>
      <c r="AK97" s="185"/>
      <c r="AL97" s="185"/>
      <c r="AM97" s="185"/>
      <c r="AN97" s="185"/>
      <c r="AO97" s="185"/>
      <c r="AP97" s="185"/>
      <c r="AQ97" s="185"/>
      <c r="AR97" s="185"/>
      <c r="AS97" s="185"/>
      <c r="AT97" s="185"/>
      <c r="AU97" s="185"/>
      <c r="AV97" s="185"/>
      <c r="AW97" s="185"/>
      <c r="AX97" s="185"/>
      <c r="AY97" s="185"/>
      <c r="AZ97" s="185"/>
      <c r="BA97" s="185"/>
      <c r="BB97" s="185"/>
      <c r="BC97" s="185"/>
      <c r="BD97" s="185"/>
      <c r="BE97" s="185"/>
      <c r="BF97" s="185"/>
      <c r="BG97" s="185"/>
      <c r="BH97" s="185"/>
      <c r="BI97" s="185"/>
      <c r="BJ97" s="185"/>
      <c r="BK97" s="186"/>
    </row>
    <row r="98" spans="1:63">
      <c r="A98" s="185"/>
      <c r="B98" s="185"/>
      <c r="C98" s="185"/>
      <c r="D98" s="185"/>
      <c r="E98" s="185"/>
      <c r="F98" s="185"/>
      <c r="G98" s="185"/>
      <c r="H98" s="185"/>
      <c r="I98" s="185"/>
      <c r="J98" s="185"/>
      <c r="K98" s="185"/>
      <c r="L98" s="185"/>
      <c r="M98" s="185"/>
      <c r="N98" s="185"/>
      <c r="O98" s="185"/>
      <c r="P98" s="185"/>
      <c r="Q98" s="185"/>
      <c r="R98" s="185"/>
      <c r="S98" s="185"/>
      <c r="T98" s="185"/>
      <c r="U98" s="185"/>
      <c r="V98" s="185"/>
      <c r="W98" s="185"/>
      <c r="X98" s="185"/>
      <c r="Y98" s="185"/>
      <c r="Z98" s="185"/>
      <c r="AA98" s="185"/>
      <c r="AB98" s="185"/>
      <c r="AC98" s="185"/>
      <c r="AD98" s="185"/>
      <c r="AE98" s="185"/>
      <c r="AF98" s="185"/>
      <c r="AG98" s="185"/>
      <c r="AH98" s="185"/>
      <c r="AI98" s="185"/>
      <c r="AJ98" s="185"/>
      <c r="AK98" s="185"/>
      <c r="AL98" s="185"/>
      <c r="AM98" s="185"/>
      <c r="AN98" s="185"/>
      <c r="AO98" s="185"/>
      <c r="AP98" s="185"/>
      <c r="AQ98" s="185"/>
      <c r="AR98" s="185"/>
      <c r="AS98" s="185"/>
      <c r="AT98" s="185"/>
      <c r="AU98" s="185"/>
      <c r="AV98" s="185"/>
      <c r="AW98" s="185"/>
      <c r="AX98" s="185"/>
      <c r="AY98" s="185"/>
      <c r="AZ98" s="185"/>
      <c r="BA98" s="185"/>
      <c r="BB98" s="185"/>
      <c r="BC98" s="185"/>
      <c r="BD98" s="185"/>
      <c r="BE98" s="185"/>
      <c r="BF98" s="185"/>
      <c r="BG98" s="185"/>
      <c r="BH98" s="185"/>
      <c r="BI98" s="185"/>
      <c r="BJ98" s="185"/>
      <c r="BK98" s="186"/>
    </row>
    <row r="99" spans="1:63">
      <c r="A99" s="185"/>
      <c r="B99" s="185"/>
      <c r="C99" s="185"/>
      <c r="D99" s="185"/>
      <c r="E99" s="185"/>
      <c r="F99" s="185"/>
      <c r="G99" s="185"/>
      <c r="H99" s="185"/>
      <c r="I99" s="185"/>
      <c r="J99" s="185"/>
      <c r="K99" s="185"/>
      <c r="L99" s="185"/>
      <c r="M99" s="185"/>
      <c r="N99" s="185"/>
      <c r="O99" s="185"/>
      <c r="P99" s="185"/>
      <c r="Q99" s="185"/>
      <c r="R99" s="185"/>
      <c r="S99" s="185"/>
      <c r="T99" s="185"/>
      <c r="U99" s="185"/>
      <c r="V99" s="185"/>
      <c r="W99" s="185"/>
      <c r="X99" s="185"/>
      <c r="Y99" s="185"/>
      <c r="Z99" s="185"/>
      <c r="AA99" s="185"/>
      <c r="AB99" s="185"/>
      <c r="AC99" s="185"/>
      <c r="AD99" s="185"/>
      <c r="AE99" s="185"/>
      <c r="AF99" s="185"/>
      <c r="AG99" s="185"/>
      <c r="AH99" s="185"/>
      <c r="AI99" s="185"/>
      <c r="AJ99" s="185"/>
      <c r="AK99" s="185"/>
      <c r="AL99" s="185"/>
      <c r="AM99" s="185"/>
      <c r="AN99" s="185"/>
      <c r="AO99" s="185"/>
      <c r="AP99" s="185"/>
      <c r="AQ99" s="185"/>
      <c r="AR99" s="185"/>
      <c r="AS99" s="185"/>
      <c r="AT99" s="185"/>
      <c r="AU99" s="185"/>
      <c r="AV99" s="185"/>
      <c r="AW99" s="185"/>
      <c r="AX99" s="185"/>
      <c r="AY99" s="185"/>
      <c r="AZ99" s="185"/>
      <c r="BA99" s="185"/>
      <c r="BB99" s="185"/>
      <c r="BC99" s="185"/>
      <c r="BD99" s="185"/>
      <c r="BE99" s="185"/>
      <c r="BF99" s="185"/>
      <c r="BG99" s="185"/>
      <c r="BH99" s="185"/>
      <c r="BI99" s="185"/>
      <c r="BJ99" s="185"/>
      <c r="BK99" s="186"/>
    </row>
    <row r="100" spans="1:63">
      <c r="A100" s="185"/>
      <c r="B100" s="185"/>
      <c r="C100" s="185"/>
      <c r="D100" s="185"/>
      <c r="E100" s="185"/>
      <c r="F100" s="185"/>
      <c r="G100" s="185"/>
      <c r="H100" s="185"/>
      <c r="I100" s="185"/>
      <c r="J100" s="185"/>
      <c r="K100" s="185"/>
      <c r="L100" s="185"/>
      <c r="M100" s="185"/>
      <c r="N100" s="185"/>
      <c r="O100" s="185"/>
      <c r="P100" s="185"/>
      <c r="Q100" s="185"/>
      <c r="R100" s="185"/>
      <c r="S100" s="185"/>
      <c r="T100" s="185"/>
      <c r="U100" s="185"/>
      <c r="V100" s="185"/>
      <c r="W100" s="185"/>
      <c r="X100" s="185"/>
      <c r="Y100" s="185"/>
      <c r="Z100" s="185"/>
      <c r="AA100" s="185"/>
      <c r="AB100" s="185"/>
      <c r="AC100" s="185"/>
      <c r="AD100" s="185"/>
      <c r="AE100" s="185"/>
      <c r="AF100" s="185"/>
      <c r="AG100" s="185"/>
      <c r="AH100" s="185"/>
      <c r="AI100" s="185"/>
      <c r="AJ100" s="185"/>
      <c r="AK100" s="185"/>
      <c r="AL100" s="185"/>
      <c r="AM100" s="185"/>
      <c r="AN100" s="185"/>
      <c r="AO100" s="185"/>
      <c r="AP100" s="185"/>
      <c r="AQ100" s="185"/>
      <c r="AR100" s="185"/>
      <c r="AS100" s="185"/>
      <c r="AT100" s="185"/>
      <c r="AU100" s="185"/>
      <c r="AV100" s="185"/>
      <c r="AW100" s="185"/>
      <c r="AX100" s="185"/>
      <c r="AY100" s="185"/>
      <c r="AZ100" s="185"/>
      <c r="BA100" s="185"/>
      <c r="BB100" s="185"/>
      <c r="BC100" s="185"/>
      <c r="BD100" s="185"/>
      <c r="BE100" s="185"/>
      <c r="BF100" s="185"/>
      <c r="BG100" s="185"/>
      <c r="BH100" s="185"/>
      <c r="BI100" s="185"/>
      <c r="BJ100" s="185"/>
      <c r="BK100" s="186"/>
    </row>
    <row r="101" spans="1:63">
      <c r="A101" s="185"/>
      <c r="B101" s="185"/>
      <c r="C101" s="185"/>
      <c r="D101" s="185"/>
      <c r="E101" s="185"/>
      <c r="F101" s="185"/>
      <c r="G101" s="185"/>
      <c r="H101" s="185"/>
      <c r="I101" s="185"/>
      <c r="J101" s="185"/>
      <c r="K101" s="185"/>
      <c r="L101" s="185"/>
      <c r="M101" s="185"/>
      <c r="N101" s="185"/>
      <c r="O101" s="185"/>
      <c r="P101" s="185"/>
      <c r="Q101" s="185"/>
      <c r="R101" s="185"/>
      <c r="S101" s="185"/>
      <c r="T101" s="185"/>
      <c r="U101" s="185"/>
      <c r="V101" s="185"/>
      <c r="W101" s="185"/>
      <c r="X101" s="185"/>
      <c r="Y101" s="185"/>
      <c r="Z101" s="185"/>
      <c r="AA101" s="185"/>
      <c r="AB101" s="185"/>
      <c r="AC101" s="185"/>
      <c r="AD101" s="185"/>
      <c r="AE101" s="185"/>
      <c r="AF101" s="185"/>
      <c r="AG101" s="185"/>
      <c r="AH101" s="185"/>
      <c r="AI101" s="185"/>
      <c r="AJ101" s="185"/>
      <c r="AK101" s="185"/>
      <c r="AL101" s="185"/>
      <c r="AM101" s="185"/>
      <c r="AN101" s="185"/>
      <c r="AO101" s="185"/>
      <c r="AP101" s="185"/>
      <c r="AQ101" s="185"/>
      <c r="AR101" s="185"/>
      <c r="AS101" s="185"/>
      <c r="AT101" s="185"/>
      <c r="AU101" s="185"/>
      <c r="AV101" s="185"/>
      <c r="AW101" s="185"/>
      <c r="AX101" s="185"/>
      <c r="AY101" s="185"/>
      <c r="AZ101" s="185"/>
      <c r="BA101" s="185"/>
      <c r="BB101" s="185"/>
      <c r="BC101" s="185"/>
      <c r="BD101" s="185"/>
      <c r="BE101" s="185"/>
      <c r="BF101" s="185"/>
      <c r="BG101" s="185"/>
      <c r="BH101" s="185"/>
      <c r="BI101" s="185"/>
      <c r="BJ101" s="185"/>
      <c r="BK101" s="186"/>
    </row>
    <row r="102" spans="1:63">
      <c r="A102" s="185"/>
      <c r="B102" s="185"/>
      <c r="C102" s="185"/>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6"/>
    </row>
    <row r="103" spans="1:63">
      <c r="A103" s="185"/>
      <c r="B103" s="185"/>
      <c r="C103" s="185"/>
      <c r="D103" s="185"/>
      <c r="E103" s="185"/>
      <c r="F103" s="185"/>
      <c r="G103" s="185"/>
      <c r="H103" s="185"/>
      <c r="I103" s="185"/>
      <c r="J103" s="185"/>
      <c r="K103" s="185"/>
      <c r="L103" s="185"/>
      <c r="M103" s="185"/>
      <c r="N103" s="185"/>
      <c r="O103" s="185"/>
      <c r="P103" s="185"/>
      <c r="Q103" s="185"/>
      <c r="R103" s="185"/>
      <c r="S103" s="185"/>
      <c r="T103" s="185"/>
      <c r="U103" s="185"/>
      <c r="V103" s="185"/>
      <c r="W103" s="185"/>
      <c r="X103" s="185"/>
      <c r="Y103" s="185"/>
      <c r="Z103" s="185"/>
      <c r="AA103" s="185"/>
      <c r="AB103" s="185"/>
      <c r="AC103" s="185"/>
      <c r="AD103" s="185"/>
      <c r="AE103" s="185"/>
      <c r="AF103" s="185"/>
      <c r="AG103" s="185"/>
      <c r="AH103" s="185"/>
      <c r="AI103" s="185"/>
      <c r="AJ103" s="185"/>
      <c r="AK103" s="185"/>
      <c r="AL103" s="185"/>
      <c r="AM103" s="185"/>
      <c r="AN103" s="185"/>
      <c r="AO103" s="185"/>
      <c r="AP103" s="185"/>
      <c r="AQ103" s="185"/>
      <c r="AR103" s="185"/>
      <c r="AS103" s="185"/>
      <c r="AT103" s="185"/>
      <c r="AU103" s="185"/>
      <c r="AV103" s="185"/>
      <c r="AW103" s="185"/>
      <c r="AX103" s="185"/>
      <c r="AY103" s="185"/>
      <c r="AZ103" s="185"/>
      <c r="BA103" s="185"/>
      <c r="BB103" s="185"/>
      <c r="BC103" s="185"/>
      <c r="BD103" s="185"/>
      <c r="BE103" s="185"/>
      <c r="BF103" s="185"/>
      <c r="BG103" s="185"/>
      <c r="BH103" s="185"/>
      <c r="BI103" s="185"/>
      <c r="BJ103" s="185"/>
      <c r="BK103" s="186"/>
    </row>
    <row r="104" spans="1:63">
      <c r="A104" s="185"/>
      <c r="B104" s="185"/>
      <c r="C104" s="185"/>
      <c r="D104" s="185"/>
      <c r="E104" s="185"/>
      <c r="F104" s="185"/>
      <c r="G104" s="185"/>
      <c r="H104" s="185"/>
      <c r="I104" s="185"/>
      <c r="J104" s="185"/>
      <c r="K104" s="185"/>
      <c r="L104" s="185"/>
      <c r="M104" s="185"/>
      <c r="N104" s="185"/>
      <c r="O104" s="185"/>
      <c r="P104" s="185"/>
      <c r="Q104" s="185"/>
      <c r="R104" s="185"/>
      <c r="S104" s="185"/>
      <c r="T104" s="185"/>
      <c r="U104" s="185"/>
      <c r="V104" s="185"/>
      <c r="W104" s="185"/>
      <c r="X104" s="185"/>
      <c r="Y104" s="185"/>
      <c r="Z104" s="185"/>
      <c r="AA104" s="185"/>
      <c r="AB104" s="185"/>
      <c r="AC104" s="185"/>
      <c r="AD104" s="185"/>
      <c r="AE104" s="185"/>
      <c r="AF104" s="185"/>
      <c r="AG104" s="185"/>
      <c r="AH104" s="185"/>
      <c r="AI104" s="185"/>
      <c r="AJ104" s="185"/>
      <c r="AK104" s="185"/>
      <c r="AL104" s="185"/>
      <c r="AM104" s="185"/>
      <c r="AN104" s="185"/>
      <c r="AO104" s="185"/>
      <c r="AP104" s="185"/>
      <c r="AQ104" s="185"/>
      <c r="AR104" s="185"/>
      <c r="AS104" s="185"/>
      <c r="AT104" s="185"/>
      <c r="AU104" s="185"/>
      <c r="AV104" s="185"/>
      <c r="AW104" s="185"/>
      <c r="AX104" s="185"/>
      <c r="AY104" s="185"/>
      <c r="AZ104" s="185"/>
      <c r="BA104" s="185"/>
      <c r="BB104" s="185"/>
      <c r="BC104" s="185"/>
      <c r="BD104" s="185"/>
      <c r="BE104" s="185"/>
      <c r="BF104" s="185"/>
      <c r="BG104" s="185"/>
      <c r="BH104" s="185"/>
      <c r="BI104" s="185"/>
      <c r="BJ104" s="185"/>
      <c r="BK104" s="186"/>
    </row>
    <row r="105" spans="1:63">
      <c r="A105" s="185"/>
      <c r="B105" s="185"/>
      <c r="C105" s="185"/>
      <c r="D105" s="185"/>
      <c r="E105" s="185"/>
      <c r="F105" s="185"/>
      <c r="G105" s="185"/>
      <c r="H105" s="185"/>
      <c r="I105" s="185"/>
      <c r="J105" s="185"/>
      <c r="K105" s="185"/>
      <c r="L105" s="185"/>
      <c r="M105" s="185"/>
      <c r="N105" s="185"/>
      <c r="O105" s="185"/>
      <c r="P105" s="185"/>
      <c r="Q105" s="185"/>
      <c r="R105" s="185"/>
      <c r="S105" s="185"/>
      <c r="T105" s="185"/>
      <c r="U105" s="185"/>
      <c r="V105" s="185"/>
      <c r="W105" s="185"/>
      <c r="X105" s="185"/>
      <c r="Y105" s="185"/>
      <c r="Z105" s="185"/>
      <c r="AA105" s="185"/>
      <c r="AB105" s="185"/>
      <c r="AC105" s="185"/>
      <c r="AD105" s="185"/>
      <c r="AE105" s="185"/>
      <c r="AF105" s="185"/>
      <c r="AG105" s="185"/>
      <c r="AH105" s="185"/>
      <c r="AI105" s="185"/>
      <c r="AJ105" s="185"/>
      <c r="AK105" s="185"/>
      <c r="AL105" s="185"/>
      <c r="AM105" s="185"/>
      <c r="AN105" s="185"/>
      <c r="AO105" s="185"/>
      <c r="AP105" s="185"/>
      <c r="AQ105" s="185"/>
      <c r="AR105" s="185"/>
      <c r="AS105" s="185"/>
      <c r="AT105" s="185"/>
      <c r="AU105" s="185"/>
      <c r="AV105" s="185"/>
      <c r="AW105" s="185"/>
      <c r="AX105" s="185"/>
      <c r="AY105" s="185"/>
      <c r="AZ105" s="185"/>
      <c r="BA105" s="185"/>
      <c r="BB105" s="185"/>
      <c r="BC105" s="185"/>
      <c r="BD105" s="185"/>
      <c r="BE105" s="185"/>
      <c r="BF105" s="185"/>
      <c r="BG105" s="185"/>
      <c r="BH105" s="185"/>
      <c r="BI105" s="185"/>
      <c r="BJ105" s="185"/>
      <c r="BK105" s="186"/>
    </row>
    <row r="106" spans="1:63">
      <c r="A106" s="185"/>
      <c r="B106" s="185"/>
      <c r="C106" s="185"/>
      <c r="D106" s="185"/>
      <c r="E106" s="185"/>
      <c r="F106" s="185"/>
      <c r="G106" s="185"/>
      <c r="H106" s="185"/>
      <c r="I106" s="185"/>
      <c r="J106" s="185"/>
      <c r="K106" s="185"/>
      <c r="L106" s="185"/>
      <c r="M106" s="185"/>
      <c r="N106" s="185"/>
      <c r="O106" s="185"/>
      <c r="P106" s="185"/>
      <c r="Q106" s="185"/>
      <c r="R106" s="185"/>
      <c r="S106" s="185"/>
      <c r="T106" s="185"/>
      <c r="U106" s="185"/>
      <c r="V106" s="185"/>
      <c r="W106" s="185"/>
      <c r="X106" s="185"/>
      <c r="Y106" s="185"/>
      <c r="Z106" s="185"/>
      <c r="AA106" s="185"/>
      <c r="AB106" s="185"/>
      <c r="AC106" s="185"/>
      <c r="AD106" s="185"/>
      <c r="AE106" s="185"/>
      <c r="AF106" s="185"/>
      <c r="AG106" s="185"/>
      <c r="AH106" s="185"/>
      <c r="AI106" s="185"/>
      <c r="AJ106" s="185"/>
      <c r="AK106" s="185"/>
      <c r="AL106" s="185"/>
      <c r="AM106" s="185"/>
      <c r="AN106" s="185"/>
      <c r="AO106" s="185"/>
      <c r="AP106" s="185"/>
      <c r="AQ106" s="185"/>
      <c r="AR106" s="185"/>
      <c r="AS106" s="185"/>
      <c r="AT106" s="185"/>
      <c r="AU106" s="185"/>
      <c r="AV106" s="185"/>
      <c r="AW106" s="185"/>
      <c r="AX106" s="185"/>
      <c r="AY106" s="185"/>
      <c r="AZ106" s="185"/>
      <c r="BA106" s="185"/>
      <c r="BB106" s="185"/>
      <c r="BC106" s="185"/>
      <c r="BD106" s="185"/>
      <c r="BE106" s="185"/>
      <c r="BF106" s="185"/>
      <c r="BG106" s="185"/>
      <c r="BH106" s="185"/>
      <c r="BI106" s="185"/>
      <c r="BJ106" s="185"/>
      <c r="BK106" s="186"/>
    </row>
    <row r="107" spans="1:63">
      <c r="A107" s="185"/>
      <c r="B107" s="185"/>
      <c r="C107" s="185"/>
      <c r="D107" s="185"/>
      <c r="E107" s="185"/>
      <c r="F107" s="185"/>
      <c r="G107" s="185"/>
      <c r="H107" s="185"/>
      <c r="I107" s="185"/>
      <c r="J107" s="185"/>
      <c r="K107" s="185"/>
      <c r="L107" s="185"/>
      <c r="M107" s="185"/>
      <c r="N107" s="185"/>
      <c r="O107" s="185"/>
      <c r="P107" s="185"/>
      <c r="Q107" s="185"/>
      <c r="R107" s="185"/>
      <c r="S107" s="185"/>
      <c r="T107" s="185"/>
      <c r="U107" s="185"/>
      <c r="V107" s="185"/>
      <c r="W107" s="185"/>
      <c r="X107" s="185"/>
      <c r="Y107" s="185"/>
      <c r="Z107" s="185"/>
      <c r="AA107" s="185"/>
      <c r="AB107" s="185"/>
      <c r="AC107" s="185"/>
      <c r="AD107" s="185"/>
      <c r="AE107" s="185"/>
      <c r="AF107" s="185"/>
      <c r="AG107" s="185"/>
      <c r="AH107" s="185"/>
      <c r="AI107" s="185"/>
      <c r="AJ107" s="185"/>
      <c r="AK107" s="185"/>
      <c r="AL107" s="185"/>
      <c r="AM107" s="185"/>
      <c r="AN107" s="185"/>
      <c r="AO107" s="185"/>
      <c r="AP107" s="185"/>
      <c r="AQ107" s="185"/>
      <c r="AR107" s="185"/>
      <c r="AS107" s="185"/>
      <c r="AT107" s="185"/>
      <c r="AU107" s="185"/>
      <c r="AV107" s="185"/>
      <c r="AW107" s="185"/>
      <c r="AX107" s="185"/>
      <c r="AY107" s="185"/>
      <c r="AZ107" s="185"/>
      <c r="BA107" s="185"/>
      <c r="BB107" s="185"/>
      <c r="BC107" s="185"/>
      <c r="BD107" s="185"/>
      <c r="BE107" s="185"/>
      <c r="BF107" s="185"/>
      <c r="BG107" s="185"/>
      <c r="BH107" s="185"/>
      <c r="BI107" s="185"/>
      <c r="BJ107" s="185"/>
      <c r="BK107" s="186"/>
    </row>
    <row r="108" spans="1:63">
      <c r="A108" s="185"/>
      <c r="B108" s="185"/>
      <c r="C108" s="185"/>
      <c r="D108" s="185"/>
      <c r="E108" s="185"/>
      <c r="F108" s="185"/>
      <c r="G108" s="185"/>
      <c r="H108" s="185"/>
      <c r="I108" s="185"/>
      <c r="J108" s="185"/>
      <c r="K108" s="185"/>
      <c r="L108" s="185"/>
      <c r="M108" s="185"/>
      <c r="N108" s="185"/>
      <c r="O108" s="185"/>
      <c r="P108" s="185"/>
      <c r="Q108" s="185"/>
      <c r="R108" s="185"/>
      <c r="S108" s="185"/>
      <c r="T108" s="185"/>
      <c r="U108" s="185"/>
      <c r="V108" s="185"/>
      <c r="W108" s="185"/>
      <c r="X108" s="185"/>
      <c r="Y108" s="185"/>
      <c r="Z108" s="185"/>
      <c r="AA108" s="185"/>
      <c r="AB108" s="185"/>
      <c r="AC108" s="185"/>
      <c r="AD108" s="185"/>
      <c r="AE108" s="185"/>
      <c r="AF108" s="185"/>
      <c r="AG108" s="185"/>
      <c r="AH108" s="185"/>
      <c r="AI108" s="185"/>
      <c r="AJ108" s="185"/>
      <c r="AK108" s="185"/>
      <c r="AL108" s="185"/>
      <c r="AM108" s="185"/>
      <c r="AN108" s="185"/>
      <c r="AO108" s="185"/>
      <c r="AP108" s="185"/>
      <c r="AQ108" s="185"/>
      <c r="AR108" s="185"/>
      <c r="AS108" s="185"/>
      <c r="AT108" s="185"/>
      <c r="AU108" s="185"/>
      <c r="AV108" s="185"/>
      <c r="AW108" s="185"/>
      <c r="AX108" s="185"/>
      <c r="AY108" s="185"/>
      <c r="AZ108" s="185"/>
      <c r="BA108" s="185"/>
      <c r="BB108" s="185"/>
      <c r="BC108" s="185"/>
      <c r="BD108" s="185"/>
      <c r="BE108" s="185"/>
      <c r="BF108" s="185"/>
      <c r="BG108" s="185"/>
      <c r="BH108" s="185"/>
      <c r="BI108" s="185"/>
      <c r="BJ108" s="185"/>
      <c r="BK108" s="186"/>
    </row>
    <row r="109" spans="1:63">
      <c r="A109" s="185"/>
      <c r="B109" s="185"/>
      <c r="C109" s="185"/>
      <c r="D109" s="185"/>
      <c r="E109" s="185"/>
      <c r="F109" s="185"/>
      <c r="G109" s="185"/>
      <c r="H109" s="185"/>
      <c r="I109" s="185"/>
      <c r="J109" s="185"/>
      <c r="K109" s="185"/>
      <c r="L109" s="185"/>
      <c r="M109" s="185"/>
      <c r="N109" s="185"/>
      <c r="O109" s="185"/>
      <c r="P109" s="185"/>
      <c r="Q109" s="185"/>
      <c r="R109" s="185"/>
      <c r="S109" s="185"/>
      <c r="T109" s="185"/>
      <c r="U109" s="185"/>
      <c r="V109" s="185"/>
      <c r="W109" s="185"/>
      <c r="X109" s="185"/>
      <c r="Y109" s="185"/>
      <c r="Z109" s="185"/>
      <c r="AA109" s="185"/>
      <c r="AB109" s="185"/>
      <c r="AC109" s="185"/>
      <c r="AD109" s="185"/>
      <c r="AE109" s="185"/>
      <c r="AF109" s="185"/>
      <c r="AG109" s="185"/>
      <c r="AH109" s="185"/>
      <c r="AI109" s="185"/>
      <c r="AJ109" s="185"/>
      <c r="AK109" s="185"/>
      <c r="AL109" s="185"/>
      <c r="AM109" s="185"/>
      <c r="AN109" s="185"/>
      <c r="AO109" s="185"/>
      <c r="AP109" s="185"/>
      <c r="AQ109" s="185"/>
      <c r="AR109" s="185"/>
      <c r="AS109" s="185"/>
      <c r="AT109" s="185"/>
      <c r="AU109" s="185"/>
      <c r="AV109" s="185"/>
      <c r="AW109" s="185"/>
      <c r="AX109" s="185"/>
      <c r="AY109" s="185"/>
      <c r="AZ109" s="185"/>
      <c r="BA109" s="185"/>
      <c r="BB109" s="185"/>
      <c r="BC109" s="185"/>
      <c r="BD109" s="185"/>
      <c r="BE109" s="185"/>
      <c r="BF109" s="185"/>
      <c r="BG109" s="185"/>
      <c r="BH109" s="185"/>
      <c r="BI109" s="185"/>
      <c r="BJ109" s="185"/>
      <c r="BK109" s="186"/>
    </row>
    <row r="110" spans="1:63">
      <c r="A110" s="185"/>
      <c r="B110" s="185"/>
      <c r="C110" s="185"/>
      <c r="D110" s="185"/>
      <c r="E110" s="185"/>
      <c r="F110" s="185"/>
      <c r="G110" s="185"/>
      <c r="H110" s="185"/>
      <c r="I110" s="185"/>
      <c r="J110" s="185"/>
      <c r="K110" s="185"/>
      <c r="L110" s="185"/>
      <c r="M110" s="185"/>
      <c r="N110" s="185"/>
      <c r="O110" s="185"/>
      <c r="P110" s="185"/>
      <c r="Q110" s="185"/>
      <c r="R110" s="185"/>
      <c r="S110" s="185"/>
      <c r="T110" s="185"/>
      <c r="U110" s="185"/>
      <c r="V110" s="185"/>
      <c r="W110" s="185"/>
      <c r="X110" s="185"/>
      <c r="Y110" s="185"/>
      <c r="Z110" s="185"/>
      <c r="AA110" s="185"/>
      <c r="AB110" s="185"/>
      <c r="AC110" s="185"/>
      <c r="AD110" s="185"/>
      <c r="AE110" s="185"/>
      <c r="AF110" s="185"/>
      <c r="AG110" s="185"/>
      <c r="AH110" s="185"/>
      <c r="AI110" s="185"/>
      <c r="AJ110" s="185"/>
      <c r="AK110" s="185"/>
      <c r="AL110" s="185"/>
      <c r="AM110" s="185"/>
      <c r="AN110" s="185"/>
      <c r="AO110" s="185"/>
      <c r="AP110" s="185"/>
      <c r="AQ110" s="185"/>
      <c r="AR110" s="185"/>
      <c r="AS110" s="185"/>
      <c r="AT110" s="185"/>
      <c r="AU110" s="185"/>
      <c r="AV110" s="185"/>
      <c r="AW110" s="185"/>
      <c r="AX110" s="185"/>
      <c r="AY110" s="185"/>
      <c r="AZ110" s="185"/>
      <c r="BA110" s="185"/>
      <c r="BB110" s="185"/>
      <c r="BC110" s="185"/>
      <c r="BD110" s="185"/>
      <c r="BE110" s="185"/>
      <c r="BF110" s="185"/>
      <c r="BG110" s="185"/>
      <c r="BH110" s="185"/>
      <c r="BI110" s="185"/>
      <c r="BJ110" s="185"/>
      <c r="BK110" s="186"/>
    </row>
    <row r="111" spans="1:63">
      <c r="A111" s="185"/>
      <c r="B111" s="185"/>
      <c r="C111" s="185"/>
      <c r="D111" s="185"/>
      <c r="E111" s="185"/>
      <c r="F111" s="185"/>
      <c r="G111" s="185"/>
      <c r="H111" s="185"/>
      <c r="I111" s="185"/>
      <c r="J111" s="185"/>
      <c r="K111" s="185"/>
      <c r="L111" s="185"/>
      <c r="M111" s="185"/>
      <c r="N111" s="185"/>
      <c r="O111" s="185"/>
      <c r="P111" s="185"/>
      <c r="Q111" s="185"/>
      <c r="R111" s="185"/>
      <c r="S111" s="185"/>
      <c r="T111" s="185"/>
      <c r="U111" s="185"/>
      <c r="V111" s="185"/>
      <c r="W111" s="185"/>
      <c r="X111" s="185"/>
      <c r="Y111" s="185"/>
      <c r="Z111" s="185"/>
      <c r="AA111" s="185"/>
      <c r="AB111" s="185"/>
      <c r="AC111" s="185"/>
      <c r="AD111" s="185"/>
      <c r="AE111" s="185"/>
      <c r="AF111" s="185"/>
      <c r="AG111" s="185"/>
      <c r="AH111" s="185"/>
      <c r="AI111" s="185"/>
      <c r="AJ111" s="185"/>
      <c r="AK111" s="185"/>
      <c r="AL111" s="185"/>
      <c r="AM111" s="185"/>
      <c r="AN111" s="185"/>
      <c r="AO111" s="185"/>
      <c r="AP111" s="185"/>
      <c r="AQ111" s="185"/>
      <c r="AR111" s="185"/>
      <c r="AS111" s="185"/>
      <c r="AT111" s="185"/>
      <c r="AU111" s="185"/>
      <c r="AV111" s="185"/>
      <c r="AW111" s="185"/>
      <c r="AX111" s="185"/>
      <c r="AY111" s="185"/>
      <c r="AZ111" s="185"/>
      <c r="BA111" s="185"/>
      <c r="BB111" s="185"/>
      <c r="BC111" s="185"/>
      <c r="BD111" s="185"/>
      <c r="BE111" s="185"/>
      <c r="BF111" s="185"/>
      <c r="BG111" s="185"/>
      <c r="BH111" s="185"/>
      <c r="BI111" s="185"/>
      <c r="BJ111" s="185"/>
      <c r="BK111" s="186"/>
    </row>
    <row r="112" spans="1:63">
      <c r="A112" s="185"/>
      <c r="B112" s="185"/>
      <c r="C112" s="185"/>
      <c r="D112" s="185"/>
      <c r="E112" s="185"/>
      <c r="F112" s="185"/>
      <c r="G112" s="185"/>
      <c r="H112" s="185"/>
      <c r="I112" s="185"/>
      <c r="J112" s="185"/>
      <c r="K112" s="185"/>
      <c r="L112" s="185"/>
      <c r="M112" s="185"/>
      <c r="N112" s="185"/>
      <c r="O112" s="185"/>
      <c r="P112" s="185"/>
      <c r="Q112" s="185"/>
      <c r="R112" s="185"/>
      <c r="S112" s="185"/>
      <c r="T112" s="185"/>
      <c r="U112" s="185"/>
      <c r="V112" s="185"/>
      <c r="W112" s="185"/>
      <c r="X112" s="185"/>
      <c r="Y112" s="185"/>
      <c r="Z112" s="185"/>
      <c r="AA112" s="185"/>
      <c r="AB112" s="185"/>
      <c r="AC112" s="185"/>
      <c r="AD112" s="185"/>
      <c r="AE112" s="185"/>
      <c r="AF112" s="185"/>
      <c r="AG112" s="185"/>
      <c r="AH112" s="185"/>
      <c r="AI112" s="185"/>
      <c r="AJ112" s="185"/>
      <c r="AK112" s="185"/>
      <c r="AL112" s="185"/>
      <c r="AM112" s="185"/>
      <c r="AN112" s="185"/>
      <c r="AO112" s="185"/>
      <c r="AP112" s="185"/>
      <c r="AQ112" s="185"/>
      <c r="AR112" s="185"/>
      <c r="AS112" s="185"/>
      <c r="AT112" s="185"/>
      <c r="AU112" s="185"/>
      <c r="AV112" s="185"/>
      <c r="AW112" s="185"/>
      <c r="AX112" s="185"/>
      <c r="AY112" s="185"/>
      <c r="AZ112" s="185"/>
      <c r="BA112" s="185"/>
      <c r="BB112" s="185"/>
      <c r="BC112" s="185"/>
      <c r="BD112" s="185"/>
      <c r="BE112" s="185"/>
      <c r="BF112" s="185"/>
      <c r="BG112" s="185"/>
      <c r="BH112" s="185"/>
      <c r="BI112" s="185"/>
      <c r="BJ112" s="185"/>
      <c r="BK112" s="186"/>
    </row>
    <row r="113" spans="1:63">
      <c r="A113" s="185"/>
      <c r="B113" s="185"/>
      <c r="C113" s="185"/>
      <c r="D113" s="185"/>
      <c r="E113" s="185"/>
      <c r="F113" s="185"/>
      <c r="G113" s="185"/>
      <c r="H113" s="185"/>
      <c r="I113" s="185"/>
      <c r="J113" s="185"/>
      <c r="K113" s="185"/>
      <c r="L113" s="185"/>
      <c r="M113" s="185"/>
      <c r="N113" s="185"/>
      <c r="O113" s="185"/>
      <c r="P113" s="185"/>
      <c r="Q113" s="185"/>
      <c r="R113" s="185"/>
      <c r="S113" s="185"/>
      <c r="T113" s="185"/>
      <c r="U113" s="185"/>
      <c r="V113" s="185"/>
      <c r="W113" s="185"/>
      <c r="X113" s="185"/>
      <c r="Y113" s="185"/>
      <c r="Z113" s="185"/>
      <c r="AA113" s="185"/>
      <c r="AB113" s="185"/>
      <c r="AC113" s="185"/>
      <c r="AD113" s="185"/>
      <c r="AE113" s="185"/>
      <c r="AF113" s="185"/>
      <c r="AG113" s="185"/>
      <c r="AH113" s="185"/>
      <c r="AI113" s="185"/>
      <c r="AJ113" s="185"/>
      <c r="AK113" s="185"/>
      <c r="AL113" s="185"/>
      <c r="AM113" s="185"/>
      <c r="AN113" s="185"/>
      <c r="AO113" s="185"/>
      <c r="AP113" s="185"/>
      <c r="AQ113" s="185"/>
      <c r="AR113" s="185"/>
      <c r="AS113" s="185"/>
      <c r="AT113" s="185"/>
      <c r="AU113" s="185"/>
      <c r="AV113" s="185"/>
      <c r="AW113" s="185"/>
      <c r="AX113" s="185"/>
      <c r="AY113" s="185"/>
      <c r="AZ113" s="185"/>
      <c r="BA113" s="185"/>
      <c r="BB113" s="185"/>
      <c r="BC113" s="185"/>
      <c r="BD113" s="185"/>
      <c r="BE113" s="185"/>
      <c r="BF113" s="185"/>
      <c r="BG113" s="185"/>
      <c r="BH113" s="185"/>
      <c r="BI113" s="185"/>
      <c r="BJ113" s="185"/>
      <c r="BK113" s="186"/>
    </row>
    <row r="114" spans="1:63">
      <c r="A114" s="185"/>
      <c r="B114" s="185"/>
      <c r="C114" s="185"/>
      <c r="D114" s="185"/>
      <c r="E114" s="185"/>
      <c r="F114" s="185"/>
      <c r="G114" s="185"/>
      <c r="H114" s="185"/>
      <c r="I114" s="185"/>
      <c r="J114" s="185"/>
      <c r="K114" s="185"/>
      <c r="L114" s="185"/>
      <c r="M114" s="185"/>
      <c r="N114" s="185"/>
      <c r="O114" s="185"/>
      <c r="P114" s="185"/>
      <c r="Q114" s="185"/>
      <c r="R114" s="185"/>
      <c r="S114" s="185"/>
      <c r="T114" s="185"/>
      <c r="U114" s="185"/>
      <c r="V114" s="185"/>
      <c r="W114" s="185"/>
      <c r="X114" s="185"/>
      <c r="Y114" s="185"/>
      <c r="Z114" s="185"/>
      <c r="AA114" s="185"/>
      <c r="AB114" s="185"/>
      <c r="AC114" s="185"/>
      <c r="AD114" s="185"/>
      <c r="AE114" s="185"/>
      <c r="AF114" s="185"/>
      <c r="AG114" s="185"/>
      <c r="AH114" s="185"/>
      <c r="AI114" s="185"/>
      <c r="AJ114" s="185"/>
      <c r="AK114" s="185"/>
      <c r="AL114" s="185"/>
      <c r="AM114" s="185"/>
      <c r="AN114" s="185"/>
      <c r="AO114" s="185"/>
      <c r="AP114" s="185"/>
      <c r="AQ114" s="185"/>
      <c r="AR114" s="185"/>
      <c r="AS114" s="185"/>
      <c r="AT114" s="185"/>
      <c r="AU114" s="185"/>
      <c r="AV114" s="185"/>
      <c r="AW114" s="185"/>
      <c r="AX114" s="185"/>
      <c r="AY114" s="185"/>
      <c r="AZ114" s="185"/>
      <c r="BA114" s="185"/>
      <c r="BB114" s="185"/>
      <c r="BC114" s="185"/>
      <c r="BD114" s="185"/>
      <c r="BE114" s="185"/>
      <c r="BF114" s="185"/>
      <c r="BG114" s="185"/>
      <c r="BH114" s="185"/>
      <c r="BI114" s="185"/>
      <c r="BJ114" s="185"/>
      <c r="BK114" s="186"/>
    </row>
    <row r="115" spans="1:63">
      <c r="A115" s="185"/>
      <c r="B115" s="185"/>
      <c r="C115" s="185"/>
      <c r="D115" s="185"/>
      <c r="E115" s="185"/>
      <c r="F115" s="185"/>
      <c r="G115" s="185"/>
      <c r="H115" s="185"/>
      <c r="I115" s="185"/>
      <c r="J115" s="185"/>
      <c r="K115" s="185"/>
      <c r="L115" s="185"/>
      <c r="M115" s="185"/>
      <c r="N115" s="185"/>
      <c r="O115" s="185"/>
      <c r="P115" s="185"/>
      <c r="Q115" s="185"/>
      <c r="R115" s="185"/>
      <c r="S115" s="185"/>
      <c r="T115" s="185"/>
      <c r="U115" s="185"/>
      <c r="V115" s="185"/>
      <c r="W115" s="185"/>
      <c r="X115" s="185"/>
      <c r="Y115" s="185"/>
      <c r="Z115" s="185"/>
      <c r="AA115" s="185"/>
      <c r="AB115" s="185"/>
      <c r="AC115" s="185"/>
      <c r="AD115" s="185"/>
      <c r="AE115" s="185"/>
      <c r="AF115" s="185"/>
      <c r="AG115" s="185"/>
      <c r="AH115" s="185"/>
      <c r="AI115" s="185"/>
      <c r="AJ115" s="185"/>
      <c r="AK115" s="185"/>
      <c r="AL115" s="185"/>
      <c r="AM115" s="185"/>
      <c r="AN115" s="185"/>
      <c r="AO115" s="185"/>
      <c r="AP115" s="185"/>
      <c r="AQ115" s="185"/>
      <c r="AR115" s="185"/>
      <c r="AS115" s="185"/>
      <c r="AT115" s="185"/>
      <c r="AU115" s="185"/>
      <c r="AV115" s="185"/>
      <c r="AW115" s="185"/>
      <c r="AX115" s="185"/>
      <c r="AY115" s="185"/>
      <c r="AZ115" s="185"/>
      <c r="BA115" s="185"/>
      <c r="BB115" s="185"/>
      <c r="BC115" s="185"/>
      <c r="BD115" s="185"/>
      <c r="BE115" s="185"/>
      <c r="BF115" s="185"/>
      <c r="BG115" s="185"/>
      <c r="BH115" s="185"/>
      <c r="BI115" s="185"/>
      <c r="BJ115" s="185"/>
      <c r="BK115" s="186"/>
    </row>
    <row r="116" spans="1:63">
      <c r="A116" s="185"/>
      <c r="B116" s="185"/>
      <c r="C116" s="185"/>
      <c r="D116" s="185"/>
      <c r="E116" s="185"/>
      <c r="F116" s="185"/>
      <c r="G116" s="185"/>
      <c r="H116" s="185"/>
      <c r="I116" s="185"/>
      <c r="J116" s="185"/>
      <c r="K116" s="185"/>
      <c r="L116" s="185"/>
      <c r="M116" s="185"/>
      <c r="N116" s="185"/>
      <c r="O116" s="185"/>
      <c r="P116" s="185"/>
      <c r="Q116" s="185"/>
      <c r="R116" s="185"/>
      <c r="S116" s="185"/>
      <c r="T116" s="185"/>
      <c r="U116" s="185"/>
      <c r="V116" s="185"/>
      <c r="W116" s="185"/>
      <c r="X116" s="185"/>
      <c r="Y116" s="185"/>
      <c r="Z116" s="185"/>
      <c r="AA116" s="185"/>
      <c r="AB116" s="185"/>
      <c r="AC116" s="185"/>
      <c r="AD116" s="185"/>
      <c r="AE116" s="185"/>
      <c r="AF116" s="185"/>
      <c r="AG116" s="185"/>
      <c r="AH116" s="185"/>
      <c r="AI116" s="185"/>
      <c r="AJ116" s="185"/>
      <c r="AK116" s="185"/>
      <c r="AL116" s="185"/>
      <c r="AM116" s="185"/>
      <c r="AN116" s="185"/>
      <c r="AO116" s="185"/>
      <c r="AP116" s="185"/>
      <c r="AQ116" s="185"/>
      <c r="AR116" s="185"/>
      <c r="AS116" s="185"/>
      <c r="AT116" s="185"/>
      <c r="AU116" s="185"/>
      <c r="AV116" s="185"/>
      <c r="AW116" s="185"/>
      <c r="AX116" s="185"/>
      <c r="AY116" s="185"/>
      <c r="AZ116" s="185"/>
      <c r="BA116" s="185"/>
      <c r="BB116" s="185"/>
      <c r="BC116" s="185"/>
      <c r="BD116" s="185"/>
      <c r="BE116" s="185"/>
      <c r="BF116" s="185"/>
      <c r="BG116" s="185"/>
      <c r="BH116" s="185"/>
      <c r="BI116" s="185"/>
      <c r="BJ116" s="185"/>
      <c r="BK116" s="186"/>
    </row>
    <row r="117" spans="1:63">
      <c r="A117" s="185"/>
      <c r="B117" s="185"/>
      <c r="C117" s="185"/>
      <c r="D117" s="185"/>
      <c r="E117" s="185"/>
      <c r="F117" s="185"/>
      <c r="G117" s="185"/>
      <c r="H117" s="185"/>
      <c r="I117" s="185"/>
      <c r="J117" s="185"/>
      <c r="K117" s="185"/>
      <c r="L117" s="185"/>
      <c r="M117" s="185"/>
      <c r="N117" s="185"/>
      <c r="O117" s="185"/>
      <c r="P117" s="185"/>
      <c r="Q117" s="185"/>
      <c r="R117" s="185"/>
      <c r="S117" s="185"/>
      <c r="T117" s="185"/>
      <c r="U117" s="185"/>
      <c r="V117" s="185"/>
      <c r="W117" s="185"/>
      <c r="X117" s="185"/>
      <c r="Y117" s="185"/>
      <c r="Z117" s="185"/>
      <c r="AA117" s="185"/>
      <c r="AB117" s="185"/>
      <c r="AC117" s="185"/>
      <c r="AD117" s="185"/>
      <c r="AE117" s="185"/>
      <c r="AF117" s="185"/>
      <c r="AG117" s="185"/>
      <c r="AH117" s="185"/>
      <c r="AI117" s="185"/>
      <c r="AJ117" s="185"/>
      <c r="AK117" s="185"/>
      <c r="AL117" s="185"/>
      <c r="AM117" s="185"/>
      <c r="AN117" s="185"/>
      <c r="AO117" s="185"/>
      <c r="AP117" s="185"/>
      <c r="AQ117" s="185"/>
      <c r="AR117" s="185"/>
      <c r="AS117" s="185"/>
      <c r="AT117" s="185"/>
      <c r="AU117" s="185"/>
      <c r="AV117" s="185"/>
      <c r="AW117" s="185"/>
      <c r="AX117" s="185"/>
      <c r="AY117" s="185"/>
      <c r="AZ117" s="185"/>
      <c r="BA117" s="185"/>
      <c r="BB117" s="185"/>
      <c r="BC117" s="185"/>
      <c r="BD117" s="185"/>
      <c r="BE117" s="185"/>
      <c r="BF117" s="185"/>
      <c r="BG117" s="185"/>
      <c r="BH117" s="185"/>
      <c r="BI117" s="185"/>
      <c r="BJ117" s="185"/>
      <c r="BK117" s="186"/>
    </row>
    <row r="118" spans="1:63">
      <c r="A118" s="185"/>
      <c r="B118" s="185"/>
      <c r="C118" s="185"/>
      <c r="D118" s="185"/>
      <c r="E118" s="185"/>
      <c r="F118" s="185"/>
      <c r="G118" s="185"/>
      <c r="H118" s="185"/>
      <c r="I118" s="185"/>
      <c r="J118" s="185"/>
      <c r="K118" s="185"/>
      <c r="L118" s="185"/>
      <c r="M118" s="185"/>
      <c r="N118" s="185"/>
      <c r="O118" s="185"/>
      <c r="P118" s="185"/>
      <c r="Q118" s="185"/>
      <c r="R118" s="185"/>
      <c r="S118" s="185"/>
      <c r="T118" s="185"/>
      <c r="U118" s="185"/>
      <c r="V118" s="185"/>
      <c r="W118" s="185"/>
      <c r="X118" s="185"/>
      <c r="Y118" s="185"/>
      <c r="Z118" s="185"/>
      <c r="AA118" s="185"/>
      <c r="AB118" s="185"/>
      <c r="AC118" s="185"/>
      <c r="AD118" s="185"/>
      <c r="AE118" s="185"/>
      <c r="AF118" s="185"/>
      <c r="AG118" s="185"/>
      <c r="AH118" s="185"/>
      <c r="AI118" s="185"/>
      <c r="AJ118" s="185"/>
      <c r="AK118" s="185"/>
      <c r="AL118" s="185"/>
      <c r="AM118" s="185"/>
      <c r="AN118" s="185"/>
      <c r="AO118" s="185"/>
      <c r="AP118" s="185"/>
      <c r="AQ118" s="185"/>
      <c r="AR118" s="185"/>
      <c r="AS118" s="185"/>
      <c r="AT118" s="185"/>
      <c r="AU118" s="185"/>
      <c r="AV118" s="185"/>
      <c r="AW118" s="185"/>
      <c r="AX118" s="185"/>
      <c r="AY118" s="185"/>
      <c r="AZ118" s="185"/>
      <c r="BA118" s="185"/>
      <c r="BB118" s="185"/>
      <c r="BC118" s="185"/>
      <c r="BD118" s="185"/>
      <c r="BE118" s="185"/>
      <c r="BF118" s="185"/>
      <c r="BG118" s="185"/>
      <c r="BH118" s="185"/>
      <c r="BI118" s="185"/>
      <c r="BJ118" s="185"/>
      <c r="BK118" s="186"/>
    </row>
    <row r="119" spans="1:63">
      <c r="A119" s="185"/>
      <c r="B119" s="185"/>
      <c r="C119" s="185"/>
      <c r="D119" s="185"/>
      <c r="E119" s="185"/>
      <c r="F119" s="185"/>
      <c r="G119" s="185"/>
      <c r="H119" s="185"/>
      <c r="I119" s="185"/>
      <c r="J119" s="185"/>
      <c r="K119" s="185"/>
      <c r="L119" s="185"/>
      <c r="M119" s="185"/>
      <c r="N119" s="185"/>
      <c r="O119" s="185"/>
      <c r="P119" s="185"/>
      <c r="Q119" s="185"/>
      <c r="R119" s="185"/>
      <c r="S119" s="185"/>
      <c r="T119" s="185"/>
      <c r="U119" s="185"/>
      <c r="V119" s="185"/>
      <c r="W119" s="185"/>
      <c r="X119" s="185"/>
      <c r="Y119" s="185"/>
      <c r="Z119" s="185"/>
      <c r="AA119" s="185"/>
      <c r="AB119" s="185"/>
      <c r="AC119" s="185"/>
      <c r="AD119" s="185"/>
      <c r="AE119" s="185"/>
      <c r="AF119" s="185"/>
      <c r="AG119" s="185"/>
      <c r="AH119" s="185"/>
      <c r="AI119" s="185"/>
      <c r="AJ119" s="185"/>
      <c r="AK119" s="185"/>
      <c r="AL119" s="185"/>
      <c r="AM119" s="185"/>
      <c r="AN119" s="185"/>
      <c r="AO119" s="185"/>
      <c r="AP119" s="185"/>
      <c r="AQ119" s="185"/>
      <c r="AR119" s="185"/>
      <c r="AS119" s="185"/>
      <c r="AT119" s="185"/>
      <c r="AU119" s="185"/>
      <c r="AV119" s="185"/>
      <c r="AW119" s="185"/>
      <c r="AX119" s="185"/>
      <c r="AY119" s="185"/>
      <c r="AZ119" s="185"/>
      <c r="BA119" s="185"/>
      <c r="BB119" s="185"/>
      <c r="BC119" s="185"/>
      <c r="BD119" s="185"/>
      <c r="BE119" s="185"/>
      <c r="BF119" s="185"/>
      <c r="BG119" s="185"/>
      <c r="BH119" s="185"/>
      <c r="BI119" s="185"/>
      <c r="BJ119" s="185"/>
      <c r="BK119" s="186"/>
    </row>
    <row r="120" spans="1:63">
      <c r="A120" s="185"/>
      <c r="B120" s="185"/>
      <c r="C120" s="185"/>
      <c r="D120" s="185"/>
      <c r="E120" s="185"/>
      <c r="F120" s="185"/>
      <c r="G120" s="185"/>
      <c r="H120" s="185"/>
      <c r="I120" s="185"/>
      <c r="J120" s="185"/>
      <c r="K120" s="185"/>
      <c r="L120" s="185"/>
      <c r="M120" s="185"/>
      <c r="N120" s="185"/>
      <c r="O120" s="185"/>
      <c r="P120" s="185"/>
      <c r="Q120" s="185"/>
      <c r="R120" s="185"/>
      <c r="S120" s="185"/>
      <c r="T120" s="185"/>
      <c r="U120" s="185"/>
      <c r="V120" s="185"/>
      <c r="W120" s="185"/>
      <c r="X120" s="185"/>
      <c r="Y120" s="185"/>
      <c r="Z120" s="185"/>
      <c r="AA120" s="185"/>
      <c r="AB120" s="185"/>
      <c r="AC120" s="185"/>
      <c r="AD120" s="185"/>
      <c r="AE120" s="185"/>
      <c r="AF120" s="185"/>
      <c r="AG120" s="185"/>
      <c r="AH120" s="185"/>
      <c r="AI120" s="185"/>
      <c r="AJ120" s="185"/>
      <c r="AK120" s="185"/>
      <c r="AL120" s="185"/>
      <c r="AM120" s="185"/>
      <c r="AN120" s="185"/>
      <c r="AO120" s="185"/>
      <c r="AP120" s="185"/>
      <c r="AQ120" s="185"/>
      <c r="AR120" s="185"/>
      <c r="AS120" s="185"/>
      <c r="AT120" s="185"/>
      <c r="AU120" s="185"/>
      <c r="AV120" s="185"/>
      <c r="AW120" s="185"/>
      <c r="AX120" s="185"/>
      <c r="AY120" s="185"/>
      <c r="AZ120" s="185"/>
      <c r="BA120" s="185"/>
      <c r="BB120" s="185"/>
      <c r="BC120" s="185"/>
      <c r="BD120" s="185"/>
      <c r="BE120" s="185"/>
      <c r="BF120" s="185"/>
      <c r="BG120" s="185"/>
      <c r="BH120" s="185"/>
      <c r="BI120" s="185"/>
      <c r="BJ120" s="185"/>
      <c r="BK120" s="186"/>
    </row>
    <row r="121" spans="1:63">
      <c r="A121" s="185"/>
      <c r="B121" s="185"/>
      <c r="C121" s="185"/>
      <c r="D121" s="185"/>
      <c r="E121" s="185"/>
      <c r="F121" s="185"/>
      <c r="G121" s="185"/>
      <c r="H121" s="185"/>
      <c r="I121" s="185"/>
      <c r="J121" s="185"/>
      <c r="K121" s="185"/>
      <c r="L121" s="185"/>
      <c r="M121" s="185"/>
      <c r="N121" s="185"/>
      <c r="O121" s="185"/>
      <c r="P121" s="185"/>
      <c r="Q121" s="185"/>
      <c r="R121" s="185"/>
      <c r="S121" s="185"/>
      <c r="T121" s="185"/>
      <c r="U121" s="185"/>
      <c r="V121" s="185"/>
      <c r="W121" s="185"/>
      <c r="X121" s="185"/>
      <c r="Y121" s="185"/>
      <c r="Z121" s="185"/>
      <c r="AA121" s="185"/>
      <c r="AB121" s="185"/>
      <c r="AC121" s="185"/>
      <c r="AD121" s="185"/>
      <c r="AE121" s="185"/>
      <c r="AF121" s="185"/>
      <c r="AG121" s="185"/>
      <c r="AH121" s="185"/>
      <c r="AI121" s="185"/>
      <c r="AJ121" s="185"/>
      <c r="AK121" s="185"/>
      <c r="AL121" s="185"/>
      <c r="AM121" s="185"/>
      <c r="AN121" s="185"/>
      <c r="AO121" s="185"/>
      <c r="AP121" s="185"/>
      <c r="AQ121" s="185"/>
      <c r="AR121" s="185"/>
      <c r="AS121" s="185"/>
      <c r="AT121" s="185"/>
      <c r="AU121" s="185"/>
      <c r="AV121" s="185"/>
      <c r="AW121" s="185"/>
      <c r="AX121" s="185"/>
      <c r="AY121" s="185"/>
      <c r="AZ121" s="185"/>
      <c r="BA121" s="185"/>
      <c r="BB121" s="185"/>
      <c r="BC121" s="185"/>
      <c r="BD121" s="185"/>
      <c r="BE121" s="185"/>
      <c r="BF121" s="185"/>
      <c r="BG121" s="185"/>
      <c r="BH121" s="185"/>
      <c r="BI121" s="185"/>
      <c r="BJ121" s="185"/>
      <c r="BK121" s="186"/>
    </row>
    <row r="122" spans="1:63">
      <c r="A122" s="185"/>
      <c r="B122" s="185"/>
      <c r="C122" s="185"/>
      <c r="D122" s="185"/>
      <c r="E122" s="185"/>
      <c r="F122" s="185"/>
      <c r="G122" s="185"/>
      <c r="H122" s="185"/>
      <c r="I122" s="185"/>
      <c r="J122" s="185"/>
      <c r="K122" s="185"/>
      <c r="L122" s="185"/>
      <c r="M122" s="185"/>
      <c r="N122" s="185"/>
      <c r="O122" s="185"/>
      <c r="P122" s="185"/>
      <c r="Q122" s="185"/>
      <c r="R122" s="185"/>
      <c r="S122" s="185"/>
      <c r="T122" s="185"/>
      <c r="U122" s="185"/>
      <c r="V122" s="185"/>
      <c r="W122" s="185"/>
      <c r="X122" s="185"/>
      <c r="Y122" s="185"/>
      <c r="Z122" s="185"/>
      <c r="AA122" s="185"/>
      <c r="AB122" s="185"/>
      <c r="AC122" s="185"/>
      <c r="AD122" s="185"/>
      <c r="AE122" s="185"/>
      <c r="AF122" s="185"/>
      <c r="AG122" s="185"/>
      <c r="AH122" s="185"/>
      <c r="AI122" s="185"/>
      <c r="AJ122" s="185"/>
      <c r="AK122" s="185"/>
      <c r="AL122" s="185"/>
      <c r="AM122" s="185"/>
      <c r="AN122" s="185"/>
      <c r="AO122" s="185"/>
      <c r="AP122" s="185"/>
      <c r="AQ122" s="185"/>
      <c r="AR122" s="185"/>
      <c r="AS122" s="185"/>
      <c r="AT122" s="185"/>
      <c r="AU122" s="185"/>
      <c r="AV122" s="185"/>
      <c r="AW122" s="185"/>
      <c r="AX122" s="185"/>
      <c r="AY122" s="185"/>
      <c r="AZ122" s="185"/>
      <c r="BA122" s="185"/>
      <c r="BB122" s="185"/>
      <c r="BC122" s="185"/>
      <c r="BD122" s="185"/>
      <c r="BE122" s="185"/>
      <c r="BF122" s="185"/>
      <c r="BG122" s="185"/>
      <c r="BH122" s="185"/>
      <c r="BI122" s="185"/>
      <c r="BJ122" s="185"/>
      <c r="BK122" s="186"/>
    </row>
    <row r="123" spans="1:63">
      <c r="A123" s="185"/>
      <c r="B123" s="185"/>
      <c r="C123" s="185"/>
      <c r="D123" s="185"/>
      <c r="E123" s="185"/>
      <c r="F123" s="185"/>
      <c r="G123" s="185"/>
      <c r="H123" s="185"/>
      <c r="I123" s="185"/>
      <c r="J123" s="185"/>
      <c r="K123" s="185"/>
      <c r="L123" s="185"/>
      <c r="M123" s="185"/>
      <c r="N123" s="185"/>
      <c r="O123" s="185"/>
      <c r="P123" s="185"/>
      <c r="Q123" s="185"/>
      <c r="R123" s="185"/>
      <c r="S123" s="185"/>
      <c r="T123" s="185"/>
      <c r="U123" s="185"/>
      <c r="V123" s="185"/>
      <c r="W123" s="185"/>
      <c r="X123" s="185"/>
      <c r="Y123" s="185"/>
      <c r="Z123" s="185"/>
      <c r="AA123" s="185"/>
      <c r="AB123" s="185"/>
      <c r="AC123" s="185"/>
      <c r="AD123" s="185"/>
      <c r="AE123" s="185"/>
      <c r="AF123" s="185"/>
      <c r="AG123" s="185"/>
      <c r="AH123" s="185"/>
      <c r="AI123" s="185"/>
      <c r="AJ123" s="185"/>
      <c r="AK123" s="185"/>
      <c r="AL123" s="185"/>
      <c r="AM123" s="185"/>
      <c r="AN123" s="185"/>
      <c r="AO123" s="185"/>
      <c r="AP123" s="185"/>
      <c r="AQ123" s="185"/>
      <c r="AR123" s="185"/>
      <c r="AS123" s="185"/>
      <c r="AT123" s="185"/>
      <c r="AU123" s="185"/>
      <c r="AV123" s="185"/>
      <c r="AW123" s="185"/>
      <c r="AX123" s="185"/>
      <c r="AY123" s="185"/>
      <c r="AZ123" s="185"/>
      <c r="BA123" s="185"/>
      <c r="BB123" s="185"/>
      <c r="BC123" s="185"/>
      <c r="BD123" s="185"/>
      <c r="BE123" s="185"/>
      <c r="BF123" s="185"/>
      <c r="BG123" s="185"/>
      <c r="BH123" s="185"/>
      <c r="BI123" s="185"/>
      <c r="BJ123" s="185"/>
      <c r="BK123" s="186"/>
    </row>
    <row r="124" spans="1:63">
      <c r="A124" s="185"/>
      <c r="B124" s="185"/>
      <c r="C124" s="185"/>
      <c r="D124" s="185"/>
      <c r="E124" s="185"/>
      <c r="F124" s="185"/>
      <c r="G124" s="185"/>
      <c r="H124" s="185"/>
      <c r="I124" s="185"/>
      <c r="J124" s="185"/>
      <c r="K124" s="185"/>
      <c r="L124" s="185"/>
      <c r="M124" s="185"/>
      <c r="N124" s="185"/>
      <c r="O124" s="185"/>
      <c r="P124" s="185"/>
      <c r="Q124" s="185"/>
      <c r="R124" s="185"/>
      <c r="S124" s="185"/>
      <c r="T124" s="185"/>
      <c r="U124" s="185"/>
      <c r="V124" s="185"/>
      <c r="W124" s="185"/>
      <c r="X124" s="185"/>
      <c r="Y124" s="185"/>
      <c r="Z124" s="185"/>
      <c r="AA124" s="185"/>
      <c r="AB124" s="185"/>
      <c r="AC124" s="185"/>
      <c r="AD124" s="185"/>
      <c r="AE124" s="185"/>
      <c r="AF124" s="185"/>
      <c r="AG124" s="185"/>
      <c r="AH124" s="185"/>
      <c r="AI124" s="185"/>
      <c r="AJ124" s="185"/>
      <c r="AK124" s="185"/>
      <c r="AL124" s="185"/>
      <c r="AM124" s="185"/>
      <c r="AN124" s="185"/>
      <c r="AO124" s="185"/>
      <c r="AP124" s="185"/>
      <c r="AQ124" s="185"/>
      <c r="AR124" s="185"/>
      <c r="AS124" s="185"/>
      <c r="AT124" s="185"/>
      <c r="AU124" s="185"/>
      <c r="AV124" s="185"/>
      <c r="AW124" s="185"/>
      <c r="AX124" s="185"/>
      <c r="AY124" s="185"/>
      <c r="AZ124" s="185"/>
      <c r="BA124" s="185"/>
      <c r="BB124" s="185"/>
      <c r="BC124" s="185"/>
      <c r="BD124" s="185"/>
      <c r="BE124" s="185"/>
      <c r="BF124" s="185"/>
      <c r="BG124" s="185"/>
      <c r="BH124" s="185"/>
      <c r="BI124" s="185"/>
      <c r="BJ124" s="185"/>
      <c r="BK124" s="186"/>
    </row>
    <row r="125" spans="1:63">
      <c r="A125" s="185"/>
      <c r="B125" s="185"/>
      <c r="C125" s="185"/>
      <c r="D125" s="185"/>
      <c r="E125" s="185"/>
      <c r="F125" s="185"/>
      <c r="G125" s="185"/>
      <c r="H125" s="185"/>
      <c r="I125" s="185"/>
      <c r="J125" s="185"/>
      <c r="K125" s="185"/>
      <c r="L125" s="185"/>
      <c r="M125" s="185"/>
      <c r="N125" s="185"/>
      <c r="O125" s="185"/>
      <c r="P125" s="185"/>
      <c r="Q125" s="185"/>
      <c r="R125" s="185"/>
      <c r="S125" s="185"/>
      <c r="T125" s="185"/>
      <c r="U125" s="185"/>
      <c r="V125" s="185"/>
      <c r="W125" s="185"/>
      <c r="X125" s="185"/>
      <c r="Y125" s="185"/>
      <c r="Z125" s="185"/>
      <c r="AA125" s="185"/>
      <c r="AB125" s="185"/>
      <c r="AC125" s="185"/>
      <c r="AD125" s="185"/>
      <c r="AE125" s="185"/>
      <c r="AF125" s="185"/>
      <c r="AG125" s="185"/>
      <c r="AH125" s="185"/>
      <c r="AI125" s="185"/>
      <c r="AJ125" s="185"/>
      <c r="AK125" s="185"/>
      <c r="AL125" s="185"/>
      <c r="AM125" s="185"/>
      <c r="AN125" s="185"/>
      <c r="AO125" s="185"/>
      <c r="AP125" s="185"/>
      <c r="AQ125" s="185"/>
      <c r="AR125" s="185"/>
      <c r="AS125" s="185"/>
      <c r="AT125" s="185"/>
      <c r="AU125" s="185"/>
      <c r="AV125" s="185"/>
      <c r="AW125" s="185"/>
      <c r="AX125" s="185"/>
      <c r="AY125" s="185"/>
      <c r="AZ125" s="185"/>
      <c r="BA125" s="185"/>
      <c r="BB125" s="185"/>
      <c r="BC125" s="185"/>
      <c r="BD125" s="185"/>
      <c r="BE125" s="185"/>
      <c r="BF125" s="185"/>
      <c r="BG125" s="185"/>
      <c r="BH125" s="185"/>
      <c r="BI125" s="185"/>
      <c r="BJ125" s="185"/>
      <c r="BK125" s="186"/>
    </row>
    <row r="126" spans="1:63">
      <c r="A126" s="185"/>
      <c r="B126" s="185"/>
      <c r="C126" s="185"/>
      <c r="D126" s="185"/>
      <c r="E126" s="185"/>
      <c r="F126" s="185"/>
      <c r="G126" s="185"/>
      <c r="H126" s="185"/>
      <c r="I126" s="185"/>
      <c r="J126" s="185"/>
      <c r="K126" s="185"/>
      <c r="L126" s="185"/>
      <c r="M126" s="185"/>
      <c r="N126" s="185"/>
      <c r="O126" s="185"/>
      <c r="P126" s="185"/>
      <c r="Q126" s="185"/>
      <c r="R126" s="185"/>
      <c r="S126" s="185"/>
      <c r="T126" s="185"/>
      <c r="U126" s="185"/>
      <c r="V126" s="185"/>
      <c r="W126" s="185"/>
      <c r="X126" s="185"/>
      <c r="Y126" s="185"/>
      <c r="Z126" s="185"/>
      <c r="AA126" s="185"/>
      <c r="AB126" s="185"/>
      <c r="AC126" s="185"/>
      <c r="AD126" s="185"/>
      <c r="AE126" s="185"/>
      <c r="AF126" s="185"/>
      <c r="AG126" s="185"/>
      <c r="AH126" s="185"/>
      <c r="AI126" s="185"/>
      <c r="AJ126" s="185"/>
      <c r="AK126" s="185"/>
      <c r="AL126" s="185"/>
      <c r="AM126" s="185"/>
      <c r="AN126" s="185"/>
      <c r="AO126" s="185"/>
      <c r="AP126" s="185"/>
      <c r="AQ126" s="185"/>
      <c r="AR126" s="185"/>
      <c r="AS126" s="185"/>
      <c r="AT126" s="185"/>
      <c r="AU126" s="185"/>
      <c r="AV126" s="185"/>
      <c r="AW126" s="185"/>
      <c r="AX126" s="185"/>
      <c r="AY126" s="185"/>
      <c r="AZ126" s="185"/>
      <c r="BA126" s="185"/>
      <c r="BB126" s="185"/>
      <c r="BC126" s="185"/>
      <c r="BD126" s="185"/>
      <c r="BE126" s="185"/>
      <c r="BF126" s="185"/>
      <c r="BG126" s="185"/>
      <c r="BH126" s="185"/>
      <c r="BI126" s="185"/>
      <c r="BJ126" s="185"/>
      <c r="BK126" s="186"/>
    </row>
    <row r="127" spans="1:63">
      <c r="A127" s="185"/>
      <c r="B127" s="185"/>
      <c r="C127" s="185"/>
      <c r="D127" s="185"/>
      <c r="E127" s="185"/>
      <c r="F127" s="185"/>
      <c r="G127" s="185"/>
      <c r="H127" s="185"/>
      <c r="I127" s="185"/>
      <c r="J127" s="185"/>
      <c r="K127" s="185"/>
      <c r="L127" s="185"/>
      <c r="M127" s="185"/>
      <c r="N127" s="185"/>
      <c r="O127" s="185"/>
      <c r="P127" s="185"/>
      <c r="Q127" s="185"/>
      <c r="R127" s="185"/>
      <c r="S127" s="185"/>
      <c r="T127" s="185"/>
      <c r="U127" s="185"/>
      <c r="V127" s="185"/>
      <c r="W127" s="185"/>
      <c r="X127" s="185"/>
      <c r="Y127" s="185"/>
      <c r="Z127" s="185"/>
      <c r="AA127" s="185"/>
      <c r="AB127" s="185"/>
      <c r="AC127" s="185"/>
      <c r="AD127" s="185"/>
      <c r="AE127" s="185"/>
      <c r="AF127" s="185"/>
      <c r="AG127" s="185"/>
      <c r="AH127" s="185"/>
      <c r="AI127" s="185"/>
      <c r="AJ127" s="185"/>
      <c r="AK127" s="185"/>
      <c r="AL127" s="185"/>
      <c r="AM127" s="185"/>
      <c r="AN127" s="185"/>
      <c r="AO127" s="185"/>
      <c r="AP127" s="185"/>
      <c r="AQ127" s="185"/>
      <c r="AR127" s="185"/>
      <c r="AS127" s="185"/>
      <c r="AT127" s="185"/>
      <c r="AU127" s="185"/>
      <c r="AV127" s="185"/>
      <c r="AW127" s="185"/>
      <c r="AX127" s="185"/>
      <c r="AY127" s="185"/>
      <c r="AZ127" s="185"/>
      <c r="BA127" s="185"/>
      <c r="BB127" s="185"/>
      <c r="BC127" s="185"/>
      <c r="BD127" s="185"/>
      <c r="BE127" s="185"/>
      <c r="BF127" s="185"/>
      <c r="BG127" s="185"/>
      <c r="BH127" s="185"/>
      <c r="BI127" s="185"/>
      <c r="BJ127" s="185"/>
      <c r="BK127" s="186"/>
    </row>
    <row r="128" spans="1:63">
      <c r="A128" s="185"/>
      <c r="B128" s="185"/>
      <c r="C128" s="185"/>
      <c r="D128" s="185"/>
      <c r="E128" s="185"/>
      <c r="F128" s="185"/>
      <c r="G128" s="185"/>
      <c r="H128" s="185"/>
      <c r="I128" s="185"/>
      <c r="J128" s="185"/>
      <c r="K128" s="185"/>
      <c r="L128" s="185"/>
      <c r="M128" s="185"/>
      <c r="N128" s="185"/>
      <c r="O128" s="185"/>
      <c r="P128" s="185"/>
      <c r="Q128" s="185"/>
      <c r="R128" s="185"/>
      <c r="S128" s="185"/>
      <c r="T128" s="185"/>
      <c r="U128" s="185"/>
      <c r="V128" s="185"/>
      <c r="W128" s="185"/>
      <c r="X128" s="185"/>
      <c r="Y128" s="185"/>
      <c r="Z128" s="185"/>
      <c r="AA128" s="185"/>
      <c r="AB128" s="185"/>
      <c r="AC128" s="185"/>
      <c r="AD128" s="185"/>
      <c r="AE128" s="185"/>
      <c r="AF128" s="185"/>
      <c r="AG128" s="185"/>
      <c r="AH128" s="185"/>
      <c r="AI128" s="185"/>
      <c r="AJ128" s="185"/>
      <c r="AK128" s="185"/>
      <c r="AL128" s="185"/>
      <c r="AM128" s="185"/>
      <c r="AN128" s="185"/>
      <c r="AO128" s="185"/>
      <c r="AP128" s="185"/>
      <c r="AQ128" s="185"/>
      <c r="AR128" s="185"/>
      <c r="AS128" s="185"/>
      <c r="AT128" s="185"/>
      <c r="AU128" s="185"/>
      <c r="AV128" s="185"/>
      <c r="AW128" s="185"/>
      <c r="AX128" s="185"/>
      <c r="AY128" s="185"/>
      <c r="AZ128" s="185"/>
      <c r="BA128" s="185"/>
      <c r="BB128" s="185"/>
      <c r="BC128" s="185"/>
      <c r="BD128" s="185"/>
      <c r="BE128" s="185"/>
      <c r="BF128" s="185"/>
      <c r="BG128" s="185"/>
      <c r="BH128" s="185"/>
      <c r="BI128" s="185"/>
      <c r="BJ128" s="185"/>
      <c r="BK128" s="186"/>
    </row>
    <row r="129" spans="1:63">
      <c r="A129" s="185"/>
      <c r="B129" s="185"/>
      <c r="C129" s="185"/>
      <c r="D129" s="185"/>
      <c r="E129" s="185"/>
      <c r="F129" s="185"/>
      <c r="G129" s="185"/>
      <c r="H129" s="185"/>
      <c r="I129" s="185"/>
      <c r="J129" s="185"/>
      <c r="K129" s="185"/>
      <c r="L129" s="185"/>
      <c r="M129" s="185"/>
      <c r="N129" s="185"/>
      <c r="O129" s="185"/>
      <c r="P129" s="185"/>
      <c r="Q129" s="185"/>
      <c r="R129" s="185"/>
      <c r="S129" s="185"/>
      <c r="T129" s="185"/>
      <c r="U129" s="185"/>
      <c r="V129" s="185"/>
      <c r="W129" s="185"/>
      <c r="X129" s="185"/>
      <c r="Y129" s="185"/>
      <c r="Z129" s="185"/>
      <c r="AA129" s="185"/>
      <c r="AB129" s="185"/>
      <c r="AC129" s="185"/>
      <c r="AD129" s="185"/>
      <c r="AE129" s="185"/>
      <c r="AF129" s="185"/>
      <c r="AG129" s="185"/>
      <c r="AH129" s="185"/>
      <c r="AI129" s="185"/>
      <c r="AJ129" s="185"/>
      <c r="AK129" s="185"/>
      <c r="AL129" s="185"/>
      <c r="AM129" s="185"/>
      <c r="AN129" s="185"/>
      <c r="AO129" s="185"/>
      <c r="AP129" s="185"/>
      <c r="AQ129" s="185"/>
      <c r="AR129" s="185"/>
      <c r="AS129" s="185"/>
      <c r="AT129" s="185"/>
      <c r="AU129" s="185"/>
      <c r="AV129" s="185"/>
      <c r="AW129" s="185"/>
      <c r="AX129" s="185"/>
      <c r="AY129" s="185"/>
      <c r="AZ129" s="185"/>
      <c r="BA129" s="185"/>
      <c r="BB129" s="185"/>
      <c r="BC129" s="185"/>
      <c r="BD129" s="185"/>
      <c r="BE129" s="185"/>
      <c r="BF129" s="185"/>
      <c r="BG129" s="185"/>
      <c r="BH129" s="185"/>
      <c r="BI129" s="185"/>
      <c r="BJ129" s="185"/>
      <c r="BK129" s="186"/>
    </row>
    <row r="130" spans="1:63">
      <c r="A130" s="185"/>
      <c r="B130" s="185"/>
      <c r="C130" s="185"/>
      <c r="D130" s="185"/>
      <c r="E130" s="185"/>
      <c r="F130" s="185"/>
      <c r="G130" s="185"/>
      <c r="H130" s="185"/>
      <c r="I130" s="185"/>
      <c r="J130" s="185"/>
      <c r="K130" s="185"/>
      <c r="L130" s="185"/>
      <c r="M130" s="185"/>
      <c r="N130" s="185"/>
      <c r="O130" s="185"/>
      <c r="P130" s="185"/>
      <c r="Q130" s="185"/>
      <c r="R130" s="185"/>
      <c r="S130" s="185"/>
      <c r="T130" s="185"/>
      <c r="U130" s="185"/>
      <c r="V130" s="185"/>
      <c r="W130" s="185"/>
      <c r="X130" s="185"/>
      <c r="Y130" s="185"/>
      <c r="Z130" s="185"/>
      <c r="AA130" s="185"/>
      <c r="AB130" s="185"/>
      <c r="AC130" s="185"/>
      <c r="AD130" s="185"/>
      <c r="AE130" s="185"/>
      <c r="AF130" s="185"/>
      <c r="AG130" s="185"/>
      <c r="AH130" s="185"/>
      <c r="AI130" s="185"/>
      <c r="AJ130" s="185"/>
      <c r="AK130" s="185"/>
      <c r="AL130" s="185"/>
      <c r="AM130" s="185"/>
      <c r="AN130" s="185"/>
      <c r="AO130" s="185"/>
      <c r="AP130" s="185"/>
      <c r="AQ130" s="185"/>
      <c r="AR130" s="185"/>
      <c r="AS130" s="185"/>
      <c r="AT130" s="185"/>
      <c r="AU130" s="185"/>
      <c r="AV130" s="185"/>
      <c r="AW130" s="185"/>
      <c r="AX130" s="185"/>
      <c r="AY130" s="185"/>
      <c r="AZ130" s="185"/>
      <c r="BA130" s="185"/>
      <c r="BB130" s="185"/>
      <c r="BC130" s="185"/>
      <c r="BD130" s="185"/>
      <c r="BE130" s="185"/>
      <c r="BF130" s="185"/>
      <c r="BG130" s="185"/>
      <c r="BH130" s="185"/>
      <c r="BI130" s="185"/>
      <c r="BJ130" s="185"/>
      <c r="BK130" s="186"/>
    </row>
    <row r="131" spans="1:63">
      <c r="A131" s="185"/>
      <c r="B131" s="185"/>
      <c r="C131" s="185"/>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6"/>
    </row>
    <row r="132" spans="1:63">
      <c r="A132" s="185"/>
      <c r="B132" s="185"/>
      <c r="C132" s="185"/>
      <c r="D132" s="185"/>
      <c r="E132" s="185"/>
      <c r="F132" s="185"/>
      <c r="G132" s="185"/>
      <c r="H132" s="185"/>
      <c r="I132" s="185"/>
      <c r="J132" s="185"/>
      <c r="K132" s="185"/>
      <c r="L132" s="185"/>
      <c r="M132" s="185"/>
      <c r="N132" s="185"/>
      <c r="O132" s="185"/>
      <c r="P132" s="185"/>
      <c r="Q132" s="185"/>
      <c r="R132" s="185"/>
      <c r="S132" s="185"/>
      <c r="T132" s="185"/>
      <c r="U132" s="185"/>
      <c r="V132" s="185"/>
      <c r="W132" s="185"/>
      <c r="X132" s="185"/>
      <c r="Y132" s="185"/>
      <c r="Z132" s="185"/>
      <c r="AA132" s="185"/>
      <c r="AB132" s="185"/>
      <c r="AC132" s="185"/>
      <c r="AD132" s="185"/>
      <c r="AE132" s="185"/>
      <c r="AF132" s="185"/>
      <c r="AG132" s="185"/>
      <c r="AH132" s="185"/>
      <c r="AI132" s="185"/>
      <c r="AJ132" s="185"/>
      <c r="AK132" s="185"/>
      <c r="AL132" s="185"/>
      <c r="AM132" s="185"/>
      <c r="AN132" s="185"/>
      <c r="AO132" s="185"/>
      <c r="AP132" s="185"/>
      <c r="AQ132" s="185"/>
      <c r="AR132" s="185"/>
      <c r="AS132" s="185"/>
      <c r="AT132" s="185"/>
      <c r="AU132" s="185"/>
      <c r="AV132" s="185"/>
      <c r="AW132" s="185"/>
      <c r="AX132" s="185"/>
      <c r="AY132" s="185"/>
      <c r="AZ132" s="185"/>
      <c r="BA132" s="185"/>
      <c r="BB132" s="185"/>
      <c r="BC132" s="185"/>
      <c r="BD132" s="185"/>
      <c r="BE132" s="185"/>
      <c r="BF132" s="185"/>
      <c r="BG132" s="185"/>
      <c r="BH132" s="185"/>
      <c r="BI132" s="185"/>
      <c r="BJ132" s="185"/>
      <c r="BK132" s="186"/>
    </row>
    <row r="133" spans="1:63">
      <c r="A133" s="185"/>
      <c r="B133" s="185"/>
      <c r="C133" s="185"/>
      <c r="D133" s="185"/>
      <c r="E133" s="185"/>
      <c r="F133" s="185"/>
      <c r="G133" s="185"/>
      <c r="H133" s="185"/>
      <c r="I133" s="185"/>
      <c r="J133" s="185"/>
      <c r="K133" s="185"/>
      <c r="L133" s="185"/>
      <c r="M133" s="185"/>
      <c r="N133" s="185"/>
      <c r="O133" s="185"/>
      <c r="P133" s="185"/>
      <c r="Q133" s="185"/>
      <c r="R133" s="185"/>
      <c r="S133" s="185"/>
      <c r="T133" s="185"/>
      <c r="U133" s="185"/>
      <c r="V133" s="185"/>
      <c r="W133" s="185"/>
      <c r="X133" s="185"/>
      <c r="Y133" s="185"/>
      <c r="Z133" s="185"/>
      <c r="AA133" s="185"/>
      <c r="AB133" s="185"/>
      <c r="AC133" s="185"/>
      <c r="AD133" s="185"/>
      <c r="AE133" s="185"/>
      <c r="AF133" s="185"/>
      <c r="AG133" s="185"/>
      <c r="AH133" s="185"/>
      <c r="AI133" s="185"/>
      <c r="AJ133" s="185"/>
      <c r="AK133" s="185"/>
      <c r="AL133" s="185"/>
      <c r="AM133" s="185"/>
      <c r="AN133" s="185"/>
      <c r="AO133" s="185"/>
      <c r="AP133" s="185"/>
      <c r="AQ133" s="185"/>
      <c r="AR133" s="185"/>
      <c r="AS133" s="185"/>
      <c r="AT133" s="185"/>
      <c r="AU133" s="185"/>
      <c r="AV133" s="185"/>
      <c r="AW133" s="185"/>
      <c r="AX133" s="185"/>
      <c r="AY133" s="185"/>
      <c r="AZ133" s="185"/>
      <c r="BA133" s="185"/>
      <c r="BB133" s="185"/>
      <c r="BC133" s="185"/>
      <c r="BD133" s="185"/>
      <c r="BE133" s="185"/>
      <c r="BF133" s="185"/>
      <c r="BG133" s="185"/>
      <c r="BH133" s="185"/>
      <c r="BI133" s="185"/>
      <c r="BJ133" s="185"/>
      <c r="BK133" s="186"/>
    </row>
    <row r="134" spans="1:63">
      <c r="A134" s="185"/>
      <c r="B134" s="185"/>
      <c r="C134" s="185"/>
      <c r="D134" s="185"/>
      <c r="E134" s="185"/>
      <c r="F134" s="185"/>
      <c r="G134" s="185"/>
      <c r="H134" s="185"/>
      <c r="I134" s="185"/>
      <c r="J134" s="185"/>
      <c r="K134" s="185"/>
      <c r="L134" s="185"/>
      <c r="M134" s="185"/>
      <c r="N134" s="185"/>
      <c r="O134" s="185"/>
      <c r="P134" s="185"/>
      <c r="Q134" s="185"/>
      <c r="R134" s="185"/>
      <c r="S134" s="185"/>
      <c r="T134" s="185"/>
      <c r="U134" s="185"/>
      <c r="V134" s="185"/>
      <c r="W134" s="185"/>
      <c r="X134" s="185"/>
      <c r="Y134" s="185"/>
      <c r="Z134" s="185"/>
      <c r="AA134" s="185"/>
      <c r="AB134" s="185"/>
      <c r="AC134" s="185"/>
      <c r="AD134" s="185"/>
      <c r="AE134" s="185"/>
      <c r="AF134" s="185"/>
      <c r="AG134" s="185"/>
      <c r="AH134" s="185"/>
      <c r="AI134" s="185"/>
      <c r="AJ134" s="185"/>
      <c r="AK134" s="185"/>
      <c r="AL134" s="185"/>
      <c r="AM134" s="185"/>
      <c r="AN134" s="185"/>
      <c r="AO134" s="185"/>
      <c r="AP134" s="185"/>
      <c r="AQ134" s="185"/>
      <c r="AR134" s="185"/>
      <c r="AS134" s="185"/>
      <c r="AT134" s="185"/>
      <c r="AU134" s="185"/>
      <c r="AV134" s="185"/>
      <c r="AW134" s="185"/>
      <c r="AX134" s="185"/>
      <c r="AY134" s="185"/>
      <c r="AZ134" s="185"/>
      <c r="BA134" s="185"/>
      <c r="BB134" s="185"/>
      <c r="BC134" s="185"/>
      <c r="BD134" s="185"/>
      <c r="BE134" s="185"/>
      <c r="BF134" s="185"/>
      <c r="BG134" s="185"/>
      <c r="BH134" s="185"/>
      <c r="BI134" s="185"/>
      <c r="BJ134" s="185"/>
      <c r="BK134" s="186"/>
    </row>
    <row r="135" spans="1:63">
      <c r="A135" s="185"/>
      <c r="B135" s="185"/>
      <c r="C135" s="185"/>
      <c r="D135" s="185"/>
      <c r="E135" s="185"/>
      <c r="F135" s="185"/>
      <c r="G135" s="185"/>
      <c r="H135" s="185"/>
      <c r="I135" s="185"/>
      <c r="J135" s="185"/>
      <c r="K135" s="185"/>
      <c r="L135" s="185"/>
      <c r="M135" s="185"/>
      <c r="N135" s="185"/>
      <c r="O135" s="185"/>
      <c r="P135" s="185"/>
      <c r="Q135" s="185"/>
      <c r="R135" s="185"/>
      <c r="S135" s="185"/>
      <c r="T135" s="185"/>
      <c r="U135" s="185"/>
      <c r="V135" s="185"/>
      <c r="W135" s="185"/>
      <c r="X135" s="185"/>
      <c r="Y135" s="185"/>
      <c r="Z135" s="185"/>
      <c r="AA135" s="185"/>
      <c r="AB135" s="185"/>
      <c r="AC135" s="185"/>
      <c r="AD135" s="185"/>
      <c r="AE135" s="185"/>
      <c r="AF135" s="185"/>
      <c r="AG135" s="185"/>
      <c r="AH135" s="185"/>
      <c r="AI135" s="185"/>
      <c r="AJ135" s="185"/>
      <c r="AK135" s="185"/>
      <c r="AL135" s="185"/>
      <c r="AM135" s="185"/>
      <c r="AN135" s="185"/>
      <c r="AO135" s="185"/>
      <c r="AP135" s="185"/>
      <c r="AQ135" s="185"/>
      <c r="AR135" s="185"/>
      <c r="AS135" s="185"/>
      <c r="AT135" s="185"/>
      <c r="AU135" s="185"/>
      <c r="AV135" s="185"/>
      <c r="AW135" s="185"/>
      <c r="AX135" s="185"/>
      <c r="AY135" s="185"/>
      <c r="AZ135" s="185"/>
      <c r="BA135" s="185"/>
      <c r="BB135" s="185"/>
      <c r="BC135" s="185"/>
      <c r="BD135" s="185"/>
      <c r="BE135" s="185"/>
      <c r="BF135" s="185"/>
      <c r="BG135" s="185"/>
      <c r="BH135" s="185"/>
      <c r="BI135" s="185"/>
      <c r="BJ135" s="185"/>
      <c r="BK135" s="186"/>
    </row>
    <row r="136" spans="1:63">
      <c r="A136" s="185"/>
      <c r="B136" s="185"/>
      <c r="C136" s="185"/>
      <c r="D136" s="185"/>
      <c r="E136" s="185"/>
      <c r="F136" s="185"/>
      <c r="G136" s="185"/>
      <c r="H136" s="185"/>
      <c r="I136" s="185"/>
      <c r="J136" s="185"/>
      <c r="K136" s="185"/>
      <c r="L136" s="185"/>
      <c r="M136" s="185"/>
      <c r="N136" s="185"/>
      <c r="O136" s="185"/>
      <c r="P136" s="185"/>
      <c r="Q136" s="185"/>
      <c r="R136" s="185"/>
      <c r="S136" s="185"/>
      <c r="T136" s="185"/>
      <c r="U136" s="185"/>
      <c r="V136" s="185"/>
      <c r="W136" s="185"/>
      <c r="X136" s="185"/>
      <c r="Y136" s="185"/>
      <c r="Z136" s="185"/>
      <c r="AA136" s="185"/>
      <c r="AB136" s="185"/>
      <c r="AC136" s="185"/>
      <c r="AD136" s="185"/>
      <c r="AE136" s="185"/>
      <c r="AF136" s="185"/>
      <c r="AG136" s="185"/>
      <c r="AH136" s="185"/>
      <c r="AI136" s="185"/>
      <c r="AJ136" s="185"/>
      <c r="AK136" s="185"/>
      <c r="AL136" s="185"/>
      <c r="AM136" s="185"/>
      <c r="AN136" s="185"/>
      <c r="AO136" s="185"/>
      <c r="AP136" s="185"/>
      <c r="AQ136" s="185"/>
      <c r="AR136" s="185"/>
      <c r="AS136" s="185"/>
      <c r="AT136" s="185"/>
      <c r="AU136" s="185"/>
      <c r="AV136" s="185"/>
      <c r="AW136" s="185"/>
      <c r="AX136" s="185"/>
      <c r="AY136" s="185"/>
      <c r="AZ136" s="185"/>
      <c r="BA136" s="185"/>
      <c r="BB136" s="185"/>
      <c r="BC136" s="185"/>
      <c r="BD136" s="185"/>
      <c r="BE136" s="185"/>
      <c r="BF136" s="185"/>
      <c r="BG136" s="185"/>
      <c r="BH136" s="185"/>
      <c r="BI136" s="185"/>
      <c r="BJ136" s="185"/>
      <c r="BK136" s="186"/>
    </row>
    <row r="137" spans="1:63">
      <c r="A137" s="185"/>
      <c r="B137" s="185"/>
      <c r="C137" s="185"/>
      <c r="D137" s="185"/>
      <c r="E137" s="185"/>
      <c r="F137" s="185"/>
      <c r="G137" s="185"/>
      <c r="H137" s="185"/>
      <c r="I137" s="185"/>
      <c r="J137" s="185"/>
      <c r="K137" s="185"/>
      <c r="L137" s="185"/>
      <c r="M137" s="185"/>
      <c r="N137" s="185"/>
      <c r="O137" s="185"/>
      <c r="P137" s="185"/>
      <c r="Q137" s="185"/>
      <c r="R137" s="185"/>
      <c r="S137" s="185"/>
      <c r="T137" s="185"/>
      <c r="U137" s="185"/>
      <c r="V137" s="185"/>
      <c r="W137" s="185"/>
      <c r="X137" s="185"/>
      <c r="Y137" s="185"/>
      <c r="Z137" s="185"/>
      <c r="AA137" s="185"/>
      <c r="AB137" s="185"/>
      <c r="AC137" s="185"/>
      <c r="AD137" s="185"/>
      <c r="AE137" s="185"/>
      <c r="AF137" s="185"/>
      <c r="AG137" s="185"/>
      <c r="AH137" s="185"/>
      <c r="AI137" s="185"/>
      <c r="AJ137" s="185"/>
      <c r="AK137" s="185"/>
      <c r="AL137" s="185"/>
      <c r="AM137" s="185"/>
      <c r="AN137" s="185"/>
      <c r="AO137" s="185"/>
      <c r="AP137" s="185"/>
      <c r="AQ137" s="185"/>
      <c r="AR137" s="185"/>
      <c r="AS137" s="185"/>
      <c r="AT137" s="185"/>
      <c r="AU137" s="185"/>
      <c r="AV137" s="185"/>
      <c r="AW137" s="185"/>
      <c r="AX137" s="185"/>
      <c r="AY137" s="185"/>
      <c r="AZ137" s="185"/>
      <c r="BA137" s="185"/>
      <c r="BB137" s="185"/>
      <c r="BC137" s="185"/>
      <c r="BD137" s="185"/>
      <c r="BE137" s="185"/>
      <c r="BF137" s="185"/>
      <c r="BG137" s="185"/>
      <c r="BH137" s="185"/>
      <c r="BI137" s="185"/>
      <c r="BJ137" s="185"/>
      <c r="BK137" s="186"/>
    </row>
    <row r="138" spans="1:63">
      <c r="A138" s="185"/>
      <c r="B138" s="185"/>
      <c r="C138" s="185"/>
      <c r="D138" s="185"/>
      <c r="E138" s="185"/>
      <c r="F138" s="185"/>
      <c r="G138" s="185"/>
      <c r="H138" s="185"/>
      <c r="I138" s="185"/>
      <c r="J138" s="185"/>
      <c r="K138" s="185"/>
      <c r="L138" s="185"/>
      <c r="M138" s="185"/>
      <c r="N138" s="185"/>
      <c r="O138" s="185"/>
      <c r="P138" s="185"/>
      <c r="Q138" s="185"/>
      <c r="R138" s="185"/>
      <c r="S138" s="185"/>
      <c r="T138" s="185"/>
      <c r="U138" s="185"/>
      <c r="V138" s="185"/>
      <c r="W138" s="185"/>
      <c r="X138" s="185"/>
      <c r="Y138" s="185"/>
      <c r="Z138" s="185"/>
      <c r="AA138" s="185"/>
      <c r="AB138" s="185"/>
      <c r="AC138" s="185"/>
      <c r="AD138" s="185"/>
      <c r="AE138" s="185"/>
      <c r="AF138" s="185"/>
      <c r="AG138" s="185"/>
      <c r="AH138" s="185"/>
      <c r="AI138" s="185"/>
      <c r="AJ138" s="185"/>
      <c r="AK138" s="185"/>
      <c r="AL138" s="185"/>
      <c r="AM138" s="185"/>
      <c r="AN138" s="185"/>
      <c r="AO138" s="185"/>
      <c r="AP138" s="185"/>
      <c r="AQ138" s="185"/>
      <c r="AR138" s="185"/>
      <c r="AS138" s="185"/>
      <c r="AT138" s="185"/>
      <c r="AU138" s="185"/>
      <c r="AV138" s="185"/>
      <c r="AW138" s="185"/>
      <c r="AX138" s="185"/>
      <c r="AY138" s="185"/>
      <c r="AZ138" s="185"/>
      <c r="BA138" s="185"/>
      <c r="BB138" s="185"/>
      <c r="BC138" s="185"/>
      <c r="BD138" s="185"/>
      <c r="BE138" s="185"/>
      <c r="BF138" s="185"/>
      <c r="BG138" s="185"/>
      <c r="BH138" s="185"/>
      <c r="BI138" s="185"/>
      <c r="BJ138" s="185"/>
      <c r="BK138" s="186"/>
    </row>
    <row r="139" spans="1:63">
      <c r="A139" s="185"/>
      <c r="B139" s="185"/>
      <c r="C139" s="185"/>
      <c r="D139" s="185"/>
      <c r="E139" s="185"/>
      <c r="F139" s="185"/>
      <c r="G139" s="185"/>
      <c r="H139" s="185"/>
      <c r="I139" s="185"/>
      <c r="J139" s="185"/>
      <c r="K139" s="185"/>
      <c r="L139" s="185"/>
      <c r="M139" s="185"/>
      <c r="N139" s="185"/>
      <c r="O139" s="185"/>
      <c r="P139" s="185"/>
      <c r="Q139" s="185"/>
      <c r="R139" s="185"/>
      <c r="S139" s="185"/>
      <c r="T139" s="185"/>
      <c r="U139" s="185"/>
      <c r="V139" s="185"/>
      <c r="W139" s="185"/>
      <c r="X139" s="185"/>
      <c r="Y139" s="185"/>
      <c r="Z139" s="185"/>
      <c r="AA139" s="185"/>
      <c r="AB139" s="185"/>
      <c r="AC139" s="185"/>
      <c r="AD139" s="185"/>
      <c r="AE139" s="185"/>
      <c r="AF139" s="185"/>
      <c r="AG139" s="185"/>
      <c r="AH139" s="185"/>
      <c r="AI139" s="185"/>
      <c r="AJ139" s="185"/>
      <c r="AK139" s="185"/>
      <c r="AL139" s="185"/>
      <c r="AM139" s="185"/>
      <c r="AN139" s="185"/>
      <c r="AO139" s="185"/>
      <c r="AP139" s="185"/>
      <c r="AQ139" s="185"/>
      <c r="AR139" s="185"/>
      <c r="AS139" s="185"/>
      <c r="AT139" s="185"/>
      <c r="AU139" s="185"/>
      <c r="AV139" s="185"/>
      <c r="AW139" s="185"/>
      <c r="AX139" s="185"/>
      <c r="AY139" s="185"/>
      <c r="AZ139" s="185"/>
      <c r="BA139" s="185"/>
      <c r="BB139" s="185"/>
      <c r="BC139" s="185"/>
      <c r="BD139" s="185"/>
      <c r="BE139" s="185"/>
      <c r="BF139" s="185"/>
      <c r="BG139" s="185"/>
      <c r="BH139" s="185"/>
      <c r="BI139" s="185"/>
      <c r="BJ139" s="185"/>
      <c r="BK139" s="186"/>
    </row>
    <row r="140" spans="1:63">
      <c r="A140" s="185"/>
      <c r="B140" s="185"/>
      <c r="C140" s="185"/>
      <c r="D140" s="185"/>
      <c r="E140" s="185"/>
      <c r="F140" s="185"/>
      <c r="G140" s="185"/>
      <c r="H140" s="185"/>
      <c r="I140" s="185"/>
      <c r="J140" s="185"/>
      <c r="K140" s="185"/>
      <c r="L140" s="185"/>
      <c r="M140" s="185"/>
      <c r="N140" s="185"/>
      <c r="O140" s="185"/>
      <c r="P140" s="185"/>
      <c r="Q140" s="185"/>
      <c r="R140" s="185"/>
      <c r="S140" s="185"/>
      <c r="T140" s="185"/>
      <c r="U140" s="185"/>
      <c r="V140" s="185"/>
      <c r="W140" s="185"/>
      <c r="X140" s="185"/>
      <c r="Y140" s="185"/>
      <c r="Z140" s="185"/>
      <c r="AA140" s="185"/>
      <c r="AB140" s="185"/>
      <c r="AC140" s="185"/>
      <c r="AD140" s="185"/>
      <c r="AE140" s="185"/>
      <c r="AF140" s="185"/>
      <c r="AG140" s="185"/>
      <c r="AH140" s="185"/>
      <c r="AI140" s="185"/>
      <c r="AJ140" s="185"/>
      <c r="AK140" s="185"/>
      <c r="AL140" s="185"/>
      <c r="AM140" s="185"/>
      <c r="AN140" s="185"/>
      <c r="AO140" s="185"/>
      <c r="AP140" s="185"/>
      <c r="AQ140" s="185"/>
      <c r="AR140" s="185"/>
      <c r="AS140" s="185"/>
      <c r="AT140" s="185"/>
      <c r="AU140" s="185"/>
      <c r="AV140" s="185"/>
      <c r="AW140" s="185"/>
      <c r="AX140" s="185"/>
      <c r="AY140" s="185"/>
      <c r="AZ140" s="185"/>
      <c r="BA140" s="185"/>
      <c r="BB140" s="185"/>
      <c r="BC140" s="185"/>
      <c r="BD140" s="185"/>
      <c r="BE140" s="185"/>
      <c r="BF140" s="185"/>
      <c r="BG140" s="185"/>
      <c r="BH140" s="185"/>
      <c r="BI140" s="185"/>
      <c r="BJ140" s="185"/>
      <c r="BK140" s="186"/>
    </row>
    <row r="141" spans="1:63">
      <c r="A141" s="185"/>
      <c r="B141" s="185"/>
      <c r="C141" s="185"/>
      <c r="D141" s="185"/>
      <c r="E141" s="185"/>
      <c r="F141" s="185"/>
      <c r="G141" s="185"/>
      <c r="H141" s="185"/>
      <c r="I141" s="185"/>
      <c r="J141" s="185"/>
      <c r="K141" s="185"/>
      <c r="L141" s="185"/>
      <c r="M141" s="185"/>
      <c r="N141" s="185"/>
      <c r="O141" s="185"/>
      <c r="P141" s="185"/>
      <c r="Q141" s="185"/>
      <c r="R141" s="185"/>
      <c r="S141" s="185"/>
      <c r="T141" s="185"/>
      <c r="U141" s="185"/>
      <c r="V141" s="185"/>
      <c r="W141" s="185"/>
      <c r="X141" s="185"/>
      <c r="Y141" s="185"/>
      <c r="Z141" s="185"/>
      <c r="AA141" s="185"/>
      <c r="AB141" s="185"/>
      <c r="AC141" s="185"/>
      <c r="AD141" s="185"/>
      <c r="AE141" s="185"/>
      <c r="AF141" s="185"/>
      <c r="AG141" s="185"/>
      <c r="AH141" s="185"/>
      <c r="AI141" s="185"/>
      <c r="AJ141" s="185"/>
      <c r="AK141" s="185"/>
      <c r="AL141" s="185"/>
      <c r="AM141" s="185"/>
      <c r="AN141" s="185"/>
      <c r="AO141" s="185"/>
      <c r="AP141" s="185"/>
      <c r="AQ141" s="185"/>
      <c r="AR141" s="185"/>
      <c r="AS141" s="185"/>
      <c r="AT141" s="185"/>
      <c r="AU141" s="185"/>
      <c r="AV141" s="185"/>
      <c r="AW141" s="185"/>
      <c r="AX141" s="185"/>
      <c r="AY141" s="185"/>
      <c r="AZ141" s="185"/>
      <c r="BA141" s="185"/>
      <c r="BB141" s="185"/>
      <c r="BC141" s="185"/>
      <c r="BD141" s="185"/>
      <c r="BE141" s="185"/>
      <c r="BF141" s="185"/>
      <c r="BG141" s="185"/>
      <c r="BH141" s="185"/>
      <c r="BI141" s="185"/>
      <c r="BJ141" s="185"/>
      <c r="BK141" s="186"/>
    </row>
    <row r="142" spans="1:63">
      <c r="A142" s="185"/>
      <c r="B142" s="185"/>
      <c r="C142" s="185"/>
      <c r="D142" s="185"/>
      <c r="E142" s="185"/>
      <c r="F142" s="185"/>
      <c r="G142" s="185"/>
      <c r="H142" s="185"/>
      <c r="I142" s="185"/>
      <c r="J142" s="185"/>
      <c r="K142" s="185"/>
      <c r="L142" s="185"/>
      <c r="M142" s="185"/>
      <c r="N142" s="185"/>
      <c r="O142" s="185"/>
      <c r="P142" s="185"/>
      <c r="Q142" s="185"/>
      <c r="R142" s="185"/>
      <c r="S142" s="185"/>
      <c r="T142" s="185"/>
      <c r="U142" s="185"/>
      <c r="V142" s="185"/>
      <c r="W142" s="185"/>
      <c r="X142" s="185"/>
      <c r="Y142" s="185"/>
      <c r="Z142" s="185"/>
      <c r="AA142" s="185"/>
      <c r="AB142" s="185"/>
      <c r="AC142" s="185"/>
      <c r="AD142" s="185"/>
      <c r="AE142" s="185"/>
      <c r="AF142" s="185"/>
      <c r="AG142" s="185"/>
      <c r="AH142" s="185"/>
      <c r="AI142" s="185"/>
      <c r="AJ142" s="185"/>
      <c r="AK142" s="185"/>
      <c r="AL142" s="185"/>
      <c r="AM142" s="185"/>
      <c r="AN142" s="185"/>
      <c r="AO142" s="185"/>
      <c r="AP142" s="185"/>
      <c r="AQ142" s="185"/>
      <c r="AR142" s="185"/>
      <c r="AS142" s="185"/>
      <c r="AT142" s="185"/>
      <c r="AU142" s="185"/>
      <c r="AV142" s="185"/>
      <c r="AW142" s="185"/>
      <c r="AX142" s="185"/>
      <c r="AY142" s="185"/>
      <c r="AZ142" s="185"/>
      <c r="BA142" s="185"/>
      <c r="BB142" s="185"/>
      <c r="BC142" s="185"/>
      <c r="BD142" s="185"/>
      <c r="BE142" s="185"/>
      <c r="BF142" s="185"/>
      <c r="BG142" s="185"/>
      <c r="BH142" s="185"/>
      <c r="BI142" s="185"/>
      <c r="BJ142" s="185"/>
      <c r="BK142" s="186"/>
    </row>
    <row r="143" spans="1:63">
      <c r="A143" s="185"/>
      <c r="B143" s="185"/>
      <c r="C143" s="185"/>
      <c r="D143" s="185"/>
      <c r="E143" s="185"/>
      <c r="F143" s="185"/>
      <c r="G143" s="185"/>
      <c r="H143" s="185"/>
      <c r="I143" s="185"/>
      <c r="J143" s="185"/>
      <c r="K143" s="185"/>
      <c r="L143" s="185"/>
      <c r="M143" s="185"/>
      <c r="N143" s="185"/>
      <c r="O143" s="185"/>
      <c r="P143" s="185"/>
      <c r="Q143" s="185"/>
      <c r="R143" s="185"/>
      <c r="S143" s="185"/>
      <c r="T143" s="185"/>
      <c r="U143" s="185"/>
      <c r="V143" s="185"/>
      <c r="W143" s="185"/>
      <c r="X143" s="185"/>
      <c r="Y143" s="185"/>
      <c r="Z143" s="185"/>
      <c r="AA143" s="185"/>
      <c r="AB143" s="185"/>
      <c r="AC143" s="185"/>
      <c r="AD143" s="185"/>
      <c r="AE143" s="185"/>
      <c r="AF143" s="185"/>
      <c r="AG143" s="185"/>
      <c r="AH143" s="185"/>
      <c r="AI143" s="185"/>
      <c r="AJ143" s="185"/>
      <c r="AK143" s="185"/>
      <c r="AL143" s="185"/>
      <c r="AM143" s="185"/>
      <c r="AN143" s="185"/>
      <c r="AO143" s="185"/>
      <c r="AP143" s="185"/>
      <c r="AQ143" s="185"/>
      <c r="AR143" s="185"/>
      <c r="AS143" s="185"/>
      <c r="AT143" s="185"/>
      <c r="AU143" s="185"/>
      <c r="AV143" s="185"/>
      <c r="AW143" s="185"/>
      <c r="AX143" s="185"/>
      <c r="AY143" s="185"/>
      <c r="AZ143" s="185"/>
      <c r="BA143" s="185"/>
      <c r="BB143" s="185"/>
      <c r="BC143" s="185"/>
      <c r="BD143" s="185"/>
      <c r="BE143" s="185"/>
      <c r="BF143" s="185"/>
      <c r="BG143" s="185"/>
      <c r="BH143" s="185"/>
      <c r="BI143" s="185"/>
      <c r="BJ143" s="185"/>
      <c r="BK143" s="186"/>
    </row>
    <row r="144" spans="1:63">
      <c r="A144" s="185"/>
      <c r="B144" s="185"/>
      <c r="C144" s="185"/>
      <c r="D144" s="185"/>
      <c r="E144" s="185"/>
      <c r="F144" s="185"/>
      <c r="G144" s="185"/>
      <c r="H144" s="185"/>
      <c r="I144" s="185"/>
      <c r="J144" s="185"/>
      <c r="K144" s="185"/>
      <c r="L144" s="185"/>
      <c r="M144" s="185"/>
      <c r="N144" s="185"/>
      <c r="O144" s="185"/>
      <c r="P144" s="185"/>
      <c r="Q144" s="185"/>
      <c r="R144" s="185"/>
      <c r="S144" s="185"/>
      <c r="T144" s="185"/>
      <c r="U144" s="185"/>
      <c r="V144" s="185"/>
      <c r="W144" s="185"/>
      <c r="X144" s="185"/>
      <c r="Y144" s="185"/>
      <c r="Z144" s="185"/>
      <c r="AA144" s="185"/>
      <c r="AB144" s="185"/>
      <c r="AC144" s="185"/>
      <c r="AD144" s="185"/>
      <c r="AE144" s="185"/>
      <c r="AF144" s="185"/>
      <c r="AG144" s="185"/>
      <c r="AH144" s="185"/>
      <c r="AI144" s="185"/>
      <c r="AJ144" s="185"/>
      <c r="AK144" s="185"/>
      <c r="AL144" s="185"/>
      <c r="AM144" s="185"/>
      <c r="AN144" s="185"/>
      <c r="AO144" s="185"/>
      <c r="AP144" s="185"/>
      <c r="AQ144" s="185"/>
      <c r="AR144" s="185"/>
      <c r="AS144" s="185"/>
      <c r="AT144" s="185"/>
      <c r="AU144" s="185"/>
      <c r="AV144" s="185"/>
      <c r="AW144" s="185"/>
      <c r="AX144" s="185"/>
      <c r="AY144" s="185"/>
      <c r="AZ144" s="185"/>
      <c r="BA144" s="185"/>
      <c r="BB144" s="185"/>
      <c r="BC144" s="185"/>
      <c r="BD144" s="185"/>
      <c r="BE144" s="185"/>
      <c r="BF144" s="185"/>
      <c r="BG144" s="185"/>
      <c r="BH144" s="185"/>
      <c r="BI144" s="185"/>
      <c r="BJ144" s="185"/>
      <c r="BK144" s="186"/>
    </row>
    <row r="145" spans="1:63">
      <c r="A145" s="185"/>
      <c r="B145" s="185"/>
      <c r="C145" s="185"/>
      <c r="D145" s="185"/>
      <c r="E145" s="185"/>
      <c r="F145" s="185"/>
      <c r="G145" s="185"/>
      <c r="H145" s="185"/>
      <c r="I145" s="185"/>
      <c r="J145" s="185"/>
      <c r="K145" s="185"/>
      <c r="L145" s="185"/>
      <c r="M145" s="185"/>
      <c r="N145" s="185"/>
      <c r="O145" s="185"/>
      <c r="P145" s="185"/>
      <c r="Q145" s="185"/>
      <c r="R145" s="185"/>
      <c r="S145" s="185"/>
      <c r="T145" s="185"/>
      <c r="U145" s="185"/>
      <c r="V145" s="185"/>
      <c r="W145" s="185"/>
      <c r="X145" s="185"/>
      <c r="Y145" s="185"/>
      <c r="Z145" s="185"/>
      <c r="AA145" s="185"/>
      <c r="AB145" s="185"/>
      <c r="AC145" s="185"/>
      <c r="AD145" s="185"/>
      <c r="AE145" s="185"/>
      <c r="AF145" s="185"/>
      <c r="AG145" s="185"/>
      <c r="AH145" s="185"/>
      <c r="AI145" s="185"/>
      <c r="AJ145" s="185"/>
      <c r="AK145" s="185"/>
      <c r="AL145" s="185"/>
      <c r="AM145" s="185"/>
      <c r="AN145" s="185"/>
      <c r="AO145" s="185"/>
      <c r="AP145" s="185"/>
      <c r="AQ145" s="185"/>
      <c r="AR145" s="185"/>
      <c r="AS145" s="185"/>
      <c r="AT145" s="185"/>
      <c r="AU145" s="185"/>
      <c r="AV145" s="185"/>
      <c r="AW145" s="185"/>
      <c r="AX145" s="185"/>
      <c r="AY145" s="185"/>
      <c r="AZ145" s="185"/>
      <c r="BA145" s="185"/>
      <c r="BB145" s="185"/>
      <c r="BC145" s="185"/>
      <c r="BD145" s="185"/>
      <c r="BE145" s="185"/>
      <c r="BF145" s="185"/>
      <c r="BG145" s="185"/>
      <c r="BH145" s="185"/>
      <c r="BI145" s="185"/>
      <c r="BJ145" s="185"/>
      <c r="BK145" s="186"/>
    </row>
    <row r="146" spans="1:63">
      <c r="A146" s="185"/>
      <c r="B146" s="185"/>
      <c r="C146" s="185"/>
      <c r="D146" s="185"/>
      <c r="E146" s="185"/>
      <c r="F146" s="185"/>
      <c r="G146" s="185"/>
      <c r="H146" s="185"/>
      <c r="I146" s="185"/>
      <c r="J146" s="185"/>
      <c r="K146" s="185"/>
      <c r="L146" s="185"/>
      <c r="M146" s="185"/>
      <c r="N146" s="185"/>
      <c r="O146" s="185"/>
      <c r="P146" s="185"/>
      <c r="Q146" s="185"/>
      <c r="R146" s="185"/>
      <c r="S146" s="185"/>
      <c r="T146" s="185"/>
      <c r="U146" s="185"/>
      <c r="V146" s="185"/>
      <c r="W146" s="185"/>
      <c r="X146" s="185"/>
      <c r="Y146" s="185"/>
      <c r="Z146" s="185"/>
      <c r="AA146" s="185"/>
      <c r="AB146" s="185"/>
      <c r="AC146" s="185"/>
      <c r="AD146" s="185"/>
      <c r="AE146" s="185"/>
      <c r="AF146" s="185"/>
      <c r="AG146" s="185"/>
      <c r="AH146" s="185"/>
      <c r="AI146" s="185"/>
      <c r="AJ146" s="185"/>
      <c r="AK146" s="185"/>
      <c r="AL146" s="185"/>
      <c r="AM146" s="185"/>
      <c r="AN146" s="185"/>
      <c r="AO146" s="185"/>
      <c r="AP146" s="185"/>
      <c r="AQ146" s="185"/>
      <c r="AR146" s="185"/>
      <c r="AS146" s="185"/>
      <c r="AT146" s="185"/>
      <c r="AU146" s="185"/>
      <c r="AV146" s="185"/>
      <c r="AW146" s="185"/>
      <c r="AX146" s="185"/>
      <c r="AY146" s="185"/>
      <c r="AZ146" s="185"/>
      <c r="BA146" s="185"/>
      <c r="BB146" s="185"/>
      <c r="BC146" s="185"/>
      <c r="BD146" s="185"/>
      <c r="BE146" s="185"/>
      <c r="BF146" s="185"/>
      <c r="BG146" s="185"/>
      <c r="BH146" s="185"/>
      <c r="BI146" s="185"/>
      <c r="BJ146" s="185"/>
      <c r="BK146" s="186"/>
    </row>
    <row r="147" spans="1:63">
      <c r="A147" s="185"/>
      <c r="B147" s="185"/>
      <c r="C147" s="185"/>
      <c r="D147" s="185"/>
      <c r="E147" s="185"/>
      <c r="F147" s="185"/>
      <c r="G147" s="185"/>
      <c r="H147" s="185"/>
      <c r="I147" s="185"/>
      <c r="J147" s="185"/>
      <c r="K147" s="185"/>
      <c r="L147" s="185"/>
      <c r="M147" s="185"/>
      <c r="N147" s="185"/>
      <c r="O147" s="185"/>
      <c r="P147" s="185"/>
      <c r="Q147" s="185"/>
      <c r="R147" s="185"/>
      <c r="S147" s="185"/>
      <c r="T147" s="185"/>
      <c r="U147" s="185"/>
      <c r="V147" s="185"/>
      <c r="W147" s="185"/>
      <c r="X147" s="185"/>
      <c r="Y147" s="185"/>
      <c r="Z147" s="185"/>
      <c r="AA147" s="185"/>
      <c r="AB147" s="185"/>
      <c r="AC147" s="185"/>
      <c r="AD147" s="185"/>
      <c r="AE147" s="185"/>
      <c r="AF147" s="185"/>
      <c r="AG147" s="185"/>
      <c r="AH147" s="185"/>
      <c r="AI147" s="185"/>
      <c r="AJ147" s="185"/>
      <c r="AK147" s="185"/>
      <c r="AL147" s="185"/>
      <c r="AM147" s="185"/>
      <c r="AN147" s="185"/>
      <c r="AO147" s="185"/>
      <c r="AP147" s="185"/>
      <c r="AQ147" s="185"/>
      <c r="AR147" s="185"/>
      <c r="AS147" s="185"/>
      <c r="AT147" s="185"/>
      <c r="AU147" s="185"/>
      <c r="AV147" s="185"/>
      <c r="AW147" s="185"/>
      <c r="AX147" s="185"/>
      <c r="AY147" s="185"/>
      <c r="AZ147" s="185"/>
      <c r="BA147" s="185"/>
      <c r="BB147" s="185"/>
      <c r="BC147" s="185"/>
      <c r="BD147" s="185"/>
      <c r="BE147" s="185"/>
      <c r="BF147" s="185"/>
      <c r="BG147" s="185"/>
      <c r="BH147" s="185"/>
      <c r="BI147" s="185"/>
      <c r="BJ147" s="185"/>
      <c r="BK147" s="186"/>
    </row>
    <row r="148" spans="1:63">
      <c r="A148" s="185"/>
      <c r="B148" s="185"/>
      <c r="C148" s="185"/>
      <c r="D148" s="185"/>
      <c r="E148" s="185"/>
      <c r="F148" s="185"/>
      <c r="G148" s="185"/>
      <c r="H148" s="185"/>
      <c r="I148" s="185"/>
      <c r="J148" s="185"/>
      <c r="K148" s="185"/>
      <c r="L148" s="185"/>
      <c r="M148" s="185"/>
      <c r="N148" s="185"/>
      <c r="O148" s="185"/>
      <c r="P148" s="185"/>
      <c r="Q148" s="185"/>
      <c r="R148" s="185"/>
      <c r="S148" s="185"/>
      <c r="T148" s="185"/>
      <c r="U148" s="185"/>
      <c r="V148" s="185"/>
      <c r="W148" s="185"/>
      <c r="X148" s="185"/>
      <c r="Y148" s="185"/>
      <c r="Z148" s="185"/>
      <c r="AA148" s="185"/>
      <c r="AB148" s="185"/>
      <c r="AC148" s="185"/>
      <c r="AD148" s="185"/>
      <c r="AE148" s="185"/>
      <c r="AF148" s="185"/>
      <c r="AG148" s="185"/>
      <c r="AH148" s="185"/>
      <c r="AI148" s="185"/>
      <c r="AJ148" s="185"/>
      <c r="AK148" s="185"/>
      <c r="AL148" s="185"/>
      <c r="AM148" s="185"/>
      <c r="AN148" s="185"/>
      <c r="AO148" s="185"/>
      <c r="AP148" s="185"/>
      <c r="AQ148" s="185"/>
      <c r="AR148" s="185"/>
      <c r="AS148" s="185"/>
      <c r="AT148" s="185"/>
      <c r="AU148" s="185"/>
      <c r="AV148" s="185"/>
      <c r="AW148" s="185"/>
      <c r="AX148" s="185"/>
      <c r="AY148" s="185"/>
      <c r="AZ148" s="185"/>
      <c r="BA148" s="185"/>
      <c r="BB148" s="185"/>
      <c r="BC148" s="185"/>
      <c r="BD148" s="185"/>
      <c r="BE148" s="185"/>
      <c r="BF148" s="185"/>
      <c r="BG148" s="185"/>
      <c r="BH148" s="185"/>
      <c r="BI148" s="185"/>
      <c r="BJ148" s="185"/>
      <c r="BK148" s="186"/>
    </row>
    <row r="149" spans="1:63">
      <c r="A149" s="185"/>
      <c r="B149" s="185"/>
      <c r="C149" s="185"/>
      <c r="D149" s="185"/>
      <c r="E149" s="185"/>
      <c r="F149" s="185"/>
      <c r="G149" s="185"/>
      <c r="H149" s="185"/>
      <c r="I149" s="185"/>
      <c r="J149" s="185"/>
      <c r="K149" s="185"/>
      <c r="L149" s="185"/>
      <c r="M149" s="185"/>
      <c r="N149" s="185"/>
      <c r="O149" s="185"/>
      <c r="P149" s="185"/>
      <c r="Q149" s="185"/>
      <c r="R149" s="185"/>
      <c r="S149" s="185"/>
      <c r="T149" s="185"/>
      <c r="U149" s="185"/>
      <c r="V149" s="185"/>
      <c r="W149" s="185"/>
      <c r="X149" s="185"/>
      <c r="Y149" s="185"/>
      <c r="Z149" s="185"/>
      <c r="AA149" s="185"/>
      <c r="AB149" s="185"/>
      <c r="AC149" s="185"/>
      <c r="AD149" s="185"/>
      <c r="AE149" s="185"/>
      <c r="AF149" s="185"/>
      <c r="AG149" s="185"/>
      <c r="AH149" s="185"/>
      <c r="AI149" s="185"/>
      <c r="AJ149" s="185"/>
      <c r="AK149" s="185"/>
      <c r="AL149" s="185"/>
      <c r="AM149" s="185"/>
      <c r="AN149" s="185"/>
      <c r="AO149" s="185"/>
      <c r="AP149" s="185"/>
      <c r="AQ149" s="185"/>
      <c r="AR149" s="185"/>
      <c r="AS149" s="185"/>
      <c r="AT149" s="185"/>
      <c r="AU149" s="185"/>
      <c r="AV149" s="185"/>
      <c r="AW149" s="185"/>
      <c r="AX149" s="185"/>
      <c r="AY149" s="185"/>
      <c r="AZ149" s="185"/>
      <c r="BA149" s="185"/>
      <c r="BB149" s="185"/>
      <c r="BC149" s="185"/>
      <c r="BD149" s="185"/>
      <c r="BE149" s="185"/>
      <c r="BF149" s="185"/>
      <c r="BG149" s="185"/>
      <c r="BH149" s="185"/>
      <c r="BI149" s="185"/>
      <c r="BJ149" s="185"/>
      <c r="BK149" s="186"/>
    </row>
    <row r="150" spans="1:63">
      <c r="A150" s="185"/>
      <c r="B150" s="185"/>
      <c r="C150" s="185"/>
      <c r="D150" s="185"/>
      <c r="E150" s="185"/>
      <c r="F150" s="185"/>
      <c r="G150" s="185"/>
      <c r="H150" s="185"/>
      <c r="I150" s="185"/>
      <c r="J150" s="185"/>
      <c r="K150" s="185"/>
      <c r="L150" s="185"/>
      <c r="M150" s="185"/>
      <c r="N150" s="185"/>
      <c r="O150" s="185"/>
      <c r="P150" s="185"/>
      <c r="Q150" s="185"/>
      <c r="R150" s="185"/>
      <c r="S150" s="185"/>
      <c r="T150" s="185"/>
      <c r="U150" s="185"/>
      <c r="V150" s="185"/>
      <c r="W150" s="185"/>
      <c r="X150" s="185"/>
      <c r="Y150" s="185"/>
      <c r="Z150" s="185"/>
      <c r="AA150" s="185"/>
      <c r="AB150" s="185"/>
      <c r="AC150" s="185"/>
      <c r="AD150" s="185"/>
      <c r="AE150" s="185"/>
      <c r="AF150" s="185"/>
      <c r="AG150" s="185"/>
      <c r="AH150" s="185"/>
      <c r="AI150" s="185"/>
      <c r="AJ150" s="185"/>
      <c r="AK150" s="185"/>
      <c r="AL150" s="185"/>
      <c r="AM150" s="185"/>
      <c r="AN150" s="185"/>
      <c r="AO150" s="185"/>
      <c r="AP150" s="185"/>
      <c r="AQ150" s="185"/>
      <c r="AR150" s="185"/>
      <c r="AS150" s="185"/>
      <c r="AT150" s="185"/>
      <c r="AU150" s="185"/>
      <c r="AV150" s="185"/>
      <c r="AW150" s="185"/>
      <c r="AX150" s="185"/>
      <c r="AY150" s="185"/>
      <c r="AZ150" s="185"/>
      <c r="BA150" s="185"/>
      <c r="BB150" s="185"/>
      <c r="BC150" s="185"/>
      <c r="BD150" s="185"/>
      <c r="BE150" s="185"/>
      <c r="BF150" s="185"/>
      <c r="BG150" s="185"/>
      <c r="BH150" s="185"/>
      <c r="BI150" s="185"/>
      <c r="BJ150" s="185"/>
      <c r="BK150" s="186"/>
    </row>
    <row r="151" spans="1:63">
      <c r="A151" s="185"/>
      <c r="B151" s="185"/>
      <c r="C151" s="185"/>
      <c r="D151" s="185"/>
      <c r="E151" s="185"/>
      <c r="F151" s="185"/>
      <c r="G151" s="185"/>
      <c r="H151" s="185"/>
      <c r="I151" s="185"/>
      <c r="J151" s="185"/>
      <c r="K151" s="185"/>
      <c r="L151" s="185"/>
      <c r="M151" s="185"/>
      <c r="N151" s="185"/>
      <c r="O151" s="185"/>
      <c r="P151" s="185"/>
      <c r="Q151" s="185"/>
      <c r="R151" s="185"/>
      <c r="S151" s="185"/>
      <c r="T151" s="185"/>
      <c r="U151" s="185"/>
      <c r="V151" s="185"/>
      <c r="W151" s="185"/>
      <c r="X151" s="185"/>
      <c r="Y151" s="185"/>
      <c r="Z151" s="185"/>
      <c r="AA151" s="185"/>
      <c r="AB151" s="185"/>
      <c r="AC151" s="185"/>
      <c r="AD151" s="185"/>
      <c r="AE151" s="185"/>
      <c r="AF151" s="185"/>
      <c r="AG151" s="185"/>
      <c r="AH151" s="185"/>
      <c r="AI151" s="185"/>
      <c r="AJ151" s="185"/>
      <c r="AK151" s="185"/>
      <c r="AL151" s="185"/>
      <c r="AM151" s="185"/>
      <c r="AN151" s="185"/>
      <c r="AO151" s="185"/>
      <c r="AP151" s="185"/>
      <c r="AQ151" s="185"/>
      <c r="AR151" s="185"/>
      <c r="AS151" s="185"/>
      <c r="AT151" s="185"/>
      <c r="AU151" s="185"/>
      <c r="AV151" s="185"/>
      <c r="AW151" s="185"/>
      <c r="AX151" s="185"/>
      <c r="AY151" s="185"/>
      <c r="AZ151" s="185"/>
      <c r="BA151" s="185"/>
      <c r="BB151" s="185"/>
      <c r="BC151" s="185"/>
      <c r="BD151" s="185"/>
      <c r="BE151" s="185"/>
      <c r="BF151" s="185"/>
      <c r="BG151" s="185"/>
      <c r="BH151" s="185"/>
      <c r="BI151" s="185"/>
      <c r="BJ151" s="185"/>
      <c r="BK151" s="186"/>
    </row>
    <row r="152" spans="1:63">
      <c r="A152" s="185"/>
      <c r="B152" s="185"/>
      <c r="C152" s="185"/>
      <c r="D152" s="185"/>
      <c r="E152" s="185"/>
      <c r="F152" s="185"/>
      <c r="G152" s="185"/>
      <c r="H152" s="185"/>
      <c r="I152" s="185"/>
      <c r="J152" s="185"/>
      <c r="K152" s="185"/>
      <c r="L152" s="185"/>
      <c r="M152" s="185"/>
      <c r="N152" s="185"/>
      <c r="O152" s="185"/>
      <c r="P152" s="185"/>
      <c r="Q152" s="185"/>
      <c r="R152" s="185"/>
      <c r="S152" s="185"/>
      <c r="T152" s="185"/>
      <c r="U152" s="185"/>
      <c r="V152" s="185"/>
      <c r="W152" s="185"/>
      <c r="X152" s="185"/>
      <c r="Y152" s="185"/>
      <c r="Z152" s="185"/>
      <c r="AA152" s="185"/>
      <c r="AB152" s="185"/>
      <c r="AC152" s="185"/>
      <c r="AD152" s="185"/>
      <c r="AE152" s="185"/>
      <c r="AF152" s="185"/>
      <c r="AG152" s="185"/>
      <c r="AH152" s="185"/>
      <c r="AI152" s="185"/>
      <c r="AJ152" s="185"/>
      <c r="AK152" s="185"/>
      <c r="AL152" s="185"/>
      <c r="AM152" s="185"/>
      <c r="AN152" s="185"/>
      <c r="AO152" s="185"/>
      <c r="AP152" s="185"/>
      <c r="AQ152" s="185"/>
      <c r="AR152" s="185"/>
      <c r="AS152" s="185"/>
      <c r="AT152" s="185"/>
      <c r="AU152" s="185"/>
      <c r="AV152" s="185"/>
      <c r="AW152" s="185"/>
      <c r="AX152" s="185"/>
      <c r="AY152" s="185"/>
      <c r="AZ152" s="185"/>
      <c r="BA152" s="185"/>
      <c r="BB152" s="185"/>
      <c r="BC152" s="185"/>
      <c r="BD152" s="185"/>
      <c r="BE152" s="185"/>
      <c r="BF152" s="185"/>
      <c r="BG152" s="185"/>
      <c r="BH152" s="185"/>
      <c r="BI152" s="185"/>
      <c r="BJ152" s="185"/>
      <c r="BK152" s="186"/>
    </row>
    <row r="153" spans="1:63">
      <c r="A153" s="185"/>
      <c r="B153" s="185"/>
      <c r="C153" s="185"/>
      <c r="D153" s="185"/>
      <c r="E153" s="185"/>
      <c r="F153" s="185"/>
      <c r="G153" s="185"/>
      <c r="H153" s="185"/>
      <c r="I153" s="185"/>
      <c r="J153" s="185"/>
      <c r="K153" s="185"/>
      <c r="L153" s="185"/>
      <c r="M153" s="185"/>
      <c r="N153" s="185"/>
      <c r="O153" s="185"/>
      <c r="P153" s="185"/>
      <c r="Q153" s="185"/>
      <c r="R153" s="185"/>
      <c r="S153" s="185"/>
      <c r="T153" s="185"/>
      <c r="U153" s="185"/>
      <c r="V153" s="185"/>
      <c r="W153" s="185"/>
      <c r="X153" s="185"/>
      <c r="Y153" s="185"/>
      <c r="Z153" s="185"/>
      <c r="AA153" s="185"/>
      <c r="AB153" s="185"/>
      <c r="AC153" s="185"/>
      <c r="AD153" s="185"/>
      <c r="AE153" s="185"/>
      <c r="AF153" s="185"/>
      <c r="AG153" s="185"/>
      <c r="AH153" s="185"/>
      <c r="AI153" s="185"/>
      <c r="AJ153" s="185"/>
      <c r="AK153" s="185"/>
      <c r="AL153" s="185"/>
      <c r="AM153" s="185"/>
      <c r="AN153" s="185"/>
      <c r="AO153" s="185"/>
      <c r="AP153" s="185"/>
      <c r="AQ153" s="185"/>
      <c r="AR153" s="185"/>
      <c r="AS153" s="185"/>
      <c r="AT153" s="185"/>
      <c r="AU153" s="185"/>
      <c r="AV153" s="185"/>
      <c r="AW153" s="185"/>
      <c r="AX153" s="185"/>
      <c r="AY153" s="185"/>
      <c r="AZ153" s="185"/>
      <c r="BA153" s="185"/>
      <c r="BB153" s="185"/>
      <c r="BC153" s="185"/>
      <c r="BD153" s="185"/>
      <c r="BE153" s="185"/>
      <c r="BF153" s="185"/>
      <c r="BG153" s="185"/>
      <c r="BH153" s="185"/>
      <c r="BI153" s="185"/>
      <c r="BJ153" s="185"/>
      <c r="BK153" s="186"/>
    </row>
    <row r="154" spans="1:63">
      <c r="A154" s="185"/>
      <c r="B154" s="185"/>
      <c r="C154" s="185"/>
      <c r="D154" s="185"/>
      <c r="E154" s="185"/>
      <c r="F154" s="185"/>
      <c r="G154" s="185"/>
      <c r="H154" s="185"/>
      <c r="I154" s="185"/>
      <c r="J154" s="185"/>
      <c r="K154" s="185"/>
      <c r="L154" s="185"/>
      <c r="M154" s="185"/>
      <c r="N154" s="185"/>
      <c r="O154" s="185"/>
      <c r="P154" s="185"/>
      <c r="Q154" s="185"/>
      <c r="R154" s="185"/>
      <c r="S154" s="185"/>
      <c r="T154" s="185"/>
      <c r="U154" s="185"/>
      <c r="V154" s="185"/>
      <c r="W154" s="185"/>
      <c r="X154" s="185"/>
      <c r="Y154" s="185"/>
      <c r="Z154" s="185"/>
      <c r="AA154" s="185"/>
      <c r="AB154" s="185"/>
      <c r="AC154" s="185"/>
      <c r="AD154" s="185"/>
      <c r="AE154" s="185"/>
      <c r="AF154" s="185"/>
      <c r="AG154" s="185"/>
      <c r="AH154" s="185"/>
      <c r="AI154" s="185"/>
      <c r="AJ154" s="185"/>
      <c r="AK154" s="185"/>
      <c r="AL154" s="185"/>
      <c r="AM154" s="185"/>
      <c r="AN154" s="185"/>
      <c r="AO154" s="185"/>
      <c r="AP154" s="185"/>
      <c r="AQ154" s="185"/>
      <c r="AR154" s="185"/>
      <c r="AS154" s="185"/>
      <c r="AT154" s="185"/>
      <c r="AU154" s="185"/>
      <c r="AV154" s="185"/>
      <c r="AW154" s="185"/>
      <c r="AX154" s="185"/>
      <c r="AY154" s="185"/>
      <c r="AZ154" s="185"/>
      <c r="BA154" s="185"/>
      <c r="BB154" s="185"/>
      <c r="BC154" s="185"/>
      <c r="BD154" s="185"/>
      <c r="BE154" s="185"/>
      <c r="BF154" s="185"/>
      <c r="BG154" s="185"/>
      <c r="BH154" s="185"/>
      <c r="BI154" s="185"/>
      <c r="BJ154" s="185"/>
      <c r="BK154" s="186"/>
    </row>
    <row r="155" spans="1:63">
      <c r="A155" s="185"/>
      <c r="B155" s="185"/>
      <c r="C155" s="185"/>
      <c r="D155" s="185"/>
      <c r="E155" s="185"/>
      <c r="F155" s="185"/>
      <c r="G155" s="185"/>
      <c r="H155" s="185"/>
      <c r="I155" s="185"/>
      <c r="J155" s="185"/>
      <c r="K155" s="185"/>
      <c r="L155" s="185"/>
      <c r="M155" s="185"/>
      <c r="N155" s="185"/>
      <c r="O155" s="185"/>
      <c r="P155" s="185"/>
      <c r="Q155" s="185"/>
      <c r="R155" s="185"/>
      <c r="S155" s="185"/>
      <c r="T155" s="185"/>
      <c r="U155" s="185"/>
      <c r="V155" s="185"/>
      <c r="W155" s="185"/>
      <c r="X155" s="185"/>
      <c r="Y155" s="185"/>
      <c r="Z155" s="185"/>
      <c r="AA155" s="185"/>
      <c r="AB155" s="185"/>
      <c r="AC155" s="185"/>
      <c r="AD155" s="185"/>
      <c r="AE155" s="185"/>
      <c r="AF155" s="185"/>
      <c r="AG155" s="185"/>
      <c r="AH155" s="185"/>
      <c r="AI155" s="185"/>
      <c r="AJ155" s="185"/>
      <c r="AK155" s="185"/>
      <c r="AL155" s="185"/>
      <c r="AM155" s="185"/>
      <c r="AN155" s="185"/>
      <c r="AO155" s="185"/>
      <c r="AP155" s="185"/>
      <c r="AQ155" s="185"/>
      <c r="AR155" s="185"/>
      <c r="AS155" s="185"/>
      <c r="AT155" s="185"/>
      <c r="AU155" s="185"/>
      <c r="AV155" s="185"/>
      <c r="AW155" s="185"/>
      <c r="AX155" s="185"/>
      <c r="AY155" s="185"/>
      <c r="AZ155" s="185"/>
      <c r="BA155" s="185"/>
      <c r="BB155" s="185"/>
      <c r="BC155" s="185"/>
      <c r="BD155" s="185"/>
      <c r="BE155" s="185"/>
      <c r="BF155" s="185"/>
      <c r="BG155" s="185"/>
      <c r="BH155" s="185"/>
      <c r="BI155" s="185"/>
      <c r="BJ155" s="185"/>
      <c r="BK155" s="186"/>
    </row>
    <row r="156" spans="1:63">
      <c r="A156" s="185"/>
      <c r="B156" s="185"/>
      <c r="C156" s="185"/>
      <c r="D156" s="185"/>
      <c r="E156" s="185"/>
      <c r="F156" s="185"/>
      <c r="G156" s="185"/>
      <c r="H156" s="185"/>
      <c r="I156" s="185"/>
      <c r="J156" s="185"/>
      <c r="K156" s="185"/>
      <c r="L156" s="185"/>
      <c r="M156" s="185"/>
      <c r="N156" s="185"/>
      <c r="O156" s="185"/>
      <c r="P156" s="185"/>
      <c r="Q156" s="185"/>
      <c r="R156" s="185"/>
      <c r="S156" s="185"/>
      <c r="T156" s="185"/>
      <c r="U156" s="185"/>
      <c r="V156" s="185"/>
      <c r="W156" s="185"/>
      <c r="X156" s="185"/>
      <c r="Y156" s="185"/>
      <c r="Z156" s="185"/>
      <c r="AA156" s="185"/>
      <c r="AB156" s="185"/>
      <c r="AC156" s="185"/>
      <c r="AD156" s="185"/>
      <c r="AE156" s="185"/>
      <c r="AF156" s="185"/>
      <c r="AG156" s="185"/>
      <c r="AH156" s="185"/>
      <c r="AI156" s="185"/>
      <c r="AJ156" s="185"/>
      <c r="AK156" s="185"/>
      <c r="AL156" s="185"/>
      <c r="AM156" s="185"/>
      <c r="AN156" s="185"/>
      <c r="AO156" s="185"/>
      <c r="AP156" s="185"/>
      <c r="AQ156" s="185"/>
      <c r="AR156" s="185"/>
      <c r="AS156" s="185"/>
      <c r="AT156" s="185"/>
      <c r="AU156" s="185"/>
      <c r="AV156" s="185"/>
      <c r="AW156" s="185"/>
      <c r="AX156" s="185"/>
      <c r="AY156" s="185"/>
      <c r="AZ156" s="185"/>
      <c r="BA156" s="185"/>
      <c r="BB156" s="185"/>
      <c r="BC156" s="185"/>
      <c r="BD156" s="185"/>
      <c r="BE156" s="185"/>
      <c r="BF156" s="185"/>
      <c r="BG156" s="185"/>
      <c r="BH156" s="185"/>
      <c r="BI156" s="185"/>
      <c r="BJ156" s="185"/>
      <c r="BK156" s="186"/>
    </row>
    <row r="157" spans="1:63">
      <c r="A157" s="185"/>
      <c r="B157" s="185"/>
      <c r="C157" s="185"/>
      <c r="D157" s="185"/>
      <c r="E157" s="185"/>
      <c r="F157" s="185"/>
      <c r="G157" s="185"/>
      <c r="H157" s="185"/>
      <c r="I157" s="185"/>
      <c r="J157" s="185"/>
      <c r="K157" s="185"/>
      <c r="L157" s="185"/>
      <c r="M157" s="185"/>
      <c r="N157" s="185"/>
      <c r="O157" s="185"/>
      <c r="P157" s="185"/>
      <c r="Q157" s="185"/>
      <c r="R157" s="185"/>
      <c r="S157" s="185"/>
      <c r="T157" s="185"/>
      <c r="U157" s="185"/>
      <c r="V157" s="185"/>
      <c r="W157" s="185"/>
      <c r="X157" s="185"/>
      <c r="Y157" s="185"/>
      <c r="Z157" s="185"/>
      <c r="AA157" s="185"/>
      <c r="AB157" s="185"/>
      <c r="AC157" s="185"/>
      <c r="AD157" s="185"/>
      <c r="AE157" s="185"/>
      <c r="AF157" s="185"/>
      <c r="AG157" s="185"/>
      <c r="AH157" s="185"/>
      <c r="AI157" s="185"/>
      <c r="AJ157" s="185"/>
      <c r="AK157" s="185"/>
      <c r="AL157" s="185"/>
      <c r="AM157" s="185"/>
      <c r="AN157" s="185"/>
      <c r="AO157" s="185"/>
      <c r="AP157" s="185"/>
      <c r="AQ157" s="185"/>
      <c r="AR157" s="185"/>
      <c r="AS157" s="185"/>
      <c r="AT157" s="185"/>
      <c r="AU157" s="185"/>
      <c r="AV157" s="185"/>
      <c r="AW157" s="185"/>
      <c r="AX157" s="185"/>
      <c r="AY157" s="185"/>
      <c r="AZ157" s="185"/>
      <c r="BA157" s="185"/>
      <c r="BB157" s="185"/>
      <c r="BC157" s="185"/>
      <c r="BD157" s="185"/>
      <c r="BE157" s="185"/>
      <c r="BF157" s="185"/>
      <c r="BG157" s="185"/>
      <c r="BH157" s="185"/>
      <c r="BI157" s="185"/>
      <c r="BJ157" s="185"/>
      <c r="BK157" s="186"/>
    </row>
    <row r="158" spans="1:63">
      <c r="A158" s="185"/>
      <c r="B158" s="185"/>
      <c r="C158" s="185"/>
      <c r="D158" s="185"/>
      <c r="E158" s="185"/>
      <c r="F158" s="185"/>
      <c r="G158" s="185"/>
      <c r="H158" s="185"/>
      <c r="I158" s="185"/>
      <c r="J158" s="185"/>
      <c r="K158" s="185"/>
      <c r="L158" s="185"/>
      <c r="M158" s="185"/>
      <c r="N158" s="185"/>
      <c r="O158" s="185"/>
      <c r="P158" s="185"/>
      <c r="Q158" s="185"/>
      <c r="R158" s="185"/>
      <c r="S158" s="185"/>
      <c r="T158" s="185"/>
      <c r="U158" s="185"/>
      <c r="V158" s="185"/>
      <c r="W158" s="185"/>
      <c r="X158" s="185"/>
      <c r="Y158" s="185"/>
      <c r="Z158" s="185"/>
      <c r="AA158" s="185"/>
      <c r="AB158" s="185"/>
      <c r="AC158" s="185"/>
      <c r="AD158" s="185"/>
      <c r="AE158" s="185"/>
      <c r="AF158" s="185"/>
      <c r="AG158" s="185"/>
      <c r="AH158" s="185"/>
      <c r="AI158" s="185"/>
      <c r="AJ158" s="185"/>
      <c r="AK158" s="185"/>
      <c r="AL158" s="185"/>
      <c r="AM158" s="185"/>
      <c r="AN158" s="185"/>
      <c r="AO158" s="185"/>
      <c r="AP158" s="185"/>
      <c r="AQ158" s="185"/>
      <c r="AR158" s="185"/>
      <c r="AS158" s="185"/>
      <c r="AT158" s="185"/>
      <c r="AU158" s="185"/>
      <c r="AV158" s="185"/>
      <c r="AW158" s="185"/>
      <c r="AX158" s="185"/>
      <c r="AY158" s="185"/>
      <c r="AZ158" s="185"/>
      <c r="BA158" s="185"/>
      <c r="BB158" s="185"/>
      <c r="BC158" s="185"/>
      <c r="BD158" s="185"/>
      <c r="BE158" s="185"/>
      <c r="BF158" s="185"/>
      <c r="BG158" s="185"/>
      <c r="BH158" s="185"/>
      <c r="BI158" s="185"/>
      <c r="BJ158" s="185"/>
      <c r="BK158" s="186"/>
    </row>
    <row r="159" spans="1:63">
      <c r="A159" s="185"/>
      <c r="B159" s="185"/>
      <c r="C159" s="185"/>
      <c r="D159" s="185"/>
      <c r="E159" s="185"/>
      <c r="F159" s="185"/>
      <c r="G159" s="185"/>
      <c r="H159" s="185"/>
      <c r="I159" s="185"/>
      <c r="J159" s="185"/>
      <c r="K159" s="185"/>
      <c r="L159" s="185"/>
      <c r="M159" s="185"/>
      <c r="N159" s="185"/>
      <c r="O159" s="185"/>
      <c r="P159" s="185"/>
      <c r="Q159" s="185"/>
      <c r="R159" s="185"/>
      <c r="S159" s="185"/>
      <c r="T159" s="185"/>
      <c r="U159" s="185"/>
      <c r="V159" s="185"/>
      <c r="W159" s="185"/>
      <c r="X159" s="185"/>
      <c r="Y159" s="185"/>
      <c r="Z159" s="185"/>
      <c r="AA159" s="185"/>
      <c r="AB159" s="185"/>
      <c r="AC159" s="185"/>
      <c r="AD159" s="185"/>
      <c r="AE159" s="185"/>
      <c r="AF159" s="185"/>
      <c r="AG159" s="185"/>
      <c r="AH159" s="185"/>
      <c r="AI159" s="185"/>
      <c r="AJ159" s="185"/>
      <c r="AK159" s="185"/>
      <c r="AL159" s="185"/>
      <c r="AM159" s="185"/>
      <c r="AN159" s="185"/>
      <c r="AO159" s="185"/>
      <c r="AP159" s="185"/>
      <c r="AQ159" s="185"/>
      <c r="AR159" s="185"/>
      <c r="AS159" s="185"/>
      <c r="AT159" s="185"/>
      <c r="AU159" s="185"/>
      <c r="AV159" s="185"/>
      <c r="AW159" s="185"/>
      <c r="AX159" s="185"/>
      <c r="AY159" s="185"/>
      <c r="AZ159" s="185"/>
      <c r="BA159" s="185"/>
      <c r="BB159" s="185"/>
      <c r="BC159" s="185"/>
      <c r="BD159" s="185"/>
      <c r="BE159" s="185"/>
      <c r="BF159" s="185"/>
      <c r="BG159" s="185"/>
      <c r="BH159" s="185"/>
      <c r="BI159" s="185"/>
      <c r="BJ159" s="185"/>
      <c r="BK159" s="186"/>
    </row>
    <row r="160" spans="1:63">
      <c r="A160" s="185"/>
      <c r="B160" s="185"/>
      <c r="C160" s="185"/>
      <c r="D160" s="185"/>
      <c r="E160" s="185"/>
      <c r="F160" s="185"/>
      <c r="G160" s="185"/>
      <c r="H160" s="185"/>
      <c r="I160" s="185"/>
      <c r="J160" s="185"/>
      <c r="K160" s="185"/>
      <c r="L160" s="185"/>
      <c r="M160" s="185"/>
      <c r="N160" s="185"/>
      <c r="O160" s="185"/>
      <c r="P160" s="185"/>
      <c r="Q160" s="185"/>
      <c r="R160" s="185"/>
      <c r="S160" s="185"/>
      <c r="T160" s="185"/>
      <c r="U160" s="185"/>
      <c r="V160" s="185"/>
      <c r="W160" s="185"/>
      <c r="X160" s="185"/>
      <c r="Y160" s="185"/>
      <c r="Z160" s="185"/>
      <c r="AA160" s="185"/>
      <c r="AB160" s="185"/>
      <c r="AC160" s="185"/>
      <c r="AD160" s="185"/>
      <c r="AE160" s="185"/>
      <c r="AF160" s="185"/>
      <c r="AG160" s="185"/>
      <c r="AH160" s="185"/>
      <c r="AI160" s="185"/>
      <c r="AJ160" s="185"/>
      <c r="AK160" s="185"/>
      <c r="AL160" s="185"/>
      <c r="AM160" s="185"/>
      <c r="AN160" s="185"/>
      <c r="AO160" s="185"/>
      <c r="AP160" s="185"/>
      <c r="AQ160" s="185"/>
      <c r="AR160" s="185"/>
      <c r="AS160" s="185"/>
      <c r="AT160" s="185"/>
      <c r="AU160" s="185"/>
      <c r="AV160" s="185"/>
      <c r="AW160" s="185"/>
      <c r="AX160" s="185"/>
      <c r="AY160" s="185"/>
      <c r="AZ160" s="185"/>
      <c r="BA160" s="185"/>
      <c r="BB160" s="185"/>
      <c r="BC160" s="185"/>
      <c r="BD160" s="185"/>
      <c r="BE160" s="185"/>
      <c r="BF160" s="185"/>
      <c r="BG160" s="185"/>
      <c r="BH160" s="185"/>
      <c r="BI160" s="185"/>
      <c r="BJ160" s="185"/>
      <c r="BK160" s="186"/>
    </row>
    <row r="161" spans="1:63">
      <c r="A161" s="185"/>
      <c r="B161" s="185"/>
      <c r="C161" s="185"/>
      <c r="D161" s="185"/>
      <c r="E161" s="185"/>
      <c r="F161" s="185"/>
      <c r="G161" s="185"/>
      <c r="H161" s="185"/>
      <c r="I161" s="185"/>
      <c r="J161" s="185"/>
      <c r="K161" s="185"/>
      <c r="L161" s="185"/>
      <c r="M161" s="185"/>
      <c r="N161" s="185"/>
      <c r="O161" s="185"/>
      <c r="P161" s="185"/>
      <c r="Q161" s="185"/>
      <c r="R161" s="185"/>
      <c r="S161" s="185"/>
      <c r="T161" s="185"/>
      <c r="U161" s="185"/>
      <c r="V161" s="185"/>
      <c r="W161" s="185"/>
      <c r="X161" s="185"/>
      <c r="Y161" s="185"/>
      <c r="Z161" s="185"/>
      <c r="AA161" s="185"/>
      <c r="AB161" s="185"/>
      <c r="AC161" s="185"/>
      <c r="AD161" s="185"/>
      <c r="AE161" s="185"/>
      <c r="AF161" s="185"/>
      <c r="AG161" s="185"/>
      <c r="AH161" s="185"/>
      <c r="AI161" s="185"/>
      <c r="AJ161" s="185"/>
      <c r="AK161" s="185"/>
      <c r="AL161" s="185"/>
      <c r="AM161" s="185"/>
      <c r="AN161" s="185"/>
      <c r="AO161" s="185"/>
      <c r="AP161" s="185"/>
      <c r="AQ161" s="185"/>
      <c r="AR161" s="185"/>
      <c r="AS161" s="185"/>
      <c r="AT161" s="185"/>
      <c r="AU161" s="185"/>
      <c r="AV161" s="185"/>
      <c r="AW161" s="185"/>
      <c r="AX161" s="185"/>
      <c r="AY161" s="185"/>
      <c r="AZ161" s="185"/>
      <c r="BA161" s="185"/>
      <c r="BB161" s="185"/>
      <c r="BC161" s="185"/>
      <c r="BD161" s="185"/>
      <c r="BE161" s="185"/>
      <c r="BF161" s="185"/>
      <c r="BG161" s="185"/>
      <c r="BH161" s="185"/>
      <c r="BI161" s="185"/>
      <c r="BJ161" s="185"/>
      <c r="BK161" s="186"/>
    </row>
    <row r="162" spans="1:63">
      <c r="A162" s="185"/>
      <c r="B162" s="185"/>
      <c r="C162" s="185"/>
      <c r="D162" s="185"/>
      <c r="E162" s="185"/>
      <c r="F162" s="185"/>
      <c r="G162" s="185"/>
      <c r="H162" s="185"/>
      <c r="I162" s="185"/>
      <c r="J162" s="185"/>
      <c r="K162" s="185"/>
      <c r="L162" s="185"/>
      <c r="M162" s="185"/>
      <c r="N162" s="185"/>
      <c r="O162" s="185"/>
      <c r="P162" s="185"/>
      <c r="Q162" s="185"/>
      <c r="R162" s="185"/>
      <c r="S162" s="185"/>
      <c r="T162" s="185"/>
      <c r="U162" s="185"/>
      <c r="V162" s="185"/>
      <c r="W162" s="185"/>
      <c r="X162" s="185"/>
      <c r="Y162" s="185"/>
      <c r="Z162" s="185"/>
      <c r="AA162" s="185"/>
      <c r="AB162" s="185"/>
      <c r="AC162" s="185"/>
      <c r="AD162" s="185"/>
      <c r="AE162" s="185"/>
      <c r="AF162" s="185"/>
      <c r="AG162" s="185"/>
      <c r="AH162" s="185"/>
      <c r="AI162" s="185"/>
      <c r="AJ162" s="185"/>
      <c r="AK162" s="185"/>
      <c r="AL162" s="185"/>
      <c r="AM162" s="185"/>
      <c r="AN162" s="185"/>
      <c r="AO162" s="185"/>
      <c r="AP162" s="185"/>
      <c r="AQ162" s="185"/>
      <c r="AR162" s="185"/>
      <c r="AS162" s="185"/>
      <c r="AT162" s="185"/>
      <c r="AU162" s="185"/>
      <c r="AV162" s="185"/>
      <c r="AW162" s="185"/>
      <c r="AX162" s="185"/>
      <c r="AY162" s="185"/>
      <c r="AZ162" s="185"/>
      <c r="BA162" s="185"/>
      <c r="BB162" s="185"/>
      <c r="BC162" s="185"/>
      <c r="BD162" s="185"/>
      <c r="BE162" s="185"/>
      <c r="BF162" s="185"/>
      <c r="BG162" s="185"/>
      <c r="BH162" s="185"/>
      <c r="BI162" s="185"/>
      <c r="BJ162" s="185"/>
      <c r="BK162" s="186"/>
    </row>
    <row r="163" spans="1:63">
      <c r="A163" s="185"/>
      <c r="B163" s="185"/>
      <c r="C163" s="185"/>
      <c r="D163" s="185"/>
      <c r="E163" s="185"/>
      <c r="F163" s="185"/>
      <c r="G163" s="185"/>
      <c r="H163" s="185"/>
      <c r="I163" s="185"/>
      <c r="J163" s="185"/>
      <c r="K163" s="185"/>
      <c r="L163" s="185"/>
      <c r="M163" s="185"/>
      <c r="N163" s="185"/>
      <c r="O163" s="185"/>
      <c r="P163" s="185"/>
      <c r="Q163" s="185"/>
      <c r="R163" s="185"/>
      <c r="S163" s="185"/>
      <c r="T163" s="185"/>
      <c r="U163" s="185"/>
      <c r="V163" s="185"/>
      <c r="W163" s="185"/>
      <c r="X163" s="185"/>
      <c r="Y163" s="185"/>
      <c r="Z163" s="185"/>
      <c r="AA163" s="185"/>
      <c r="AB163" s="185"/>
      <c r="AC163" s="185"/>
      <c r="AD163" s="185"/>
      <c r="AE163" s="185"/>
      <c r="AF163" s="185"/>
      <c r="AG163" s="185"/>
      <c r="AH163" s="185"/>
      <c r="AI163" s="185"/>
      <c r="AJ163" s="185"/>
      <c r="AK163" s="185"/>
      <c r="AL163" s="185"/>
      <c r="AM163" s="185"/>
      <c r="AN163" s="185"/>
      <c r="AO163" s="185"/>
      <c r="AP163" s="185"/>
      <c r="AQ163" s="185"/>
      <c r="AR163" s="185"/>
      <c r="AS163" s="185"/>
      <c r="AT163" s="185"/>
      <c r="AU163" s="185"/>
      <c r="AV163" s="185"/>
      <c r="AW163" s="185"/>
      <c r="AX163" s="185"/>
      <c r="AY163" s="185"/>
      <c r="AZ163" s="185"/>
      <c r="BA163" s="185"/>
      <c r="BB163" s="185"/>
      <c r="BC163" s="185"/>
      <c r="BD163" s="185"/>
      <c r="BE163" s="185"/>
      <c r="BF163" s="185"/>
      <c r="BG163" s="185"/>
      <c r="BH163" s="185"/>
      <c r="BI163" s="185"/>
      <c r="BJ163" s="185"/>
      <c r="BK163" s="186"/>
    </row>
    <row r="164" spans="1:63">
      <c r="A164" s="185"/>
      <c r="B164" s="185"/>
      <c r="C164" s="185"/>
      <c r="D164" s="185"/>
      <c r="E164" s="185"/>
      <c r="F164" s="185"/>
      <c r="G164" s="185"/>
      <c r="H164" s="185"/>
      <c r="I164" s="185"/>
      <c r="J164" s="185"/>
      <c r="K164" s="185"/>
      <c r="L164" s="185"/>
      <c r="M164" s="185"/>
      <c r="N164" s="185"/>
      <c r="O164" s="185"/>
      <c r="P164" s="185"/>
      <c r="Q164" s="185"/>
      <c r="R164" s="185"/>
      <c r="S164" s="185"/>
      <c r="T164" s="185"/>
      <c r="U164" s="185"/>
      <c r="V164" s="185"/>
      <c r="W164" s="185"/>
      <c r="X164" s="185"/>
      <c r="Y164" s="185"/>
      <c r="Z164" s="185"/>
      <c r="AA164" s="185"/>
      <c r="AB164" s="185"/>
      <c r="AC164" s="185"/>
      <c r="AD164" s="185"/>
      <c r="AE164" s="185"/>
      <c r="AF164" s="185"/>
      <c r="AG164" s="185"/>
      <c r="AH164" s="185"/>
      <c r="AI164" s="185"/>
      <c r="AJ164" s="185"/>
      <c r="AK164" s="185"/>
      <c r="AL164" s="185"/>
      <c r="AM164" s="185"/>
      <c r="AN164" s="185"/>
      <c r="AO164" s="185"/>
      <c r="AP164" s="185"/>
      <c r="AQ164" s="185"/>
      <c r="AR164" s="185"/>
      <c r="AS164" s="185"/>
      <c r="AT164" s="185"/>
      <c r="AU164" s="185"/>
      <c r="AV164" s="185"/>
      <c r="AW164" s="185"/>
      <c r="AX164" s="185"/>
      <c r="AY164" s="185"/>
      <c r="AZ164" s="185"/>
      <c r="BA164" s="185"/>
      <c r="BB164" s="185"/>
      <c r="BC164" s="185"/>
      <c r="BD164" s="185"/>
      <c r="BE164" s="185"/>
      <c r="BF164" s="185"/>
      <c r="BG164" s="185"/>
      <c r="BH164" s="185"/>
      <c r="BI164" s="185"/>
      <c r="BJ164" s="185"/>
      <c r="BK164" s="186"/>
    </row>
    <row r="165" spans="1:63">
      <c r="A165" s="185"/>
      <c r="B165" s="185"/>
      <c r="C165" s="185"/>
      <c r="D165" s="185"/>
      <c r="E165" s="185"/>
      <c r="F165" s="185"/>
      <c r="G165" s="185"/>
      <c r="H165" s="185"/>
      <c r="I165" s="185"/>
      <c r="J165" s="185"/>
      <c r="K165" s="185"/>
      <c r="L165" s="185"/>
      <c r="M165" s="185"/>
      <c r="N165" s="185"/>
      <c r="O165" s="185"/>
      <c r="P165" s="185"/>
      <c r="Q165" s="185"/>
      <c r="R165" s="185"/>
      <c r="S165" s="185"/>
      <c r="T165" s="185"/>
      <c r="U165" s="185"/>
      <c r="V165" s="185"/>
      <c r="W165" s="185"/>
      <c r="X165" s="185"/>
      <c r="Y165" s="185"/>
      <c r="Z165" s="185"/>
      <c r="AA165" s="185"/>
      <c r="AB165" s="185"/>
      <c r="AC165" s="185"/>
      <c r="AD165" s="185"/>
      <c r="AE165" s="185"/>
      <c r="AF165" s="185"/>
      <c r="AG165" s="185"/>
      <c r="AH165" s="185"/>
      <c r="AI165" s="185"/>
      <c r="AJ165" s="185"/>
      <c r="AK165" s="185"/>
      <c r="AL165" s="185"/>
      <c r="AM165" s="185"/>
      <c r="AN165" s="185"/>
      <c r="AO165" s="185"/>
      <c r="AP165" s="185"/>
      <c r="AQ165" s="185"/>
      <c r="AR165" s="185"/>
      <c r="AS165" s="185"/>
      <c r="AT165" s="185"/>
      <c r="AU165" s="185"/>
      <c r="AV165" s="185"/>
      <c r="AW165" s="185"/>
      <c r="AX165" s="185"/>
      <c r="AY165" s="185"/>
      <c r="AZ165" s="185"/>
      <c r="BA165" s="185"/>
      <c r="BB165" s="185"/>
      <c r="BC165" s="185"/>
      <c r="BD165" s="185"/>
      <c r="BE165" s="185"/>
      <c r="BF165" s="185"/>
      <c r="BG165" s="185"/>
      <c r="BH165" s="185"/>
      <c r="BI165" s="185"/>
      <c r="BJ165" s="185"/>
      <c r="BK165" s="186"/>
    </row>
    <row r="166" spans="1:63">
      <c r="A166" s="185"/>
      <c r="B166" s="185"/>
      <c r="C166" s="185"/>
      <c r="D166" s="185"/>
      <c r="E166" s="185"/>
      <c r="F166" s="185"/>
      <c r="G166" s="185"/>
      <c r="H166" s="185"/>
      <c r="I166" s="185"/>
      <c r="J166" s="185"/>
      <c r="K166" s="185"/>
      <c r="L166" s="185"/>
      <c r="M166" s="185"/>
      <c r="N166" s="185"/>
      <c r="O166" s="185"/>
      <c r="P166" s="185"/>
      <c r="Q166" s="185"/>
      <c r="R166" s="185"/>
      <c r="S166" s="185"/>
      <c r="T166" s="185"/>
      <c r="U166" s="185"/>
      <c r="V166" s="185"/>
      <c r="W166" s="185"/>
      <c r="X166" s="185"/>
      <c r="Y166" s="185"/>
      <c r="Z166" s="185"/>
      <c r="AA166" s="185"/>
      <c r="AB166" s="185"/>
      <c r="AC166" s="185"/>
      <c r="AD166" s="185"/>
      <c r="AE166" s="185"/>
      <c r="AF166" s="185"/>
      <c r="AG166" s="185"/>
      <c r="AH166" s="185"/>
      <c r="AI166" s="185"/>
      <c r="AJ166" s="185"/>
      <c r="AK166" s="185"/>
      <c r="AL166" s="185"/>
      <c r="AM166" s="185"/>
      <c r="AN166" s="185"/>
      <c r="AO166" s="185"/>
      <c r="AP166" s="185"/>
      <c r="AQ166" s="185"/>
      <c r="AR166" s="185"/>
      <c r="AS166" s="185"/>
      <c r="AT166" s="185"/>
      <c r="AU166" s="185"/>
      <c r="AV166" s="185"/>
      <c r="AW166" s="185"/>
      <c r="AX166" s="185"/>
      <c r="AY166" s="185"/>
      <c r="AZ166" s="185"/>
      <c r="BA166" s="185"/>
      <c r="BB166" s="185"/>
      <c r="BC166" s="185"/>
      <c r="BD166" s="185"/>
      <c r="BE166" s="185"/>
      <c r="BF166" s="185"/>
      <c r="BG166" s="185"/>
      <c r="BH166" s="185"/>
      <c r="BI166" s="185"/>
      <c r="BJ166" s="185"/>
      <c r="BK166" s="186"/>
    </row>
    <row r="167" spans="1:63">
      <c r="A167" s="185"/>
      <c r="B167" s="185"/>
      <c r="C167" s="185"/>
      <c r="D167" s="185"/>
      <c r="E167" s="185"/>
      <c r="F167" s="185"/>
      <c r="G167" s="185"/>
      <c r="H167" s="185"/>
      <c r="I167" s="185"/>
      <c r="J167" s="185"/>
      <c r="K167" s="185"/>
      <c r="L167" s="185"/>
      <c r="M167" s="185"/>
      <c r="N167" s="185"/>
      <c r="O167" s="185"/>
      <c r="P167" s="185"/>
      <c r="Q167" s="185"/>
      <c r="R167" s="185"/>
      <c r="S167" s="185"/>
      <c r="T167" s="185"/>
      <c r="U167" s="185"/>
      <c r="V167" s="185"/>
      <c r="W167" s="185"/>
      <c r="X167" s="185"/>
      <c r="Y167" s="185"/>
      <c r="Z167" s="185"/>
      <c r="AA167" s="185"/>
      <c r="AB167" s="185"/>
      <c r="AC167" s="185"/>
      <c r="AD167" s="185"/>
      <c r="AE167" s="185"/>
      <c r="AF167" s="185"/>
      <c r="AG167" s="185"/>
      <c r="AH167" s="185"/>
      <c r="AI167" s="185"/>
      <c r="AJ167" s="185"/>
      <c r="AK167" s="185"/>
      <c r="AL167" s="185"/>
      <c r="AM167" s="185"/>
      <c r="AN167" s="185"/>
      <c r="AO167" s="185"/>
      <c r="AP167" s="185"/>
      <c r="AQ167" s="185"/>
      <c r="AR167" s="185"/>
      <c r="AS167" s="185"/>
      <c r="AT167" s="185"/>
      <c r="AU167" s="185"/>
      <c r="AV167" s="185"/>
      <c r="AW167" s="185"/>
      <c r="AX167" s="185"/>
      <c r="AY167" s="185"/>
      <c r="AZ167" s="185"/>
      <c r="BA167" s="185"/>
      <c r="BB167" s="185"/>
      <c r="BC167" s="185"/>
      <c r="BD167" s="185"/>
      <c r="BE167" s="185"/>
      <c r="BF167" s="185"/>
      <c r="BG167" s="185"/>
      <c r="BH167" s="185"/>
      <c r="BI167" s="185"/>
      <c r="BJ167" s="185"/>
      <c r="BK167" s="186"/>
    </row>
    <row r="168" spans="1:63">
      <c r="A168" s="185"/>
      <c r="B168" s="185"/>
      <c r="C168" s="185"/>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6"/>
    </row>
    <row r="169" spans="1:63">
      <c r="A169" s="185"/>
      <c r="B169" s="185"/>
      <c r="C169" s="185"/>
      <c r="D169" s="185"/>
      <c r="E169" s="185"/>
      <c r="F169" s="185"/>
      <c r="G169" s="185"/>
      <c r="H169" s="185"/>
      <c r="I169" s="185"/>
      <c r="J169" s="185"/>
      <c r="K169" s="185"/>
      <c r="L169" s="185"/>
      <c r="M169" s="185"/>
      <c r="N169" s="185"/>
      <c r="O169" s="185"/>
      <c r="P169" s="185"/>
      <c r="Q169" s="185"/>
      <c r="R169" s="185"/>
      <c r="S169" s="185"/>
      <c r="T169" s="185"/>
      <c r="U169" s="185"/>
      <c r="V169" s="185"/>
      <c r="W169" s="185"/>
      <c r="X169" s="185"/>
      <c r="Y169" s="185"/>
      <c r="Z169" s="185"/>
      <c r="AA169" s="185"/>
      <c r="AB169" s="185"/>
      <c r="AC169" s="185"/>
      <c r="AD169" s="185"/>
      <c r="AE169" s="185"/>
      <c r="AF169" s="185"/>
      <c r="AG169" s="185"/>
      <c r="AH169" s="185"/>
      <c r="AI169" s="185"/>
      <c r="AJ169" s="185"/>
      <c r="AK169" s="185"/>
      <c r="AL169" s="185"/>
      <c r="AM169" s="185"/>
      <c r="AN169" s="185"/>
      <c r="AO169" s="185"/>
      <c r="AP169" s="185"/>
      <c r="AQ169" s="185"/>
      <c r="AR169" s="185"/>
      <c r="AS169" s="185"/>
      <c r="AT169" s="185"/>
      <c r="AU169" s="185"/>
      <c r="AV169" s="185"/>
      <c r="AW169" s="185"/>
      <c r="AX169" s="185"/>
      <c r="AY169" s="185"/>
      <c r="AZ169" s="185"/>
      <c r="BA169" s="185"/>
      <c r="BB169" s="185"/>
      <c r="BC169" s="185"/>
      <c r="BD169" s="185"/>
      <c r="BE169" s="185"/>
      <c r="BF169" s="185"/>
      <c r="BG169" s="185"/>
      <c r="BH169" s="185"/>
      <c r="BI169" s="185"/>
      <c r="BJ169" s="185"/>
      <c r="BK169" s="186"/>
    </row>
    <row r="170" spans="1:63">
      <c r="A170" s="185"/>
      <c r="B170" s="185"/>
      <c r="C170" s="185"/>
      <c r="D170" s="185"/>
      <c r="E170" s="185"/>
      <c r="F170" s="185"/>
      <c r="G170" s="185"/>
      <c r="H170" s="185"/>
      <c r="I170" s="185"/>
      <c r="J170" s="185"/>
      <c r="K170" s="185"/>
      <c r="L170" s="185"/>
      <c r="M170" s="185"/>
      <c r="N170" s="185"/>
      <c r="O170" s="185"/>
      <c r="P170" s="185"/>
      <c r="Q170" s="185"/>
      <c r="R170" s="185"/>
      <c r="S170" s="185"/>
      <c r="T170" s="185"/>
      <c r="U170" s="185"/>
      <c r="V170" s="185"/>
      <c r="W170" s="185"/>
      <c r="X170" s="185"/>
      <c r="Y170" s="185"/>
      <c r="Z170" s="185"/>
      <c r="AA170" s="185"/>
      <c r="AB170" s="185"/>
      <c r="AC170" s="185"/>
      <c r="AD170" s="185"/>
      <c r="AE170" s="185"/>
      <c r="AF170" s="185"/>
      <c r="AG170" s="185"/>
      <c r="AH170" s="185"/>
      <c r="AI170" s="185"/>
      <c r="AJ170" s="185"/>
      <c r="AK170" s="185"/>
      <c r="AL170" s="185"/>
      <c r="AM170" s="185"/>
      <c r="AN170" s="185"/>
      <c r="AO170" s="185"/>
      <c r="AP170" s="185"/>
      <c r="AQ170" s="185"/>
      <c r="AR170" s="185"/>
      <c r="AS170" s="185"/>
      <c r="AT170" s="185"/>
      <c r="AU170" s="185"/>
      <c r="AV170" s="185"/>
      <c r="AW170" s="185"/>
      <c r="AX170" s="185"/>
      <c r="AY170" s="185"/>
      <c r="AZ170" s="185"/>
      <c r="BA170" s="185"/>
      <c r="BB170" s="185"/>
      <c r="BC170" s="185"/>
      <c r="BD170" s="185"/>
      <c r="BE170" s="185"/>
      <c r="BF170" s="185"/>
      <c r="BG170" s="185"/>
      <c r="BH170" s="185"/>
      <c r="BI170" s="185"/>
      <c r="BJ170" s="185"/>
      <c r="BK170" s="186"/>
    </row>
    <row r="171" spans="1:63">
      <c r="A171" s="185"/>
      <c r="B171" s="185"/>
      <c r="C171" s="185"/>
      <c r="D171" s="185"/>
      <c r="E171" s="185"/>
      <c r="F171" s="185"/>
      <c r="G171" s="185"/>
      <c r="H171" s="185"/>
      <c r="I171" s="185"/>
      <c r="J171" s="185"/>
      <c r="K171" s="185"/>
      <c r="L171" s="185"/>
      <c r="M171" s="185"/>
      <c r="N171" s="185"/>
      <c r="O171" s="185"/>
      <c r="P171" s="185"/>
      <c r="Q171" s="185"/>
      <c r="R171" s="185"/>
      <c r="S171" s="185"/>
      <c r="T171" s="185"/>
      <c r="U171" s="185"/>
      <c r="V171" s="185"/>
      <c r="W171" s="185"/>
      <c r="X171" s="185"/>
      <c r="Y171" s="185"/>
      <c r="Z171" s="185"/>
      <c r="AA171" s="185"/>
      <c r="AB171" s="185"/>
      <c r="AC171" s="185"/>
      <c r="AD171" s="185"/>
      <c r="AE171" s="185"/>
      <c r="AF171" s="185"/>
      <c r="AG171" s="185"/>
      <c r="AH171" s="185"/>
      <c r="AI171" s="185"/>
      <c r="AJ171" s="185"/>
      <c r="AK171" s="185"/>
      <c r="AL171" s="185"/>
      <c r="AM171" s="185"/>
      <c r="AN171" s="185"/>
      <c r="AO171" s="185"/>
      <c r="AP171" s="185"/>
      <c r="AQ171" s="185"/>
      <c r="AR171" s="185"/>
      <c r="AS171" s="185"/>
      <c r="AT171" s="185"/>
      <c r="AU171" s="185"/>
      <c r="AV171" s="185"/>
      <c r="AW171" s="185"/>
      <c r="AX171" s="185"/>
      <c r="AY171" s="185"/>
      <c r="AZ171" s="185"/>
      <c r="BA171" s="185"/>
      <c r="BB171" s="185"/>
      <c r="BC171" s="185"/>
      <c r="BD171" s="185"/>
      <c r="BE171" s="185"/>
      <c r="BF171" s="185"/>
      <c r="BG171" s="185"/>
      <c r="BH171" s="185"/>
      <c r="BI171" s="185"/>
      <c r="BJ171" s="185"/>
      <c r="BK171" s="186"/>
    </row>
    <row r="172" spans="1:63">
      <c r="A172" s="185"/>
      <c r="B172" s="185"/>
      <c r="C172" s="185"/>
      <c r="D172" s="185"/>
      <c r="E172" s="185"/>
      <c r="F172" s="185"/>
      <c r="G172" s="185"/>
      <c r="H172" s="185"/>
      <c r="I172" s="185"/>
      <c r="J172" s="185"/>
      <c r="K172" s="185"/>
      <c r="L172" s="185"/>
      <c r="M172" s="185"/>
      <c r="N172" s="185"/>
      <c r="O172" s="185"/>
      <c r="P172" s="185"/>
      <c r="Q172" s="185"/>
      <c r="R172" s="185"/>
      <c r="S172" s="185"/>
      <c r="T172" s="185"/>
      <c r="U172" s="185"/>
      <c r="V172" s="185"/>
      <c r="W172" s="185"/>
      <c r="X172" s="185"/>
      <c r="Y172" s="185"/>
      <c r="Z172" s="185"/>
      <c r="AA172" s="185"/>
      <c r="AB172" s="185"/>
      <c r="AC172" s="185"/>
      <c r="AD172" s="185"/>
      <c r="AE172" s="185"/>
      <c r="AF172" s="185"/>
      <c r="AG172" s="185"/>
      <c r="AH172" s="185"/>
      <c r="AI172" s="185"/>
      <c r="AJ172" s="185"/>
      <c r="AK172" s="185"/>
      <c r="AL172" s="185"/>
      <c r="AM172" s="185"/>
      <c r="AN172" s="185"/>
      <c r="AO172" s="185"/>
      <c r="AP172" s="185"/>
      <c r="AQ172" s="185"/>
      <c r="AR172" s="185"/>
      <c r="AS172" s="185"/>
      <c r="AT172" s="185"/>
      <c r="AU172" s="185"/>
      <c r="AV172" s="185"/>
      <c r="AW172" s="185"/>
      <c r="AX172" s="185"/>
      <c r="AY172" s="185"/>
      <c r="AZ172" s="185"/>
      <c r="BA172" s="185"/>
      <c r="BB172" s="185"/>
      <c r="BC172" s="185"/>
      <c r="BD172" s="185"/>
      <c r="BE172" s="185"/>
      <c r="BF172" s="185"/>
      <c r="BG172" s="185"/>
      <c r="BH172" s="185"/>
      <c r="BI172" s="185"/>
      <c r="BJ172" s="185"/>
      <c r="BK172" s="186"/>
    </row>
    <row r="173" spans="1:63">
      <c r="A173" s="185"/>
      <c r="B173" s="185"/>
      <c r="C173" s="185"/>
      <c r="D173" s="185"/>
      <c r="E173" s="185"/>
      <c r="F173" s="185"/>
      <c r="G173" s="185"/>
      <c r="H173" s="185"/>
      <c r="I173" s="185"/>
      <c r="J173" s="185"/>
      <c r="K173" s="185"/>
      <c r="L173" s="185"/>
      <c r="M173" s="185"/>
      <c r="N173" s="185"/>
      <c r="O173" s="185"/>
      <c r="P173" s="185"/>
      <c r="Q173" s="185"/>
      <c r="R173" s="185"/>
      <c r="S173" s="185"/>
      <c r="T173" s="185"/>
      <c r="U173" s="185"/>
      <c r="V173" s="185"/>
      <c r="W173" s="185"/>
      <c r="X173" s="185"/>
      <c r="Y173" s="185"/>
      <c r="Z173" s="185"/>
      <c r="AA173" s="185"/>
      <c r="AB173" s="185"/>
      <c r="AC173" s="185"/>
      <c r="AD173" s="185"/>
      <c r="AE173" s="185"/>
      <c r="AF173" s="185"/>
      <c r="AG173" s="185"/>
      <c r="AH173" s="185"/>
      <c r="AI173" s="185"/>
      <c r="AJ173" s="185"/>
      <c r="AK173" s="185"/>
      <c r="AL173" s="185"/>
      <c r="AM173" s="185"/>
      <c r="AN173" s="185"/>
      <c r="AO173" s="185"/>
      <c r="AP173" s="185"/>
      <c r="AQ173" s="185"/>
      <c r="AR173" s="185"/>
      <c r="AS173" s="185"/>
      <c r="AT173" s="185"/>
      <c r="AU173" s="185"/>
      <c r="AV173" s="185"/>
      <c r="AW173" s="185"/>
      <c r="AX173" s="185"/>
      <c r="AY173" s="185"/>
      <c r="AZ173" s="185"/>
      <c r="BA173" s="185"/>
      <c r="BB173" s="185"/>
      <c r="BC173" s="185"/>
      <c r="BD173" s="185"/>
      <c r="BE173" s="185"/>
      <c r="BF173" s="185"/>
      <c r="BG173" s="185"/>
      <c r="BH173" s="185"/>
      <c r="BI173" s="185"/>
      <c r="BJ173" s="185"/>
      <c r="BK173" s="186"/>
    </row>
    <row r="174" spans="1:63">
      <c r="A174" s="185"/>
      <c r="B174" s="185"/>
      <c r="C174" s="185"/>
      <c r="D174" s="185"/>
      <c r="E174" s="185"/>
      <c r="F174" s="185"/>
      <c r="G174" s="185"/>
      <c r="H174" s="185"/>
      <c r="I174" s="185"/>
      <c r="J174" s="185"/>
      <c r="K174" s="185"/>
      <c r="L174" s="185"/>
      <c r="M174" s="185"/>
      <c r="N174" s="185"/>
      <c r="O174" s="185"/>
      <c r="P174" s="185"/>
      <c r="Q174" s="185"/>
      <c r="R174" s="185"/>
      <c r="S174" s="185"/>
      <c r="T174" s="185"/>
      <c r="U174" s="185"/>
      <c r="V174" s="185"/>
      <c r="W174" s="185"/>
      <c r="X174" s="185"/>
      <c r="Y174" s="185"/>
      <c r="Z174" s="185"/>
      <c r="AA174" s="185"/>
      <c r="AB174" s="185"/>
      <c r="AC174" s="185"/>
      <c r="AD174" s="185"/>
      <c r="AE174" s="185"/>
      <c r="AF174" s="185"/>
      <c r="AG174" s="185"/>
      <c r="AH174" s="185"/>
      <c r="AI174" s="185"/>
      <c r="AJ174" s="185"/>
      <c r="AK174" s="185"/>
      <c r="AL174" s="185"/>
      <c r="AM174" s="185"/>
      <c r="AN174" s="185"/>
      <c r="AO174" s="185"/>
      <c r="AP174" s="185"/>
      <c r="AQ174" s="185"/>
      <c r="AR174" s="185"/>
      <c r="AS174" s="185"/>
      <c r="AT174" s="185"/>
      <c r="AU174" s="185"/>
      <c r="AV174" s="185"/>
      <c r="AW174" s="185"/>
      <c r="AX174" s="185"/>
      <c r="AY174" s="185"/>
      <c r="AZ174" s="185"/>
      <c r="BA174" s="185"/>
      <c r="BB174" s="185"/>
      <c r="BC174" s="185"/>
      <c r="BD174" s="185"/>
      <c r="BE174" s="185"/>
      <c r="BF174" s="185"/>
      <c r="BG174" s="185"/>
      <c r="BH174" s="185"/>
      <c r="BI174" s="185"/>
      <c r="BJ174" s="185"/>
      <c r="BK174" s="186"/>
    </row>
    <row r="175" spans="1:63">
      <c r="A175" s="185"/>
      <c r="B175" s="185"/>
      <c r="C175" s="185"/>
      <c r="D175" s="185"/>
      <c r="E175" s="185"/>
      <c r="F175" s="185"/>
      <c r="G175" s="185"/>
      <c r="H175" s="185"/>
      <c r="I175" s="185"/>
      <c r="J175" s="185"/>
      <c r="K175" s="185"/>
      <c r="L175" s="185"/>
      <c r="M175" s="185"/>
      <c r="N175" s="185"/>
      <c r="O175" s="185"/>
      <c r="P175" s="185"/>
      <c r="Q175" s="185"/>
      <c r="R175" s="185"/>
      <c r="S175" s="185"/>
      <c r="T175" s="185"/>
      <c r="U175" s="185"/>
      <c r="V175" s="185"/>
      <c r="W175" s="185"/>
      <c r="X175" s="185"/>
      <c r="Y175" s="185"/>
      <c r="Z175" s="185"/>
      <c r="AA175" s="185"/>
      <c r="AB175" s="185"/>
      <c r="AC175" s="185"/>
      <c r="AD175" s="185"/>
      <c r="AE175" s="185"/>
      <c r="AF175" s="185"/>
      <c r="AG175" s="185"/>
      <c r="AH175" s="185"/>
      <c r="AI175" s="185"/>
      <c r="AJ175" s="185"/>
      <c r="AK175" s="185"/>
      <c r="AL175" s="185"/>
      <c r="AM175" s="185"/>
      <c r="AN175" s="185"/>
      <c r="AO175" s="185"/>
      <c r="AP175" s="185"/>
      <c r="AQ175" s="185"/>
      <c r="AR175" s="185"/>
      <c r="AS175" s="185"/>
      <c r="AT175" s="185"/>
      <c r="AU175" s="185"/>
      <c r="AV175" s="185"/>
      <c r="AW175" s="185"/>
      <c r="AX175" s="185"/>
      <c r="AY175" s="185"/>
      <c r="AZ175" s="185"/>
      <c r="BA175" s="185"/>
      <c r="BB175" s="185"/>
      <c r="BC175" s="185"/>
      <c r="BD175" s="185"/>
      <c r="BE175" s="185"/>
      <c r="BF175" s="185"/>
      <c r="BG175" s="185"/>
      <c r="BH175" s="185"/>
      <c r="BI175" s="185"/>
      <c r="BJ175" s="185"/>
      <c r="BK175" s="186"/>
    </row>
    <row r="176" spans="1:63">
      <c r="A176" s="185"/>
      <c r="B176" s="185"/>
      <c r="C176" s="185"/>
      <c r="D176" s="185"/>
      <c r="E176" s="185"/>
      <c r="F176" s="185"/>
      <c r="G176" s="185"/>
      <c r="H176" s="185"/>
      <c r="I176" s="185"/>
      <c r="J176" s="185"/>
      <c r="K176" s="185"/>
      <c r="L176" s="185"/>
      <c r="M176" s="185"/>
      <c r="N176" s="185"/>
      <c r="O176" s="185"/>
      <c r="P176" s="185"/>
      <c r="Q176" s="185"/>
      <c r="R176" s="185"/>
      <c r="S176" s="185"/>
      <c r="T176" s="185"/>
      <c r="U176" s="185"/>
      <c r="V176" s="185"/>
      <c r="W176" s="185"/>
      <c r="X176" s="185"/>
      <c r="Y176" s="185"/>
      <c r="Z176" s="185"/>
      <c r="AA176" s="185"/>
      <c r="AB176" s="185"/>
      <c r="AC176" s="185"/>
      <c r="AD176" s="185"/>
      <c r="AE176" s="185"/>
      <c r="AF176" s="185"/>
      <c r="AG176" s="185"/>
      <c r="AH176" s="185"/>
      <c r="AI176" s="185"/>
      <c r="AJ176" s="185"/>
      <c r="AK176" s="185"/>
      <c r="AL176" s="185"/>
      <c r="AM176" s="185"/>
      <c r="AN176" s="185"/>
      <c r="AO176" s="185"/>
      <c r="AP176" s="185"/>
      <c r="AQ176" s="185"/>
      <c r="AR176" s="185"/>
      <c r="AS176" s="185"/>
      <c r="AT176" s="185"/>
      <c r="AU176" s="185"/>
      <c r="AV176" s="185"/>
      <c r="AW176" s="185"/>
      <c r="AX176" s="185"/>
      <c r="AY176" s="185"/>
      <c r="AZ176" s="185"/>
      <c r="BA176" s="185"/>
      <c r="BB176" s="185"/>
      <c r="BC176" s="185"/>
      <c r="BD176" s="185"/>
      <c r="BE176" s="185"/>
      <c r="BF176" s="185"/>
      <c r="BG176" s="185"/>
      <c r="BH176" s="185"/>
      <c r="BI176" s="185"/>
      <c r="BJ176" s="185"/>
      <c r="BK176" s="186"/>
    </row>
    <row r="177" spans="1:63">
      <c r="A177" s="185"/>
      <c r="B177" s="185"/>
      <c r="C177" s="185"/>
      <c r="D177" s="185"/>
      <c r="E177" s="185"/>
      <c r="F177" s="185"/>
      <c r="G177" s="185"/>
      <c r="H177" s="185"/>
      <c r="I177" s="185"/>
      <c r="J177" s="185"/>
      <c r="K177" s="185"/>
      <c r="L177" s="185"/>
      <c r="M177" s="185"/>
      <c r="N177" s="185"/>
      <c r="O177" s="185"/>
      <c r="P177" s="185"/>
      <c r="Q177" s="185"/>
      <c r="R177" s="185"/>
      <c r="S177" s="185"/>
      <c r="T177" s="185"/>
      <c r="U177" s="185"/>
      <c r="V177" s="185"/>
      <c r="W177" s="185"/>
      <c r="X177" s="185"/>
      <c r="Y177" s="185"/>
      <c r="Z177" s="185"/>
      <c r="AA177" s="185"/>
      <c r="AB177" s="185"/>
      <c r="AC177" s="185"/>
      <c r="AD177" s="185"/>
      <c r="AE177" s="185"/>
      <c r="AF177" s="185"/>
      <c r="AG177" s="185"/>
      <c r="AH177" s="185"/>
      <c r="AI177" s="185"/>
      <c r="AJ177" s="185"/>
      <c r="AK177" s="185"/>
      <c r="AL177" s="185"/>
      <c r="AM177" s="185"/>
      <c r="AN177" s="185"/>
      <c r="AO177" s="185"/>
      <c r="AP177" s="185"/>
      <c r="AQ177" s="185"/>
      <c r="AR177" s="185"/>
      <c r="AS177" s="185"/>
      <c r="AT177" s="185"/>
      <c r="AU177" s="185"/>
      <c r="AV177" s="185"/>
      <c r="AW177" s="185"/>
      <c r="AX177" s="185"/>
      <c r="AY177" s="185"/>
      <c r="AZ177" s="185"/>
      <c r="BA177" s="185"/>
      <c r="BB177" s="185"/>
      <c r="BC177" s="185"/>
      <c r="BD177" s="185"/>
      <c r="BE177" s="185"/>
      <c r="BF177" s="185"/>
      <c r="BG177" s="185"/>
      <c r="BH177" s="185"/>
      <c r="BI177" s="185"/>
      <c r="BJ177" s="185"/>
      <c r="BK177" s="186"/>
    </row>
    <row r="178" spans="1:63">
      <c r="A178" s="185"/>
      <c r="B178" s="185"/>
      <c r="C178" s="185"/>
      <c r="D178" s="185"/>
      <c r="E178" s="185"/>
      <c r="F178" s="185"/>
      <c r="G178" s="185"/>
      <c r="H178" s="185"/>
      <c r="I178" s="185"/>
      <c r="J178" s="185"/>
      <c r="K178" s="185"/>
      <c r="L178" s="185"/>
      <c r="M178" s="185"/>
      <c r="N178" s="185"/>
      <c r="O178" s="185"/>
      <c r="P178" s="185"/>
      <c r="Q178" s="185"/>
      <c r="R178" s="185"/>
      <c r="S178" s="185"/>
      <c r="T178" s="185"/>
      <c r="U178" s="185"/>
      <c r="V178" s="185"/>
      <c r="W178" s="185"/>
      <c r="X178" s="185"/>
      <c r="Y178" s="185"/>
      <c r="Z178" s="185"/>
      <c r="AA178" s="185"/>
      <c r="AB178" s="185"/>
      <c r="AC178" s="185"/>
      <c r="AD178" s="185"/>
      <c r="AE178" s="185"/>
      <c r="AF178" s="185"/>
      <c r="AG178" s="185"/>
      <c r="AH178" s="185"/>
      <c r="AI178" s="185"/>
      <c r="AJ178" s="185"/>
      <c r="AK178" s="185"/>
      <c r="AL178" s="185"/>
      <c r="AM178" s="185"/>
      <c r="AN178" s="185"/>
      <c r="AO178" s="185"/>
      <c r="AP178" s="185"/>
      <c r="AQ178" s="185"/>
      <c r="AR178" s="185"/>
      <c r="AS178" s="185"/>
      <c r="AT178" s="185"/>
      <c r="AU178" s="185"/>
      <c r="AV178" s="185"/>
      <c r="AW178" s="185"/>
      <c r="AX178" s="185"/>
      <c r="AY178" s="185"/>
      <c r="AZ178" s="185"/>
      <c r="BA178" s="185"/>
      <c r="BB178" s="185"/>
      <c r="BC178" s="185"/>
      <c r="BD178" s="185"/>
      <c r="BE178" s="185"/>
      <c r="BF178" s="185"/>
      <c r="BG178" s="185"/>
      <c r="BH178" s="185"/>
      <c r="BI178" s="185"/>
      <c r="BJ178" s="185"/>
      <c r="BK178" s="186"/>
    </row>
    <row r="179" spans="1:63">
      <c r="A179" s="185"/>
      <c r="B179" s="185"/>
      <c r="C179" s="185"/>
      <c r="D179" s="185"/>
      <c r="E179" s="185"/>
      <c r="F179" s="185"/>
      <c r="G179" s="185"/>
      <c r="H179" s="185"/>
      <c r="I179" s="185"/>
      <c r="J179" s="185"/>
      <c r="K179" s="185"/>
      <c r="L179" s="185"/>
      <c r="M179" s="185"/>
      <c r="N179" s="185"/>
      <c r="O179" s="185"/>
      <c r="P179" s="185"/>
      <c r="Q179" s="185"/>
      <c r="R179" s="185"/>
      <c r="S179" s="185"/>
      <c r="T179" s="185"/>
      <c r="U179" s="185"/>
      <c r="V179" s="185"/>
      <c r="W179" s="185"/>
      <c r="X179" s="185"/>
      <c r="Y179" s="185"/>
      <c r="Z179" s="185"/>
      <c r="AA179" s="185"/>
      <c r="AB179" s="185"/>
      <c r="AC179" s="185"/>
      <c r="AD179" s="185"/>
      <c r="AE179" s="185"/>
      <c r="AF179" s="185"/>
      <c r="AG179" s="185"/>
      <c r="AH179" s="185"/>
      <c r="AI179" s="185"/>
      <c r="AJ179" s="185"/>
      <c r="AK179" s="185"/>
      <c r="AL179" s="185"/>
      <c r="AM179" s="185"/>
      <c r="AN179" s="185"/>
      <c r="AO179" s="185"/>
      <c r="AP179" s="185"/>
      <c r="AQ179" s="185"/>
      <c r="AR179" s="185"/>
      <c r="AS179" s="185"/>
      <c r="AT179" s="185"/>
      <c r="AU179" s="185"/>
      <c r="AV179" s="185"/>
      <c r="AW179" s="185"/>
      <c r="AX179" s="185"/>
      <c r="AY179" s="185"/>
      <c r="AZ179" s="185"/>
      <c r="BA179" s="185"/>
      <c r="BB179" s="185"/>
      <c r="BC179" s="185"/>
      <c r="BD179" s="185"/>
      <c r="BE179" s="185"/>
      <c r="BF179" s="185"/>
      <c r="BG179" s="185"/>
      <c r="BH179" s="185"/>
      <c r="BI179" s="185"/>
      <c r="BJ179" s="185"/>
      <c r="BK179" s="186"/>
    </row>
    <row r="180" spans="1:63">
      <c r="A180" s="185"/>
      <c r="B180" s="185"/>
      <c r="C180" s="185"/>
      <c r="D180" s="185"/>
      <c r="E180" s="185"/>
      <c r="F180" s="185"/>
      <c r="G180" s="185"/>
      <c r="H180" s="185"/>
      <c r="I180" s="185"/>
      <c r="J180" s="185"/>
      <c r="K180" s="185"/>
      <c r="L180" s="185"/>
      <c r="M180" s="185"/>
      <c r="N180" s="185"/>
      <c r="O180" s="185"/>
      <c r="P180" s="185"/>
      <c r="Q180" s="185"/>
      <c r="R180" s="185"/>
      <c r="S180" s="185"/>
      <c r="T180" s="185"/>
      <c r="U180" s="185"/>
      <c r="V180" s="185"/>
      <c r="W180" s="185"/>
      <c r="X180" s="185"/>
      <c r="Y180" s="185"/>
      <c r="Z180" s="185"/>
      <c r="AA180" s="185"/>
      <c r="AB180" s="185"/>
      <c r="AC180" s="185"/>
      <c r="AD180" s="185"/>
      <c r="AE180" s="185"/>
      <c r="AF180" s="185"/>
      <c r="AG180" s="185"/>
      <c r="AH180" s="185"/>
      <c r="AI180" s="185"/>
      <c r="AJ180" s="185"/>
      <c r="AK180" s="185"/>
      <c r="AL180" s="185"/>
      <c r="AM180" s="185"/>
      <c r="AN180" s="185"/>
      <c r="AO180" s="185"/>
      <c r="AP180" s="185"/>
      <c r="AQ180" s="185"/>
      <c r="AR180" s="185"/>
      <c r="AS180" s="185"/>
      <c r="AT180" s="185"/>
      <c r="AU180" s="185"/>
      <c r="AV180" s="185"/>
      <c r="AW180" s="185"/>
      <c r="AX180" s="185"/>
      <c r="AY180" s="185"/>
      <c r="AZ180" s="185"/>
      <c r="BA180" s="185"/>
      <c r="BB180" s="185"/>
      <c r="BC180" s="185"/>
      <c r="BD180" s="185"/>
      <c r="BE180" s="185"/>
      <c r="BF180" s="185"/>
      <c r="BG180" s="185"/>
      <c r="BH180" s="185"/>
      <c r="BI180" s="185"/>
      <c r="BJ180" s="185"/>
      <c r="BK180" s="186"/>
    </row>
    <row r="181" spans="1:63">
      <c r="A181" s="185"/>
      <c r="B181" s="185"/>
      <c r="C181" s="185"/>
      <c r="D181" s="185"/>
      <c r="E181" s="185"/>
      <c r="F181" s="185"/>
      <c r="G181" s="185"/>
      <c r="H181" s="185"/>
      <c r="I181" s="185"/>
      <c r="J181" s="185"/>
      <c r="K181" s="185"/>
      <c r="L181" s="185"/>
      <c r="M181" s="185"/>
      <c r="N181" s="185"/>
      <c r="O181" s="185"/>
      <c r="P181" s="185"/>
      <c r="Q181" s="185"/>
      <c r="R181" s="185"/>
      <c r="S181" s="185"/>
      <c r="T181" s="185"/>
      <c r="U181" s="185"/>
      <c r="V181" s="185"/>
      <c r="W181" s="185"/>
      <c r="X181" s="185"/>
      <c r="Y181" s="185"/>
      <c r="Z181" s="185"/>
      <c r="AA181" s="185"/>
      <c r="AB181" s="185"/>
      <c r="AC181" s="185"/>
      <c r="AD181" s="185"/>
      <c r="AE181" s="185"/>
      <c r="AF181" s="185"/>
      <c r="AG181" s="185"/>
      <c r="AH181" s="185"/>
      <c r="AI181" s="185"/>
      <c r="AJ181" s="185"/>
      <c r="AK181" s="185"/>
      <c r="AL181" s="185"/>
      <c r="AM181" s="185"/>
      <c r="AN181" s="185"/>
      <c r="AO181" s="185"/>
      <c r="AP181" s="185"/>
      <c r="AQ181" s="185"/>
      <c r="AR181" s="185"/>
      <c r="AS181" s="185"/>
      <c r="AT181" s="185"/>
      <c r="AU181" s="185"/>
      <c r="AV181" s="185"/>
      <c r="AW181" s="185"/>
      <c r="AX181" s="185"/>
      <c r="AY181" s="185"/>
      <c r="AZ181" s="185"/>
      <c r="BA181" s="185"/>
      <c r="BB181" s="185"/>
      <c r="BC181" s="185"/>
      <c r="BD181" s="185"/>
      <c r="BE181" s="185"/>
      <c r="BF181" s="185"/>
      <c r="BG181" s="185"/>
      <c r="BH181" s="185"/>
      <c r="BI181" s="185"/>
      <c r="BJ181" s="185"/>
      <c r="BK181" s="186"/>
    </row>
    <row r="182" spans="1:63">
      <c r="A182" s="185"/>
      <c r="B182" s="185"/>
      <c r="C182" s="185"/>
      <c r="D182" s="185"/>
      <c r="E182" s="185"/>
      <c r="F182" s="185"/>
      <c r="G182" s="185"/>
      <c r="H182" s="185"/>
      <c r="I182" s="185"/>
      <c r="J182" s="185"/>
      <c r="K182" s="185"/>
      <c r="L182" s="185"/>
      <c r="M182" s="185"/>
      <c r="N182" s="185"/>
      <c r="O182" s="185"/>
      <c r="P182" s="185"/>
      <c r="Q182" s="185"/>
      <c r="R182" s="185"/>
      <c r="S182" s="185"/>
      <c r="T182" s="185"/>
      <c r="U182" s="185"/>
      <c r="V182" s="185"/>
      <c r="W182" s="185"/>
      <c r="X182" s="185"/>
      <c r="Y182" s="185"/>
      <c r="Z182" s="185"/>
      <c r="AA182" s="185"/>
      <c r="AB182" s="185"/>
      <c r="AC182" s="185"/>
      <c r="AD182" s="185"/>
      <c r="AE182" s="185"/>
      <c r="AF182" s="185"/>
      <c r="AG182" s="185"/>
      <c r="AH182" s="185"/>
      <c r="AI182" s="185"/>
      <c r="AJ182" s="185"/>
      <c r="AK182" s="185"/>
      <c r="AL182" s="185"/>
      <c r="AM182" s="185"/>
      <c r="AN182" s="185"/>
      <c r="AO182" s="185"/>
      <c r="AP182" s="185"/>
      <c r="AQ182" s="185"/>
      <c r="AR182" s="185"/>
      <c r="AS182" s="185"/>
      <c r="AT182" s="185"/>
      <c r="AU182" s="185"/>
      <c r="AV182" s="185"/>
      <c r="AW182" s="185"/>
      <c r="AX182" s="185"/>
      <c r="AY182" s="185"/>
      <c r="AZ182" s="185"/>
      <c r="BA182" s="185"/>
      <c r="BB182" s="185"/>
      <c r="BC182" s="185"/>
      <c r="BD182" s="185"/>
      <c r="BE182" s="185"/>
      <c r="BF182" s="185"/>
      <c r="BG182" s="185"/>
      <c r="BH182" s="185"/>
      <c r="BI182" s="185"/>
      <c r="BJ182" s="185"/>
      <c r="BK182" s="186"/>
    </row>
    <row r="183" spans="1:63">
      <c r="A183" s="185"/>
      <c r="B183" s="185"/>
      <c r="C183" s="185"/>
      <c r="D183" s="185"/>
      <c r="E183" s="185"/>
      <c r="F183" s="185"/>
      <c r="G183" s="185"/>
      <c r="H183" s="185"/>
      <c r="I183" s="185"/>
      <c r="J183" s="185"/>
      <c r="K183" s="185"/>
      <c r="L183" s="185"/>
      <c r="M183" s="185"/>
      <c r="N183" s="185"/>
      <c r="O183" s="185"/>
      <c r="P183" s="185"/>
      <c r="Q183" s="185"/>
      <c r="R183" s="185"/>
      <c r="S183" s="185"/>
      <c r="T183" s="185"/>
      <c r="U183" s="185"/>
      <c r="V183" s="185"/>
      <c r="W183" s="185"/>
      <c r="X183" s="185"/>
      <c r="Y183" s="185"/>
      <c r="Z183" s="185"/>
      <c r="AA183" s="185"/>
      <c r="AB183" s="185"/>
      <c r="AC183" s="185"/>
      <c r="AD183" s="185"/>
      <c r="AE183" s="185"/>
      <c r="AF183" s="185"/>
      <c r="AG183" s="185"/>
      <c r="AH183" s="185"/>
      <c r="AI183" s="185"/>
      <c r="AJ183" s="185"/>
      <c r="AK183" s="185"/>
      <c r="AL183" s="185"/>
      <c r="AM183" s="185"/>
      <c r="AN183" s="185"/>
      <c r="AO183" s="185"/>
      <c r="AP183" s="185"/>
      <c r="AQ183" s="185"/>
      <c r="AR183" s="185"/>
      <c r="AS183" s="185"/>
      <c r="AT183" s="185"/>
      <c r="AU183" s="185"/>
      <c r="AV183" s="185"/>
      <c r="AW183" s="185"/>
      <c r="AX183" s="185"/>
      <c r="AY183" s="185"/>
      <c r="AZ183" s="185"/>
      <c r="BA183" s="185"/>
      <c r="BB183" s="185"/>
      <c r="BC183" s="185"/>
      <c r="BD183" s="185"/>
      <c r="BE183" s="185"/>
      <c r="BF183" s="185"/>
      <c r="BG183" s="185"/>
      <c r="BH183" s="185"/>
      <c r="BI183" s="185"/>
      <c r="BJ183" s="185"/>
      <c r="BK183" s="186"/>
    </row>
    <row r="184" spans="1:63">
      <c r="A184" s="185"/>
      <c r="B184" s="185"/>
      <c r="C184" s="185"/>
      <c r="D184" s="185"/>
      <c r="E184" s="185"/>
      <c r="F184" s="185"/>
      <c r="G184" s="185"/>
      <c r="H184" s="185"/>
      <c r="I184" s="185"/>
      <c r="J184" s="185"/>
      <c r="K184" s="185"/>
      <c r="L184" s="185"/>
      <c r="M184" s="185"/>
      <c r="N184" s="185"/>
      <c r="O184" s="185"/>
      <c r="P184" s="185"/>
      <c r="Q184" s="185"/>
      <c r="R184" s="185"/>
      <c r="S184" s="185"/>
      <c r="T184" s="185"/>
      <c r="U184" s="185"/>
      <c r="V184" s="185"/>
      <c r="W184" s="185"/>
      <c r="X184" s="185"/>
      <c r="Y184" s="185"/>
      <c r="Z184" s="185"/>
      <c r="AA184" s="185"/>
      <c r="AB184" s="185"/>
      <c r="AC184" s="185"/>
      <c r="AD184" s="185"/>
      <c r="AE184" s="185"/>
      <c r="AF184" s="185"/>
      <c r="AG184" s="185"/>
      <c r="AH184" s="185"/>
      <c r="AI184" s="185"/>
      <c r="AJ184" s="185"/>
      <c r="AK184" s="185"/>
      <c r="AL184" s="185"/>
      <c r="AM184" s="185"/>
      <c r="AN184" s="185"/>
      <c r="AO184" s="185"/>
      <c r="AP184" s="185"/>
      <c r="AQ184" s="185"/>
      <c r="AR184" s="185"/>
      <c r="AS184" s="185"/>
      <c r="AT184" s="185"/>
      <c r="AU184" s="185"/>
      <c r="AV184" s="185"/>
      <c r="AW184" s="185"/>
      <c r="AX184" s="185"/>
      <c r="AY184" s="185"/>
      <c r="AZ184" s="185"/>
      <c r="BA184" s="185"/>
      <c r="BB184" s="185"/>
      <c r="BC184" s="185"/>
      <c r="BD184" s="185"/>
      <c r="BE184" s="185"/>
      <c r="BF184" s="185"/>
      <c r="BG184" s="185"/>
      <c r="BH184" s="185"/>
      <c r="BI184" s="185"/>
      <c r="BJ184" s="185"/>
      <c r="BK184" s="186"/>
    </row>
    <row r="185" spans="1:63">
      <c r="A185" s="185"/>
      <c r="B185" s="185"/>
      <c r="C185" s="185"/>
      <c r="D185" s="185"/>
      <c r="E185" s="185"/>
      <c r="F185" s="185"/>
      <c r="G185" s="185"/>
      <c r="H185" s="185"/>
      <c r="I185" s="185"/>
      <c r="J185" s="185"/>
      <c r="K185" s="185"/>
      <c r="L185" s="185"/>
      <c r="M185" s="185"/>
      <c r="N185" s="185"/>
      <c r="O185" s="185"/>
      <c r="P185" s="185"/>
      <c r="Q185" s="185"/>
      <c r="R185" s="185"/>
      <c r="S185" s="185"/>
      <c r="T185" s="185"/>
      <c r="U185" s="185"/>
      <c r="V185" s="185"/>
      <c r="W185" s="185"/>
      <c r="X185" s="185"/>
      <c r="Y185" s="185"/>
      <c r="Z185" s="185"/>
      <c r="AA185" s="185"/>
      <c r="AB185" s="185"/>
      <c r="AC185" s="185"/>
      <c r="AD185" s="185"/>
      <c r="AE185" s="185"/>
      <c r="AF185" s="185"/>
      <c r="AG185" s="185"/>
      <c r="AH185" s="185"/>
      <c r="AI185" s="185"/>
      <c r="AJ185" s="185"/>
      <c r="AK185" s="185"/>
      <c r="AL185" s="185"/>
      <c r="AM185" s="185"/>
      <c r="AN185" s="185"/>
      <c r="AO185" s="185"/>
      <c r="AP185" s="185"/>
      <c r="AQ185" s="185"/>
      <c r="AR185" s="185"/>
      <c r="AS185" s="185"/>
      <c r="AT185" s="185"/>
      <c r="AU185" s="185"/>
      <c r="AV185" s="185"/>
      <c r="AW185" s="185"/>
      <c r="AX185" s="185"/>
      <c r="AY185" s="185"/>
      <c r="AZ185" s="185"/>
      <c r="BA185" s="185"/>
      <c r="BB185" s="185"/>
      <c r="BC185" s="185"/>
      <c r="BD185" s="185"/>
      <c r="BE185" s="185"/>
      <c r="BF185" s="185"/>
      <c r="BG185" s="185"/>
      <c r="BH185" s="185"/>
      <c r="BI185" s="185"/>
      <c r="BJ185" s="185"/>
      <c r="BK185" s="186"/>
    </row>
    <row r="186" spans="1:63">
      <c r="A186" s="185"/>
      <c r="B186" s="185"/>
      <c r="C186" s="185"/>
      <c r="D186" s="185"/>
      <c r="E186" s="185"/>
      <c r="F186" s="185"/>
      <c r="G186" s="185"/>
      <c r="H186" s="185"/>
      <c r="I186" s="185"/>
      <c r="J186" s="185"/>
      <c r="K186" s="185"/>
      <c r="L186" s="185"/>
      <c r="M186" s="185"/>
      <c r="N186" s="185"/>
      <c r="O186" s="185"/>
      <c r="P186" s="185"/>
      <c r="Q186" s="185"/>
      <c r="R186" s="185"/>
      <c r="S186" s="185"/>
      <c r="T186" s="185"/>
      <c r="U186" s="185"/>
      <c r="V186" s="185"/>
      <c r="W186" s="185"/>
      <c r="X186" s="185"/>
      <c r="Y186" s="185"/>
      <c r="Z186" s="185"/>
      <c r="AA186" s="185"/>
      <c r="AB186" s="185"/>
      <c r="AC186" s="185"/>
      <c r="AD186" s="185"/>
      <c r="AE186" s="185"/>
      <c r="AF186" s="185"/>
      <c r="AG186" s="185"/>
      <c r="AH186" s="185"/>
      <c r="AI186" s="185"/>
      <c r="AJ186" s="185"/>
      <c r="AK186" s="185"/>
      <c r="AL186" s="185"/>
      <c r="AM186" s="185"/>
      <c r="AN186" s="185"/>
      <c r="AO186" s="185"/>
      <c r="AP186" s="185"/>
      <c r="AQ186" s="185"/>
      <c r="AR186" s="185"/>
      <c r="AS186" s="185"/>
      <c r="AT186" s="185"/>
      <c r="AU186" s="185"/>
      <c r="AV186" s="185"/>
      <c r="AW186" s="185"/>
      <c r="AX186" s="185"/>
      <c r="AY186" s="185"/>
      <c r="AZ186" s="185"/>
      <c r="BA186" s="185"/>
      <c r="BB186" s="185"/>
      <c r="BC186" s="185"/>
      <c r="BD186" s="185"/>
      <c r="BE186" s="185"/>
      <c r="BF186" s="185"/>
      <c r="BG186" s="185"/>
      <c r="BH186" s="185"/>
      <c r="BI186" s="185"/>
      <c r="BJ186" s="185"/>
      <c r="BK186" s="186"/>
    </row>
    <row r="187" spans="1:63">
      <c r="A187" s="185"/>
      <c r="B187" s="185"/>
      <c r="C187" s="185"/>
      <c r="D187" s="185"/>
      <c r="E187" s="185"/>
      <c r="F187" s="185"/>
      <c r="G187" s="185"/>
      <c r="H187" s="185"/>
      <c r="I187" s="185"/>
      <c r="J187" s="185"/>
      <c r="K187" s="185"/>
      <c r="L187" s="185"/>
      <c r="M187" s="185"/>
      <c r="N187" s="185"/>
      <c r="O187" s="185"/>
      <c r="P187" s="185"/>
      <c r="Q187" s="185"/>
      <c r="R187" s="185"/>
      <c r="S187" s="185"/>
      <c r="T187" s="185"/>
      <c r="U187" s="185"/>
      <c r="V187" s="185"/>
      <c r="W187" s="185"/>
      <c r="X187" s="185"/>
      <c r="Y187" s="185"/>
      <c r="Z187" s="185"/>
      <c r="AA187" s="185"/>
      <c r="AB187" s="185"/>
      <c r="AC187" s="185"/>
      <c r="AD187" s="185"/>
      <c r="AE187" s="185"/>
      <c r="AF187" s="185"/>
      <c r="AG187" s="185"/>
      <c r="AH187" s="185"/>
      <c r="AI187" s="185"/>
      <c r="AJ187" s="185"/>
      <c r="AK187" s="185"/>
      <c r="AL187" s="185"/>
      <c r="AM187" s="185"/>
      <c r="AN187" s="185"/>
      <c r="AO187" s="185"/>
      <c r="AP187" s="185"/>
      <c r="AQ187" s="185"/>
      <c r="AR187" s="185"/>
      <c r="AS187" s="185"/>
      <c r="AT187" s="185"/>
      <c r="AU187" s="185"/>
      <c r="AV187" s="185"/>
      <c r="AW187" s="185"/>
      <c r="AX187" s="185"/>
      <c r="AY187" s="185"/>
      <c r="AZ187" s="185"/>
      <c r="BA187" s="185"/>
      <c r="BB187" s="185"/>
      <c r="BC187" s="185"/>
      <c r="BD187" s="185"/>
      <c r="BE187" s="185"/>
      <c r="BF187" s="185"/>
      <c r="BG187" s="185"/>
      <c r="BH187" s="185"/>
      <c r="BI187" s="185"/>
      <c r="BJ187" s="185"/>
      <c r="BK187" s="186"/>
    </row>
    <row r="188" spans="1:63">
      <c r="A188" s="185"/>
      <c r="B188" s="185"/>
      <c r="C188" s="185"/>
      <c r="D188" s="185"/>
      <c r="E188" s="185"/>
      <c r="F188" s="185"/>
      <c r="G188" s="185"/>
      <c r="H188" s="185"/>
      <c r="I188" s="185"/>
      <c r="J188" s="185"/>
      <c r="K188" s="185"/>
      <c r="L188" s="185"/>
      <c r="M188" s="185"/>
      <c r="N188" s="185"/>
      <c r="O188" s="185"/>
      <c r="P188" s="185"/>
      <c r="Q188" s="185"/>
      <c r="R188" s="185"/>
      <c r="S188" s="185"/>
      <c r="T188" s="185"/>
      <c r="U188" s="185"/>
      <c r="V188" s="185"/>
      <c r="W188" s="185"/>
      <c r="X188" s="185"/>
      <c r="Y188" s="185"/>
      <c r="Z188" s="185"/>
      <c r="AA188" s="185"/>
      <c r="AB188" s="185"/>
      <c r="AC188" s="185"/>
      <c r="AD188" s="185"/>
      <c r="AE188" s="185"/>
      <c r="AF188" s="185"/>
      <c r="AG188" s="185"/>
      <c r="AH188" s="185"/>
      <c r="AI188" s="185"/>
      <c r="AJ188" s="185"/>
      <c r="AK188" s="185"/>
      <c r="AL188" s="185"/>
      <c r="AM188" s="185"/>
      <c r="AN188" s="185"/>
      <c r="AO188" s="185"/>
      <c r="AP188" s="185"/>
      <c r="AQ188" s="185"/>
      <c r="AR188" s="185"/>
      <c r="AS188" s="185"/>
      <c r="AT188" s="185"/>
      <c r="AU188" s="185"/>
      <c r="AV188" s="185"/>
      <c r="AW188" s="185"/>
      <c r="AX188" s="185"/>
      <c r="AY188" s="185"/>
      <c r="AZ188" s="185"/>
      <c r="BA188" s="185"/>
      <c r="BB188" s="185"/>
      <c r="BC188" s="185"/>
      <c r="BD188" s="185"/>
      <c r="BE188" s="185"/>
      <c r="BF188" s="185"/>
      <c r="BG188" s="185"/>
      <c r="BH188" s="185"/>
      <c r="BI188" s="185"/>
      <c r="BJ188" s="185"/>
      <c r="BK188" s="186"/>
    </row>
    <row r="189" spans="1:63">
      <c r="A189" s="185"/>
      <c r="B189" s="185"/>
      <c r="C189" s="185"/>
      <c r="D189" s="185"/>
      <c r="E189" s="185"/>
      <c r="F189" s="185"/>
      <c r="G189" s="185"/>
      <c r="H189" s="185"/>
      <c r="I189" s="185"/>
      <c r="J189" s="185"/>
      <c r="K189" s="185"/>
      <c r="L189" s="185"/>
      <c r="M189" s="185"/>
      <c r="N189" s="185"/>
      <c r="O189" s="185"/>
      <c r="P189" s="185"/>
      <c r="Q189" s="185"/>
      <c r="R189" s="185"/>
      <c r="S189" s="185"/>
      <c r="T189" s="185"/>
      <c r="U189" s="185"/>
      <c r="V189" s="185"/>
      <c r="W189" s="185"/>
      <c r="X189" s="185"/>
      <c r="Y189" s="185"/>
      <c r="Z189" s="185"/>
      <c r="AA189" s="185"/>
      <c r="AB189" s="185"/>
      <c r="AC189" s="185"/>
      <c r="AD189" s="185"/>
      <c r="AE189" s="185"/>
      <c r="AF189" s="185"/>
      <c r="AG189" s="185"/>
      <c r="AH189" s="185"/>
      <c r="AI189" s="185"/>
      <c r="AJ189" s="185"/>
      <c r="AK189" s="185"/>
      <c r="AL189" s="185"/>
      <c r="AM189" s="185"/>
      <c r="AN189" s="185"/>
      <c r="AO189" s="185"/>
      <c r="AP189" s="185"/>
      <c r="AQ189" s="185"/>
      <c r="AR189" s="185"/>
      <c r="AS189" s="185"/>
      <c r="AT189" s="185"/>
      <c r="AU189" s="185"/>
      <c r="AV189" s="185"/>
      <c r="AW189" s="185"/>
      <c r="AX189" s="185"/>
      <c r="AY189" s="185"/>
      <c r="AZ189" s="185"/>
      <c r="BA189" s="185"/>
      <c r="BB189" s="185"/>
      <c r="BC189" s="185"/>
      <c r="BD189" s="185"/>
      <c r="BE189" s="185"/>
      <c r="BF189" s="185"/>
      <c r="BG189" s="185"/>
      <c r="BH189" s="185"/>
      <c r="BI189" s="185"/>
      <c r="BJ189" s="185"/>
      <c r="BK189" s="186"/>
    </row>
    <row r="190" spans="1:63">
      <c r="A190" s="185"/>
      <c r="B190" s="185"/>
      <c r="C190" s="185"/>
      <c r="D190" s="185"/>
      <c r="E190" s="185"/>
      <c r="F190" s="185"/>
      <c r="G190" s="185"/>
      <c r="H190" s="185"/>
      <c r="I190" s="185"/>
      <c r="J190" s="185"/>
      <c r="K190" s="185"/>
      <c r="L190" s="185"/>
      <c r="M190" s="185"/>
      <c r="N190" s="185"/>
      <c r="O190" s="185"/>
      <c r="P190" s="185"/>
      <c r="Q190" s="185"/>
      <c r="R190" s="185"/>
      <c r="S190" s="185"/>
      <c r="T190" s="185"/>
      <c r="U190" s="185"/>
      <c r="V190" s="185"/>
      <c r="W190" s="185"/>
      <c r="X190" s="185"/>
      <c r="Y190" s="185"/>
      <c r="Z190" s="185"/>
      <c r="AA190" s="185"/>
      <c r="AB190" s="185"/>
      <c r="AC190" s="185"/>
      <c r="AD190" s="185"/>
      <c r="AE190" s="185"/>
      <c r="AF190" s="185"/>
      <c r="AG190" s="185"/>
      <c r="AH190" s="185"/>
      <c r="AI190" s="185"/>
      <c r="AJ190" s="185"/>
      <c r="AK190" s="185"/>
      <c r="AL190" s="185"/>
      <c r="AM190" s="185"/>
      <c r="AN190" s="185"/>
      <c r="AO190" s="185"/>
      <c r="AP190" s="185"/>
      <c r="AQ190" s="185"/>
      <c r="AR190" s="185"/>
      <c r="AS190" s="185"/>
      <c r="AT190" s="185"/>
      <c r="AU190" s="185"/>
      <c r="AV190" s="185"/>
      <c r="AW190" s="185"/>
      <c r="AX190" s="185"/>
      <c r="AY190" s="185"/>
      <c r="AZ190" s="185"/>
      <c r="BA190" s="185"/>
      <c r="BB190" s="185"/>
      <c r="BC190" s="185"/>
      <c r="BD190" s="185"/>
      <c r="BE190" s="185"/>
      <c r="BF190" s="185"/>
      <c r="BG190" s="185"/>
      <c r="BH190" s="185"/>
      <c r="BI190" s="185"/>
      <c r="BJ190" s="185"/>
      <c r="BK190" s="186"/>
    </row>
    <row r="191" spans="1:63">
      <c r="A191" s="185"/>
      <c r="B191" s="185"/>
      <c r="C191" s="185"/>
      <c r="D191" s="185"/>
      <c r="E191" s="185"/>
      <c r="F191" s="185"/>
      <c r="G191" s="185"/>
      <c r="H191" s="185"/>
      <c r="I191" s="185"/>
      <c r="J191" s="185"/>
      <c r="K191" s="185"/>
      <c r="L191" s="185"/>
      <c r="M191" s="185"/>
      <c r="N191" s="185"/>
      <c r="O191" s="185"/>
      <c r="P191" s="185"/>
      <c r="Q191" s="185"/>
      <c r="R191" s="185"/>
      <c r="S191" s="185"/>
      <c r="T191" s="185"/>
      <c r="U191" s="185"/>
      <c r="V191" s="185"/>
      <c r="W191" s="185"/>
      <c r="X191" s="185"/>
      <c r="Y191" s="185"/>
      <c r="Z191" s="185"/>
      <c r="AA191" s="185"/>
      <c r="AB191" s="185"/>
      <c r="AC191" s="185"/>
      <c r="AD191" s="185"/>
      <c r="AE191" s="185"/>
      <c r="AF191" s="185"/>
      <c r="AG191" s="185"/>
      <c r="AH191" s="185"/>
      <c r="AI191" s="185"/>
      <c r="AJ191" s="185"/>
      <c r="AK191" s="185"/>
      <c r="AL191" s="185"/>
      <c r="AM191" s="185"/>
      <c r="AN191" s="185"/>
      <c r="AO191" s="185"/>
      <c r="AP191" s="185"/>
      <c r="AQ191" s="185"/>
      <c r="AR191" s="185"/>
      <c r="AS191" s="185"/>
      <c r="AT191" s="185"/>
      <c r="AU191" s="185"/>
      <c r="AV191" s="185"/>
      <c r="AW191" s="185"/>
      <c r="AX191" s="185"/>
      <c r="AY191" s="185"/>
      <c r="AZ191" s="185"/>
      <c r="BA191" s="185"/>
      <c r="BB191" s="185"/>
      <c r="BC191" s="185"/>
      <c r="BD191" s="185"/>
      <c r="BE191" s="185"/>
      <c r="BF191" s="185"/>
      <c r="BG191" s="185"/>
      <c r="BH191" s="185"/>
      <c r="BI191" s="185"/>
      <c r="BJ191" s="185"/>
      <c r="BK191" s="186"/>
    </row>
    <row r="192" spans="1:63">
      <c r="A192" s="185"/>
      <c r="B192" s="185"/>
      <c r="C192" s="185"/>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6"/>
    </row>
    <row r="193" spans="1:63">
      <c r="A193" s="185"/>
      <c r="B193" s="185"/>
      <c r="C193" s="185"/>
      <c r="D193" s="185"/>
      <c r="E193" s="185"/>
      <c r="F193" s="185"/>
      <c r="G193" s="185"/>
      <c r="H193" s="185"/>
      <c r="I193" s="185"/>
      <c r="J193" s="185"/>
      <c r="K193" s="185"/>
      <c r="L193" s="185"/>
      <c r="M193" s="185"/>
      <c r="N193" s="185"/>
      <c r="O193" s="185"/>
      <c r="P193" s="185"/>
      <c r="Q193" s="185"/>
      <c r="R193" s="185"/>
      <c r="S193" s="185"/>
      <c r="T193" s="185"/>
      <c r="U193" s="185"/>
      <c r="V193" s="185"/>
      <c r="W193" s="185"/>
      <c r="X193" s="185"/>
      <c r="Y193" s="185"/>
      <c r="Z193" s="185"/>
      <c r="AA193" s="185"/>
      <c r="AB193" s="185"/>
      <c r="AC193" s="185"/>
      <c r="AD193" s="185"/>
      <c r="AE193" s="185"/>
      <c r="AF193" s="185"/>
      <c r="AG193" s="185"/>
      <c r="AH193" s="185"/>
      <c r="AI193" s="185"/>
      <c r="AJ193" s="185"/>
      <c r="AK193" s="185"/>
      <c r="AL193" s="185"/>
      <c r="AM193" s="185"/>
      <c r="AN193" s="185"/>
      <c r="AO193" s="185"/>
      <c r="AP193" s="185"/>
      <c r="AQ193" s="185"/>
      <c r="AR193" s="185"/>
      <c r="AS193" s="185"/>
      <c r="AT193" s="185"/>
      <c r="AU193" s="185"/>
      <c r="AV193" s="185"/>
      <c r="AW193" s="185"/>
      <c r="AX193" s="185"/>
      <c r="AY193" s="185"/>
      <c r="AZ193" s="185"/>
      <c r="BA193" s="185"/>
      <c r="BB193" s="185"/>
      <c r="BC193" s="185"/>
      <c r="BD193" s="185"/>
      <c r="BE193" s="185"/>
      <c r="BF193" s="185"/>
      <c r="BG193" s="185"/>
      <c r="BH193" s="185"/>
      <c r="BI193" s="185"/>
      <c r="BJ193" s="185"/>
      <c r="BK193" s="186"/>
    </row>
    <row r="194" spans="1:63">
      <c r="A194" s="185"/>
      <c r="B194" s="185"/>
      <c r="C194" s="185"/>
      <c r="D194" s="185"/>
      <c r="E194" s="185"/>
      <c r="F194" s="185"/>
      <c r="G194" s="185"/>
      <c r="H194" s="185"/>
      <c r="I194" s="185"/>
      <c r="J194" s="185"/>
      <c r="K194" s="185"/>
      <c r="L194" s="185"/>
      <c r="M194" s="185"/>
      <c r="N194" s="185"/>
      <c r="O194" s="185"/>
      <c r="P194" s="185"/>
      <c r="Q194" s="185"/>
      <c r="R194" s="185"/>
      <c r="S194" s="185"/>
      <c r="T194" s="185"/>
      <c r="U194" s="185"/>
      <c r="V194" s="185"/>
      <c r="W194" s="185"/>
      <c r="X194" s="185"/>
      <c r="Y194" s="185"/>
      <c r="Z194" s="185"/>
      <c r="AA194" s="185"/>
      <c r="AB194" s="185"/>
      <c r="AC194" s="185"/>
      <c r="AD194" s="185"/>
      <c r="AE194" s="185"/>
      <c r="AF194" s="185"/>
      <c r="AG194" s="185"/>
      <c r="AH194" s="185"/>
      <c r="AI194" s="185"/>
      <c r="AJ194" s="185"/>
      <c r="AK194" s="185"/>
      <c r="AL194" s="185"/>
      <c r="AM194" s="185"/>
      <c r="AN194" s="185"/>
      <c r="AO194" s="185"/>
      <c r="AP194" s="185"/>
      <c r="AQ194" s="185"/>
      <c r="AR194" s="185"/>
      <c r="AS194" s="185"/>
      <c r="AT194" s="185"/>
      <c r="AU194" s="185"/>
      <c r="AV194" s="185"/>
      <c r="AW194" s="185"/>
      <c r="AX194" s="185"/>
      <c r="AY194" s="185"/>
      <c r="AZ194" s="185"/>
      <c r="BA194" s="185"/>
      <c r="BB194" s="185"/>
      <c r="BC194" s="185"/>
      <c r="BD194" s="185"/>
      <c r="BE194" s="185"/>
      <c r="BF194" s="185"/>
      <c r="BG194" s="185"/>
      <c r="BH194" s="185"/>
      <c r="BI194" s="185"/>
      <c r="BJ194" s="185"/>
      <c r="BK194" s="186"/>
    </row>
    <row r="195" spans="1:63">
      <c r="A195" s="185"/>
      <c r="B195" s="185"/>
      <c r="C195" s="185"/>
      <c r="D195" s="185"/>
      <c r="E195" s="185"/>
      <c r="F195" s="185"/>
      <c r="G195" s="185"/>
      <c r="H195" s="185"/>
      <c r="I195" s="185"/>
      <c r="J195" s="185"/>
      <c r="K195" s="185"/>
      <c r="L195" s="185"/>
      <c r="M195" s="185"/>
      <c r="N195" s="185"/>
      <c r="O195" s="185"/>
      <c r="P195" s="185"/>
      <c r="Q195" s="185"/>
      <c r="R195" s="185"/>
      <c r="S195" s="185"/>
      <c r="T195" s="185"/>
      <c r="U195" s="185"/>
      <c r="V195" s="185"/>
      <c r="W195" s="185"/>
      <c r="X195" s="185"/>
      <c r="Y195" s="185"/>
      <c r="Z195" s="185"/>
      <c r="AA195" s="185"/>
      <c r="AB195" s="185"/>
      <c r="AC195" s="185"/>
      <c r="AD195" s="185"/>
      <c r="AE195" s="185"/>
      <c r="AF195" s="185"/>
      <c r="AG195" s="185"/>
      <c r="AH195" s="185"/>
      <c r="AI195" s="185"/>
      <c r="AJ195" s="185"/>
      <c r="AK195" s="185"/>
      <c r="AL195" s="185"/>
      <c r="AM195" s="185"/>
      <c r="AN195" s="185"/>
      <c r="AO195" s="185"/>
      <c r="AP195" s="185"/>
      <c r="AQ195" s="185"/>
      <c r="AR195" s="185"/>
      <c r="AS195" s="185"/>
      <c r="AT195" s="185"/>
      <c r="AU195" s="185"/>
      <c r="AV195" s="185"/>
      <c r="AW195" s="185"/>
      <c r="AX195" s="185"/>
      <c r="AY195" s="185"/>
      <c r="AZ195" s="185"/>
      <c r="BA195" s="185"/>
      <c r="BB195" s="185"/>
      <c r="BC195" s="185"/>
      <c r="BD195" s="185"/>
      <c r="BE195" s="185"/>
      <c r="BF195" s="185"/>
      <c r="BG195" s="185"/>
      <c r="BH195" s="185"/>
      <c r="BI195" s="185"/>
      <c r="BJ195" s="185"/>
      <c r="BK195" s="186"/>
    </row>
    <row r="196" spans="1:63">
      <c r="A196" s="185"/>
      <c r="B196" s="185"/>
      <c r="C196" s="185"/>
      <c r="D196" s="185"/>
      <c r="E196" s="185"/>
      <c r="F196" s="185"/>
      <c r="G196" s="185"/>
      <c r="H196" s="185"/>
      <c r="I196" s="185"/>
      <c r="J196" s="185"/>
      <c r="K196" s="185"/>
      <c r="L196" s="185"/>
      <c r="M196" s="185"/>
      <c r="N196" s="185"/>
      <c r="O196" s="185"/>
      <c r="P196" s="185"/>
      <c r="Q196" s="185"/>
      <c r="R196" s="185"/>
      <c r="S196" s="185"/>
      <c r="T196" s="185"/>
      <c r="U196" s="185"/>
      <c r="V196" s="185"/>
      <c r="W196" s="185"/>
      <c r="X196" s="185"/>
      <c r="Y196" s="185"/>
      <c r="Z196" s="185"/>
      <c r="AA196" s="185"/>
      <c r="AB196" s="185"/>
      <c r="AC196" s="185"/>
      <c r="AD196" s="185"/>
      <c r="AE196" s="185"/>
      <c r="AF196" s="185"/>
      <c r="AG196" s="185"/>
      <c r="AH196" s="185"/>
      <c r="AI196" s="185"/>
      <c r="AJ196" s="185"/>
      <c r="AK196" s="185"/>
      <c r="AL196" s="185"/>
      <c r="AM196" s="185"/>
      <c r="AN196" s="185"/>
      <c r="AO196" s="185"/>
      <c r="AP196" s="185"/>
      <c r="AQ196" s="185"/>
      <c r="AR196" s="185"/>
      <c r="AS196" s="185"/>
      <c r="AT196" s="185"/>
      <c r="AU196" s="185"/>
      <c r="AV196" s="185"/>
      <c r="AW196" s="185"/>
      <c r="AX196" s="185"/>
      <c r="AY196" s="185"/>
      <c r="AZ196" s="185"/>
      <c r="BA196" s="185"/>
      <c r="BB196" s="185"/>
      <c r="BC196" s="185"/>
      <c r="BD196" s="185"/>
      <c r="BE196" s="185"/>
      <c r="BF196" s="185"/>
      <c r="BG196" s="185"/>
      <c r="BH196" s="185"/>
      <c r="BI196" s="185"/>
      <c r="BJ196" s="185"/>
      <c r="BK196" s="186"/>
    </row>
    <row r="197" spans="1:63">
      <c r="A197" s="185"/>
      <c r="B197" s="185"/>
      <c r="C197" s="185"/>
      <c r="D197" s="185"/>
      <c r="E197" s="185"/>
      <c r="F197" s="185"/>
      <c r="G197" s="185"/>
      <c r="H197" s="185"/>
      <c r="I197" s="185"/>
      <c r="J197" s="185"/>
      <c r="K197" s="185"/>
      <c r="L197" s="185"/>
      <c r="M197" s="185"/>
      <c r="N197" s="185"/>
      <c r="O197" s="185"/>
      <c r="P197" s="185"/>
      <c r="Q197" s="185"/>
      <c r="R197" s="185"/>
      <c r="S197" s="185"/>
      <c r="T197" s="185"/>
      <c r="U197" s="185"/>
      <c r="V197" s="185"/>
      <c r="W197" s="185"/>
      <c r="X197" s="185"/>
      <c r="Y197" s="185"/>
      <c r="Z197" s="185"/>
      <c r="AA197" s="185"/>
      <c r="AB197" s="185"/>
      <c r="AC197" s="185"/>
      <c r="AD197" s="185"/>
      <c r="AE197" s="185"/>
      <c r="AF197" s="185"/>
      <c r="AG197" s="185"/>
      <c r="AH197" s="185"/>
      <c r="AI197" s="185"/>
      <c r="AJ197" s="185"/>
      <c r="AK197" s="185"/>
      <c r="AL197" s="185"/>
      <c r="AM197" s="185"/>
      <c r="AN197" s="185"/>
      <c r="AO197" s="185"/>
      <c r="AP197" s="185"/>
      <c r="AQ197" s="185"/>
      <c r="AR197" s="185"/>
      <c r="AS197" s="185"/>
      <c r="AT197" s="185"/>
      <c r="AU197" s="185"/>
      <c r="AV197" s="185"/>
      <c r="AW197" s="185"/>
      <c r="AX197" s="185"/>
      <c r="AY197" s="185"/>
      <c r="AZ197" s="185"/>
      <c r="BA197" s="185"/>
      <c r="BB197" s="185"/>
      <c r="BC197" s="185"/>
      <c r="BD197" s="185"/>
      <c r="BE197" s="185"/>
      <c r="BF197" s="185"/>
      <c r="BG197" s="185"/>
      <c r="BH197" s="185"/>
      <c r="BI197" s="185"/>
      <c r="BJ197" s="185"/>
      <c r="BK197" s="186"/>
    </row>
    <row r="198" spans="1:63">
      <c r="A198" s="185"/>
      <c r="B198" s="185"/>
      <c r="C198" s="185"/>
      <c r="D198" s="185"/>
      <c r="E198" s="185"/>
      <c r="F198" s="185"/>
      <c r="G198" s="185"/>
      <c r="H198" s="185"/>
      <c r="I198" s="185"/>
      <c r="J198" s="185"/>
      <c r="K198" s="185"/>
      <c r="L198" s="185"/>
      <c r="M198" s="185"/>
      <c r="N198" s="185"/>
      <c r="O198" s="185"/>
      <c r="P198" s="185"/>
      <c r="Q198" s="185"/>
      <c r="R198" s="185"/>
      <c r="S198" s="185"/>
      <c r="T198" s="185"/>
      <c r="U198" s="185"/>
      <c r="V198" s="185"/>
      <c r="W198" s="185"/>
      <c r="X198" s="185"/>
      <c r="Y198" s="185"/>
      <c r="Z198" s="185"/>
      <c r="AA198" s="185"/>
      <c r="AB198" s="185"/>
      <c r="AC198" s="185"/>
      <c r="AD198" s="185"/>
      <c r="AE198" s="185"/>
      <c r="AF198" s="185"/>
      <c r="AG198" s="185"/>
      <c r="AH198" s="185"/>
      <c r="AI198" s="185"/>
      <c r="AJ198" s="185"/>
      <c r="AK198" s="185"/>
      <c r="AL198" s="185"/>
      <c r="AM198" s="185"/>
      <c r="AN198" s="185"/>
      <c r="AO198" s="185"/>
      <c r="AP198" s="185"/>
      <c r="AQ198" s="185"/>
      <c r="AR198" s="185"/>
      <c r="AS198" s="185"/>
      <c r="AT198" s="185"/>
      <c r="AU198" s="185"/>
      <c r="AV198" s="185"/>
      <c r="AW198" s="185"/>
      <c r="AX198" s="185"/>
      <c r="AY198" s="185"/>
      <c r="AZ198" s="185"/>
      <c r="BA198" s="185"/>
      <c r="BB198" s="185"/>
      <c r="BC198" s="185"/>
      <c r="BD198" s="185"/>
      <c r="BE198" s="185"/>
      <c r="BF198" s="185"/>
      <c r="BG198" s="185"/>
      <c r="BH198" s="185"/>
      <c r="BI198" s="185"/>
      <c r="BJ198" s="185"/>
      <c r="BK198" s="186"/>
    </row>
    <row r="199" spans="1:63">
      <c r="A199" s="185"/>
      <c r="B199" s="185"/>
      <c r="C199" s="185"/>
      <c r="D199" s="185"/>
      <c r="E199" s="185"/>
      <c r="F199" s="185"/>
      <c r="G199" s="185"/>
      <c r="H199" s="185"/>
      <c r="I199" s="185"/>
      <c r="J199" s="185"/>
      <c r="K199" s="185"/>
      <c r="L199" s="185"/>
      <c r="M199" s="185"/>
      <c r="N199" s="185"/>
      <c r="O199" s="185"/>
      <c r="P199" s="185"/>
      <c r="Q199" s="185"/>
      <c r="R199" s="185"/>
      <c r="S199" s="185"/>
      <c r="T199" s="185"/>
      <c r="U199" s="185"/>
      <c r="V199" s="185"/>
      <c r="W199" s="185"/>
      <c r="X199" s="185"/>
      <c r="Y199" s="185"/>
      <c r="Z199" s="185"/>
      <c r="AA199" s="185"/>
      <c r="AB199" s="185"/>
      <c r="AC199" s="185"/>
      <c r="AD199" s="185"/>
      <c r="AE199" s="185"/>
      <c r="AF199" s="185"/>
      <c r="AG199" s="185"/>
      <c r="AH199" s="185"/>
      <c r="AI199" s="185"/>
      <c r="AJ199" s="185"/>
      <c r="AK199" s="185"/>
      <c r="AL199" s="185"/>
      <c r="AM199" s="185"/>
      <c r="AN199" s="185"/>
      <c r="AO199" s="185"/>
      <c r="AP199" s="185"/>
      <c r="AQ199" s="185"/>
      <c r="AR199" s="185"/>
      <c r="AS199" s="185"/>
      <c r="AT199" s="185"/>
      <c r="AU199" s="185"/>
      <c r="AV199" s="185"/>
      <c r="AW199" s="185"/>
      <c r="AX199" s="185"/>
      <c r="AY199" s="185"/>
      <c r="AZ199" s="185"/>
      <c r="BA199" s="185"/>
      <c r="BB199" s="185"/>
      <c r="BC199" s="185"/>
      <c r="BD199" s="185"/>
      <c r="BE199" s="185"/>
      <c r="BF199" s="185"/>
      <c r="BG199" s="185"/>
      <c r="BH199" s="185"/>
      <c r="BI199" s="185"/>
      <c r="BJ199" s="185"/>
      <c r="BK199" s="186"/>
    </row>
    <row r="200" spans="1:63">
      <c r="A200" s="185"/>
      <c r="B200" s="185"/>
      <c r="C200" s="185"/>
      <c r="D200" s="185"/>
      <c r="E200" s="185"/>
      <c r="F200" s="185"/>
      <c r="G200" s="185"/>
      <c r="H200" s="185"/>
      <c r="I200" s="185"/>
      <c r="J200" s="185"/>
      <c r="K200" s="185"/>
      <c r="L200" s="185"/>
      <c r="M200" s="185"/>
      <c r="N200" s="185"/>
      <c r="O200" s="185"/>
      <c r="P200" s="185"/>
      <c r="Q200" s="185"/>
      <c r="R200" s="185"/>
      <c r="S200" s="185"/>
      <c r="T200" s="185"/>
      <c r="U200" s="185"/>
      <c r="V200" s="185"/>
      <c r="W200" s="185"/>
      <c r="X200" s="185"/>
      <c r="Y200" s="185"/>
      <c r="Z200" s="185"/>
      <c r="AA200" s="185"/>
      <c r="AB200" s="185"/>
      <c r="AC200" s="185"/>
      <c r="AD200" s="185"/>
      <c r="AE200" s="185"/>
      <c r="AF200" s="185"/>
      <c r="AG200" s="185"/>
      <c r="AH200" s="185"/>
      <c r="AI200" s="185"/>
      <c r="AJ200" s="185"/>
      <c r="AK200" s="185"/>
      <c r="AL200" s="185"/>
      <c r="AM200" s="185"/>
      <c r="AN200" s="185"/>
      <c r="AO200" s="185"/>
      <c r="AP200" s="185"/>
      <c r="AQ200" s="185"/>
      <c r="AR200" s="185"/>
      <c r="AS200" s="185"/>
      <c r="AT200" s="185"/>
      <c r="AU200" s="185"/>
      <c r="AV200" s="185"/>
      <c r="AW200" s="185"/>
      <c r="AX200" s="185"/>
      <c r="AY200" s="185"/>
      <c r="AZ200" s="185"/>
      <c r="BA200" s="185"/>
      <c r="BB200" s="185"/>
      <c r="BC200" s="185"/>
      <c r="BD200" s="185"/>
      <c r="BE200" s="185"/>
      <c r="BF200" s="185"/>
      <c r="BG200" s="185"/>
      <c r="BH200" s="185"/>
      <c r="BI200" s="185"/>
      <c r="BJ200" s="185"/>
      <c r="BK200" s="186"/>
    </row>
    <row r="201" spans="1:63">
      <c r="A201" s="185"/>
      <c r="B201" s="185"/>
      <c r="C201" s="185"/>
      <c r="D201" s="185"/>
      <c r="E201" s="185"/>
      <c r="F201" s="185"/>
      <c r="G201" s="185"/>
      <c r="H201" s="185"/>
      <c r="I201" s="185"/>
      <c r="J201" s="185"/>
      <c r="K201" s="185"/>
      <c r="L201" s="185"/>
      <c r="M201" s="185"/>
      <c r="N201" s="185"/>
      <c r="O201" s="185"/>
      <c r="P201" s="185"/>
      <c r="Q201" s="185"/>
      <c r="R201" s="185"/>
      <c r="S201" s="185"/>
      <c r="T201" s="185"/>
      <c r="U201" s="185"/>
      <c r="V201" s="185"/>
      <c r="W201" s="185"/>
      <c r="X201" s="185"/>
      <c r="Y201" s="185"/>
      <c r="Z201" s="185"/>
      <c r="AA201" s="185"/>
      <c r="AB201" s="185"/>
      <c r="AC201" s="185"/>
      <c r="AD201" s="185"/>
      <c r="AE201" s="185"/>
      <c r="AF201" s="185"/>
      <c r="AG201" s="185"/>
      <c r="AH201" s="185"/>
      <c r="AI201" s="185"/>
      <c r="AJ201" s="185"/>
      <c r="AK201" s="185"/>
      <c r="AL201" s="185"/>
      <c r="AM201" s="185"/>
      <c r="AN201" s="185"/>
      <c r="AO201" s="185"/>
      <c r="AP201" s="185"/>
      <c r="AQ201" s="185"/>
      <c r="AR201" s="185"/>
      <c r="AS201" s="185"/>
      <c r="AT201" s="185"/>
      <c r="AU201" s="185"/>
      <c r="AV201" s="185"/>
      <c r="AW201" s="185"/>
      <c r="AX201" s="185"/>
      <c r="AY201" s="185"/>
      <c r="AZ201" s="185"/>
      <c r="BA201" s="185"/>
      <c r="BB201" s="185"/>
      <c r="BC201" s="185"/>
      <c r="BD201" s="185"/>
      <c r="BE201" s="185"/>
      <c r="BF201" s="185"/>
      <c r="BG201" s="185"/>
      <c r="BH201" s="185"/>
      <c r="BI201" s="185"/>
      <c r="BJ201" s="185"/>
      <c r="BK201" s="186"/>
    </row>
    <row r="202" spans="1:63">
      <c r="A202" s="185"/>
      <c r="B202" s="185"/>
      <c r="C202" s="185"/>
      <c r="D202" s="185"/>
      <c r="E202" s="185"/>
      <c r="F202" s="185"/>
      <c r="G202" s="185"/>
      <c r="H202" s="185"/>
      <c r="I202" s="185"/>
      <c r="J202" s="185"/>
      <c r="K202" s="185"/>
      <c r="L202" s="185"/>
      <c r="M202" s="185"/>
      <c r="N202" s="185"/>
      <c r="O202" s="185"/>
      <c r="P202" s="185"/>
      <c r="Q202" s="185"/>
      <c r="R202" s="185"/>
      <c r="S202" s="185"/>
      <c r="T202" s="185"/>
      <c r="U202" s="185"/>
      <c r="V202" s="185"/>
      <c r="W202" s="185"/>
      <c r="X202" s="185"/>
      <c r="Y202" s="185"/>
      <c r="Z202" s="185"/>
      <c r="AA202" s="185"/>
      <c r="AB202" s="185"/>
      <c r="AC202" s="185"/>
      <c r="AD202" s="185"/>
      <c r="AE202" s="185"/>
      <c r="AF202" s="185"/>
      <c r="AG202" s="185"/>
      <c r="AH202" s="185"/>
      <c r="AI202" s="185"/>
      <c r="AJ202" s="185"/>
      <c r="AK202" s="185"/>
      <c r="AL202" s="185"/>
      <c r="AM202" s="185"/>
      <c r="AN202" s="185"/>
      <c r="AO202" s="185"/>
      <c r="AP202" s="185"/>
      <c r="AQ202" s="185"/>
      <c r="AR202" s="185"/>
      <c r="AS202" s="185"/>
      <c r="AT202" s="185"/>
      <c r="AU202" s="185"/>
      <c r="AV202" s="185"/>
      <c r="AW202" s="185"/>
      <c r="AX202" s="185"/>
      <c r="AY202" s="185"/>
      <c r="AZ202" s="185"/>
      <c r="BA202" s="185"/>
      <c r="BB202" s="185"/>
      <c r="BC202" s="185"/>
      <c r="BD202" s="185"/>
      <c r="BE202" s="185"/>
      <c r="BF202" s="185"/>
      <c r="BG202" s="185"/>
      <c r="BH202" s="185"/>
      <c r="BI202" s="185"/>
      <c r="BJ202" s="185"/>
      <c r="BK202" s="186"/>
    </row>
    <row r="203" spans="1:63">
      <c r="A203" s="185"/>
      <c r="B203" s="185"/>
      <c r="C203" s="185"/>
      <c r="D203" s="185"/>
      <c r="E203" s="185"/>
      <c r="F203" s="185"/>
      <c r="G203" s="185"/>
      <c r="H203" s="185"/>
      <c r="I203" s="185"/>
      <c r="J203" s="185"/>
      <c r="K203" s="185"/>
      <c r="L203" s="185"/>
      <c r="M203" s="185"/>
      <c r="N203" s="185"/>
      <c r="O203" s="185"/>
      <c r="P203" s="185"/>
      <c r="Q203" s="185"/>
      <c r="R203" s="185"/>
      <c r="S203" s="185"/>
      <c r="T203" s="185"/>
      <c r="U203" s="185"/>
      <c r="V203" s="185"/>
      <c r="W203" s="185"/>
      <c r="X203" s="185"/>
      <c r="Y203" s="185"/>
      <c r="Z203" s="185"/>
      <c r="AA203" s="185"/>
      <c r="AB203" s="185"/>
      <c r="AC203" s="185"/>
      <c r="AD203" s="185"/>
      <c r="AE203" s="185"/>
      <c r="AF203" s="185"/>
      <c r="AG203" s="185"/>
      <c r="AH203" s="185"/>
      <c r="AI203" s="185"/>
      <c r="AJ203" s="185"/>
      <c r="AK203" s="185"/>
      <c r="AL203" s="185"/>
      <c r="AM203" s="185"/>
      <c r="AN203" s="185"/>
      <c r="AO203" s="185"/>
      <c r="AP203" s="185"/>
      <c r="AQ203" s="185"/>
      <c r="AR203" s="185"/>
      <c r="AS203" s="185"/>
      <c r="AT203" s="185"/>
      <c r="AU203" s="185"/>
      <c r="AV203" s="185"/>
      <c r="AW203" s="185"/>
      <c r="AX203" s="185"/>
      <c r="AY203" s="185"/>
      <c r="AZ203" s="185"/>
      <c r="BA203" s="185"/>
      <c r="BB203" s="185"/>
      <c r="BC203" s="185"/>
      <c r="BD203" s="185"/>
      <c r="BE203" s="185"/>
      <c r="BF203" s="185"/>
      <c r="BG203" s="185"/>
      <c r="BH203" s="185"/>
      <c r="BI203" s="185"/>
      <c r="BJ203" s="185"/>
      <c r="BK203" s="186"/>
    </row>
    <row r="204" spans="1:63">
      <c r="A204" s="185"/>
      <c r="B204" s="185"/>
      <c r="C204" s="185"/>
      <c r="D204" s="185"/>
      <c r="E204" s="185"/>
      <c r="F204" s="185"/>
      <c r="G204" s="185"/>
      <c r="H204" s="185"/>
      <c r="I204" s="185"/>
      <c r="J204" s="185"/>
      <c r="K204" s="185"/>
      <c r="L204" s="185"/>
      <c r="M204" s="185"/>
      <c r="N204" s="185"/>
      <c r="O204" s="185"/>
      <c r="P204" s="185"/>
      <c r="Q204" s="185"/>
      <c r="R204" s="185"/>
      <c r="S204" s="185"/>
      <c r="T204" s="185"/>
      <c r="U204" s="185"/>
      <c r="V204" s="185"/>
      <c r="W204" s="185"/>
      <c r="X204" s="185"/>
      <c r="Y204" s="185"/>
      <c r="Z204" s="185"/>
      <c r="AA204" s="185"/>
      <c r="AB204" s="185"/>
      <c r="AC204" s="185"/>
      <c r="AD204" s="185"/>
      <c r="AE204" s="185"/>
      <c r="AF204" s="185"/>
      <c r="AG204" s="185"/>
      <c r="AH204" s="185"/>
      <c r="AI204" s="185"/>
      <c r="AJ204" s="185"/>
      <c r="AK204" s="185"/>
      <c r="AL204" s="185"/>
      <c r="AM204" s="185"/>
      <c r="AN204" s="185"/>
      <c r="AO204" s="185"/>
      <c r="AP204" s="185"/>
      <c r="AQ204" s="185"/>
      <c r="AR204" s="185"/>
      <c r="AS204" s="185"/>
      <c r="AT204" s="185"/>
      <c r="AU204" s="185"/>
      <c r="AV204" s="185"/>
      <c r="AW204" s="185"/>
      <c r="AX204" s="185"/>
      <c r="AY204" s="185"/>
      <c r="AZ204" s="185"/>
      <c r="BA204" s="185"/>
      <c r="BB204" s="185"/>
      <c r="BC204" s="185"/>
      <c r="BD204" s="185"/>
      <c r="BE204" s="185"/>
      <c r="BF204" s="185"/>
      <c r="BG204" s="185"/>
      <c r="BH204" s="185"/>
      <c r="BI204" s="185"/>
      <c r="BJ204" s="185"/>
      <c r="BK204" s="186"/>
    </row>
    <row r="205" spans="1:63">
      <c r="A205" s="185"/>
      <c r="B205" s="185"/>
      <c r="C205" s="185"/>
      <c r="D205" s="185"/>
      <c r="E205" s="185"/>
      <c r="F205" s="185"/>
      <c r="G205" s="185"/>
      <c r="H205" s="185"/>
      <c r="I205" s="185"/>
      <c r="J205" s="185"/>
      <c r="K205" s="185"/>
      <c r="L205" s="185"/>
      <c r="M205" s="185"/>
      <c r="N205" s="185"/>
      <c r="O205" s="185"/>
      <c r="P205" s="185"/>
      <c r="Q205" s="185"/>
      <c r="R205" s="185"/>
      <c r="S205" s="185"/>
      <c r="T205" s="185"/>
      <c r="U205" s="185"/>
      <c r="V205" s="185"/>
      <c r="W205" s="185"/>
      <c r="X205" s="185"/>
      <c r="Y205" s="185"/>
      <c r="Z205" s="185"/>
      <c r="AA205" s="185"/>
      <c r="AB205" s="185"/>
      <c r="AC205" s="185"/>
      <c r="AD205" s="185"/>
      <c r="AE205" s="185"/>
      <c r="AF205" s="185"/>
      <c r="AG205" s="185"/>
      <c r="AH205" s="185"/>
      <c r="AI205" s="185"/>
      <c r="AJ205" s="185"/>
      <c r="AK205" s="185"/>
      <c r="AL205" s="185"/>
      <c r="AM205" s="185"/>
      <c r="AN205" s="185"/>
      <c r="AO205" s="185"/>
      <c r="AP205" s="185"/>
      <c r="AQ205" s="185"/>
      <c r="AR205" s="185"/>
      <c r="AS205" s="185"/>
      <c r="AT205" s="185"/>
      <c r="AU205" s="185"/>
      <c r="AV205" s="185"/>
      <c r="AW205" s="185"/>
      <c r="AX205" s="185"/>
      <c r="AY205" s="185"/>
      <c r="AZ205" s="185"/>
      <c r="BA205" s="185"/>
      <c r="BB205" s="185"/>
      <c r="BC205" s="185"/>
      <c r="BD205" s="185"/>
      <c r="BE205" s="185"/>
      <c r="BF205" s="185"/>
      <c r="BG205" s="185"/>
      <c r="BH205" s="185"/>
      <c r="BI205" s="185"/>
      <c r="BJ205" s="185"/>
      <c r="BK205" s="186"/>
    </row>
    <row r="206" spans="1:63">
      <c r="A206" s="185"/>
      <c r="B206" s="185"/>
      <c r="C206" s="185"/>
      <c r="D206" s="185"/>
      <c r="E206" s="185"/>
      <c r="F206" s="185"/>
      <c r="G206" s="185"/>
      <c r="H206" s="185"/>
      <c r="I206" s="185"/>
      <c r="J206" s="185"/>
      <c r="K206" s="185"/>
      <c r="L206" s="185"/>
      <c r="M206" s="185"/>
      <c r="N206" s="185"/>
      <c r="O206" s="185"/>
      <c r="P206" s="185"/>
      <c r="Q206" s="185"/>
      <c r="R206" s="185"/>
      <c r="S206" s="185"/>
      <c r="T206" s="185"/>
      <c r="U206" s="185"/>
      <c r="V206" s="185"/>
      <c r="W206" s="185"/>
      <c r="X206" s="185"/>
      <c r="Y206" s="185"/>
      <c r="Z206" s="185"/>
      <c r="AA206" s="185"/>
      <c r="AB206" s="185"/>
      <c r="AC206" s="185"/>
      <c r="AD206" s="185"/>
      <c r="AE206" s="185"/>
      <c r="AF206" s="185"/>
      <c r="AG206" s="185"/>
      <c r="AH206" s="185"/>
      <c r="AI206" s="185"/>
      <c r="AJ206" s="185"/>
      <c r="AK206" s="185"/>
      <c r="AL206" s="185"/>
      <c r="AM206" s="185"/>
      <c r="AN206" s="185"/>
      <c r="AO206" s="185"/>
      <c r="AP206" s="185"/>
      <c r="AQ206" s="185"/>
      <c r="AR206" s="185"/>
      <c r="AS206" s="185"/>
      <c r="AT206" s="185"/>
      <c r="AU206" s="185"/>
      <c r="AV206" s="185"/>
      <c r="AW206" s="185"/>
      <c r="AX206" s="185"/>
      <c r="AY206" s="185"/>
      <c r="AZ206" s="185"/>
      <c r="BA206" s="185"/>
      <c r="BB206" s="185"/>
      <c r="BC206" s="185"/>
      <c r="BD206" s="185"/>
      <c r="BE206" s="185"/>
      <c r="BF206" s="185"/>
      <c r="BG206" s="185"/>
      <c r="BH206" s="185"/>
      <c r="BI206" s="185"/>
      <c r="BJ206" s="185"/>
      <c r="BK206" s="186"/>
    </row>
    <row r="207" spans="1:63">
      <c r="A207" s="185"/>
      <c r="B207" s="185"/>
      <c r="C207" s="185"/>
      <c r="D207" s="185"/>
      <c r="E207" s="185"/>
      <c r="F207" s="185"/>
      <c r="G207" s="185"/>
      <c r="H207" s="185"/>
      <c r="I207" s="185"/>
      <c r="J207" s="185"/>
      <c r="K207" s="185"/>
      <c r="L207" s="185"/>
      <c r="M207" s="185"/>
      <c r="N207" s="185"/>
      <c r="O207" s="185"/>
      <c r="P207" s="185"/>
      <c r="Q207" s="185"/>
      <c r="R207" s="185"/>
      <c r="S207" s="185"/>
      <c r="T207" s="185"/>
      <c r="U207" s="185"/>
      <c r="V207" s="185"/>
      <c r="W207" s="185"/>
      <c r="X207" s="185"/>
      <c r="Y207" s="185"/>
      <c r="Z207" s="185"/>
      <c r="AA207" s="185"/>
      <c r="AB207" s="185"/>
      <c r="AC207" s="185"/>
      <c r="AD207" s="185"/>
      <c r="AE207" s="185"/>
      <c r="AF207" s="185"/>
      <c r="AG207" s="185"/>
      <c r="AH207" s="185"/>
      <c r="AI207" s="185"/>
      <c r="AJ207" s="185"/>
      <c r="AK207" s="185"/>
      <c r="AL207" s="185"/>
      <c r="AM207" s="185"/>
      <c r="AN207" s="185"/>
      <c r="AO207" s="185"/>
      <c r="AP207" s="185"/>
      <c r="AQ207" s="185"/>
      <c r="AR207" s="185"/>
      <c r="AS207" s="185"/>
      <c r="AT207" s="185"/>
      <c r="AU207" s="185"/>
      <c r="AV207" s="185"/>
      <c r="AW207" s="185"/>
      <c r="AX207" s="185"/>
      <c r="AY207" s="185"/>
      <c r="AZ207" s="185"/>
      <c r="BA207" s="185"/>
      <c r="BB207" s="185"/>
      <c r="BC207" s="185"/>
      <c r="BD207" s="185"/>
      <c r="BE207" s="185"/>
      <c r="BF207" s="185"/>
      <c r="BG207" s="185"/>
      <c r="BH207" s="185"/>
      <c r="BI207" s="185"/>
      <c r="BJ207" s="185"/>
      <c r="BK207" s="186"/>
    </row>
    <row r="208" spans="1:63">
      <c r="A208" s="185"/>
      <c r="B208" s="185"/>
      <c r="C208" s="185"/>
      <c r="D208" s="185"/>
      <c r="E208" s="185"/>
      <c r="F208" s="185"/>
      <c r="G208" s="185"/>
      <c r="H208" s="185"/>
      <c r="I208" s="185"/>
      <c r="J208" s="185"/>
      <c r="K208" s="185"/>
      <c r="L208" s="185"/>
      <c r="M208" s="185"/>
      <c r="N208" s="185"/>
      <c r="O208" s="185"/>
      <c r="P208" s="185"/>
      <c r="Q208" s="185"/>
      <c r="R208" s="185"/>
      <c r="S208" s="185"/>
      <c r="T208" s="185"/>
      <c r="U208" s="185"/>
      <c r="V208" s="185"/>
      <c r="W208" s="185"/>
      <c r="X208" s="185"/>
      <c r="Y208" s="185"/>
      <c r="Z208" s="185"/>
      <c r="AA208" s="185"/>
      <c r="AB208" s="185"/>
      <c r="AC208" s="185"/>
      <c r="AD208" s="185"/>
      <c r="AE208" s="185"/>
      <c r="AF208" s="185"/>
      <c r="AG208" s="185"/>
      <c r="AH208" s="185"/>
      <c r="AI208" s="185"/>
      <c r="AJ208" s="185"/>
      <c r="AK208" s="185"/>
      <c r="AL208" s="185"/>
      <c r="AM208" s="185"/>
      <c r="AN208" s="185"/>
      <c r="AO208" s="185"/>
      <c r="AP208" s="185"/>
      <c r="AQ208" s="185"/>
      <c r="AR208" s="185"/>
      <c r="AS208" s="185"/>
      <c r="AT208" s="185"/>
      <c r="AU208" s="185"/>
      <c r="AV208" s="185"/>
      <c r="AW208" s="185"/>
      <c r="AX208" s="185"/>
      <c r="AY208" s="185"/>
      <c r="AZ208" s="185"/>
      <c r="BA208" s="185"/>
      <c r="BB208" s="185"/>
      <c r="BC208" s="185"/>
      <c r="BD208" s="185"/>
      <c r="BE208" s="185"/>
      <c r="BF208" s="185"/>
      <c r="BG208" s="185"/>
      <c r="BH208" s="185"/>
      <c r="BI208" s="185"/>
      <c r="BJ208" s="185"/>
      <c r="BK208" s="186"/>
    </row>
    <row r="209" spans="1:63">
      <c r="A209" s="185"/>
      <c r="B209" s="185"/>
      <c r="C209" s="185"/>
      <c r="D209" s="185"/>
      <c r="E209" s="185"/>
      <c r="F209" s="185"/>
      <c r="G209" s="185"/>
      <c r="H209" s="185"/>
      <c r="I209" s="185"/>
      <c r="J209" s="185"/>
      <c r="K209" s="185"/>
      <c r="L209" s="185"/>
      <c r="M209" s="185"/>
      <c r="N209" s="185"/>
      <c r="O209" s="185"/>
      <c r="P209" s="185"/>
      <c r="Q209" s="185"/>
      <c r="R209" s="185"/>
      <c r="S209" s="185"/>
      <c r="T209" s="185"/>
      <c r="U209" s="185"/>
      <c r="V209" s="185"/>
      <c r="W209" s="185"/>
      <c r="X209" s="185"/>
      <c r="Y209" s="185"/>
      <c r="Z209" s="185"/>
      <c r="AA209" s="185"/>
      <c r="AB209" s="185"/>
      <c r="AC209" s="185"/>
      <c r="AD209" s="185"/>
      <c r="AE209" s="185"/>
      <c r="AF209" s="185"/>
      <c r="AG209" s="185"/>
      <c r="AH209" s="185"/>
      <c r="AI209" s="185"/>
      <c r="AJ209" s="185"/>
      <c r="AK209" s="185"/>
      <c r="AL209" s="185"/>
      <c r="AM209" s="185"/>
      <c r="AN209" s="185"/>
      <c r="AO209" s="185"/>
      <c r="AP209" s="185"/>
      <c r="AQ209" s="185"/>
      <c r="AR209" s="185"/>
      <c r="AS209" s="185"/>
      <c r="AT209" s="185"/>
      <c r="AU209" s="185"/>
      <c r="AV209" s="185"/>
      <c r="AW209" s="185"/>
      <c r="AX209" s="185"/>
      <c r="AY209" s="185"/>
      <c r="AZ209" s="185"/>
      <c r="BA209" s="185"/>
      <c r="BB209" s="185"/>
      <c r="BC209" s="185"/>
      <c r="BD209" s="185"/>
      <c r="BE209" s="185"/>
      <c r="BF209" s="185"/>
      <c r="BG209" s="185"/>
      <c r="BH209" s="185"/>
      <c r="BI209" s="185"/>
      <c r="BJ209" s="185"/>
      <c r="BK209" s="186"/>
    </row>
    <row r="210" spans="1:63">
      <c r="A210" s="185"/>
      <c r="B210" s="185"/>
      <c r="C210" s="185"/>
      <c r="D210" s="185"/>
      <c r="E210" s="185"/>
      <c r="F210" s="185"/>
      <c r="G210" s="185"/>
      <c r="H210" s="185"/>
      <c r="I210" s="185"/>
      <c r="J210" s="185"/>
      <c r="K210" s="185"/>
      <c r="L210" s="185"/>
      <c r="M210" s="185"/>
      <c r="N210" s="185"/>
      <c r="O210" s="185"/>
      <c r="P210" s="185"/>
      <c r="Q210" s="185"/>
      <c r="R210" s="185"/>
      <c r="S210" s="185"/>
      <c r="T210" s="185"/>
      <c r="U210" s="185"/>
      <c r="V210" s="185"/>
      <c r="W210" s="185"/>
      <c r="X210" s="185"/>
      <c r="Y210" s="185"/>
      <c r="Z210" s="185"/>
      <c r="AA210" s="185"/>
      <c r="AB210" s="185"/>
      <c r="AC210" s="185"/>
      <c r="AD210" s="185"/>
      <c r="AE210" s="185"/>
      <c r="AF210" s="185"/>
      <c r="AG210" s="185"/>
      <c r="AH210" s="185"/>
      <c r="AI210" s="185"/>
      <c r="AJ210" s="185"/>
      <c r="AK210" s="185"/>
      <c r="AL210" s="185"/>
      <c r="AM210" s="185"/>
      <c r="AN210" s="185"/>
      <c r="AO210" s="185"/>
      <c r="AP210" s="185"/>
      <c r="AQ210" s="185"/>
      <c r="AR210" s="185"/>
      <c r="AS210" s="185"/>
      <c r="AT210" s="185"/>
      <c r="AU210" s="185"/>
      <c r="AV210" s="185"/>
      <c r="AW210" s="185"/>
      <c r="AX210" s="185"/>
      <c r="AY210" s="185"/>
      <c r="AZ210" s="185"/>
      <c r="BA210" s="185"/>
      <c r="BB210" s="185"/>
      <c r="BC210" s="185"/>
      <c r="BD210" s="185"/>
      <c r="BE210" s="185"/>
      <c r="BF210" s="185"/>
      <c r="BG210" s="185"/>
      <c r="BH210" s="185"/>
      <c r="BI210" s="185"/>
      <c r="BJ210" s="185"/>
      <c r="BK210" s="186"/>
    </row>
    <row r="211" spans="1:63">
      <c r="A211" s="185"/>
      <c r="B211" s="185"/>
      <c r="C211" s="185"/>
      <c r="D211" s="185"/>
      <c r="E211" s="185"/>
      <c r="F211" s="185"/>
      <c r="G211" s="185"/>
      <c r="H211" s="185"/>
      <c r="I211" s="185"/>
      <c r="J211" s="185"/>
      <c r="K211" s="185"/>
      <c r="L211" s="185"/>
      <c r="M211" s="185"/>
      <c r="N211" s="185"/>
      <c r="O211" s="185"/>
      <c r="P211" s="185"/>
      <c r="Q211" s="185"/>
      <c r="R211" s="185"/>
      <c r="S211" s="185"/>
      <c r="T211" s="185"/>
      <c r="U211" s="185"/>
      <c r="V211" s="185"/>
      <c r="W211" s="185"/>
      <c r="X211" s="185"/>
      <c r="Y211" s="185"/>
      <c r="Z211" s="185"/>
      <c r="AA211" s="185"/>
      <c r="AB211" s="185"/>
      <c r="AC211" s="185"/>
      <c r="AD211" s="185"/>
      <c r="AE211" s="185"/>
      <c r="AF211" s="185"/>
      <c r="AG211" s="185"/>
      <c r="AH211" s="185"/>
      <c r="AI211" s="185"/>
      <c r="AJ211" s="185"/>
      <c r="AK211" s="185"/>
      <c r="AL211" s="185"/>
      <c r="AM211" s="185"/>
      <c r="AN211" s="185"/>
      <c r="AO211" s="185"/>
      <c r="AP211" s="185"/>
      <c r="AQ211" s="185"/>
      <c r="AR211" s="185"/>
      <c r="AS211" s="185"/>
      <c r="AT211" s="185"/>
      <c r="AU211" s="185"/>
      <c r="AV211" s="185"/>
      <c r="AW211" s="185"/>
      <c r="AX211" s="185"/>
      <c r="AY211" s="185"/>
      <c r="AZ211" s="185"/>
      <c r="BA211" s="185"/>
      <c r="BB211" s="185"/>
      <c r="BC211" s="185"/>
      <c r="BD211" s="185"/>
      <c r="BE211" s="185"/>
      <c r="BF211" s="185"/>
      <c r="BG211" s="185"/>
      <c r="BH211" s="185"/>
      <c r="BI211" s="185"/>
      <c r="BJ211" s="185"/>
      <c r="BK211" s="186"/>
    </row>
    <row r="212" spans="1:63">
      <c r="A212" s="185"/>
      <c r="B212" s="185"/>
      <c r="C212" s="185"/>
      <c r="D212" s="185"/>
      <c r="E212" s="185"/>
      <c r="F212" s="185"/>
      <c r="G212" s="185"/>
      <c r="H212" s="185"/>
      <c r="I212" s="185"/>
      <c r="J212" s="185"/>
      <c r="K212" s="185"/>
      <c r="L212" s="185"/>
      <c r="M212" s="185"/>
      <c r="N212" s="185"/>
      <c r="O212" s="185"/>
      <c r="P212" s="185"/>
      <c r="Q212" s="185"/>
      <c r="R212" s="185"/>
      <c r="S212" s="185"/>
      <c r="T212" s="185"/>
      <c r="U212" s="185"/>
      <c r="V212" s="185"/>
      <c r="W212" s="185"/>
      <c r="X212" s="185"/>
      <c r="Y212" s="185"/>
      <c r="Z212" s="185"/>
      <c r="AA212" s="185"/>
      <c r="AB212" s="185"/>
      <c r="AC212" s="185"/>
      <c r="AD212" s="185"/>
      <c r="AE212" s="185"/>
      <c r="AF212" s="185"/>
      <c r="AG212" s="185"/>
      <c r="AH212" s="185"/>
      <c r="AI212" s="185"/>
      <c r="AJ212" s="185"/>
      <c r="AK212" s="185"/>
      <c r="AL212" s="185"/>
      <c r="AM212" s="185"/>
      <c r="AN212" s="185"/>
      <c r="AO212" s="185"/>
      <c r="AP212" s="185"/>
      <c r="AQ212" s="185"/>
      <c r="AR212" s="185"/>
      <c r="AS212" s="185"/>
      <c r="AT212" s="185"/>
      <c r="AU212" s="185"/>
      <c r="AV212" s="185"/>
      <c r="AW212" s="185"/>
      <c r="AX212" s="185"/>
      <c r="AY212" s="185"/>
      <c r="AZ212" s="185"/>
      <c r="BA212" s="185"/>
      <c r="BB212" s="185"/>
      <c r="BC212" s="185"/>
      <c r="BD212" s="185"/>
      <c r="BE212" s="185"/>
      <c r="BF212" s="185"/>
      <c r="BG212" s="185"/>
      <c r="BH212" s="185"/>
      <c r="BI212" s="185"/>
      <c r="BJ212" s="185"/>
      <c r="BK212" s="186"/>
    </row>
    <row r="213" spans="1:63">
      <c r="A213" s="185"/>
      <c r="B213" s="185"/>
      <c r="C213" s="185"/>
      <c r="D213" s="185"/>
      <c r="E213" s="185"/>
      <c r="F213" s="185"/>
      <c r="G213" s="185"/>
      <c r="H213" s="185"/>
      <c r="I213" s="185"/>
      <c r="J213" s="185"/>
      <c r="K213" s="185"/>
      <c r="L213" s="185"/>
      <c r="M213" s="185"/>
      <c r="N213" s="185"/>
      <c r="O213" s="185"/>
      <c r="P213" s="185"/>
      <c r="Q213" s="185"/>
      <c r="R213" s="185"/>
      <c r="S213" s="185"/>
      <c r="T213" s="185"/>
      <c r="U213" s="185"/>
      <c r="V213" s="185"/>
      <c r="W213" s="185"/>
      <c r="X213" s="185"/>
      <c r="Y213" s="185"/>
      <c r="Z213" s="185"/>
      <c r="AA213" s="185"/>
      <c r="AB213" s="185"/>
      <c r="AC213" s="185"/>
      <c r="AD213" s="185"/>
      <c r="AE213" s="185"/>
      <c r="AF213" s="185"/>
      <c r="AG213" s="185"/>
      <c r="AH213" s="185"/>
      <c r="AI213" s="185"/>
      <c r="AJ213" s="185"/>
      <c r="AK213" s="185"/>
      <c r="AL213" s="185"/>
      <c r="AM213" s="185"/>
      <c r="AN213" s="185"/>
      <c r="AO213" s="185"/>
      <c r="AP213" s="185"/>
      <c r="AQ213" s="185"/>
      <c r="AR213" s="185"/>
      <c r="AS213" s="185"/>
      <c r="AT213" s="185"/>
      <c r="AU213" s="185"/>
      <c r="AV213" s="185"/>
      <c r="AW213" s="185"/>
      <c r="AX213" s="185"/>
      <c r="AY213" s="185"/>
      <c r="AZ213" s="185"/>
      <c r="BA213" s="185"/>
      <c r="BB213" s="185"/>
      <c r="BC213" s="185"/>
      <c r="BD213" s="185"/>
      <c r="BE213" s="185"/>
      <c r="BF213" s="185"/>
      <c r="BG213" s="185"/>
      <c r="BH213" s="185"/>
      <c r="BI213" s="185"/>
      <c r="BJ213" s="185"/>
      <c r="BK213" s="186"/>
    </row>
    <row r="214" spans="1:63">
      <c r="A214" s="185"/>
      <c r="B214" s="185"/>
      <c r="C214" s="185"/>
      <c r="D214" s="185"/>
      <c r="E214" s="185"/>
      <c r="F214" s="185"/>
      <c r="G214" s="185"/>
      <c r="H214" s="185"/>
      <c r="I214" s="185"/>
      <c r="J214" s="185"/>
      <c r="K214" s="185"/>
      <c r="L214" s="185"/>
      <c r="M214" s="185"/>
      <c r="N214" s="185"/>
      <c r="O214" s="185"/>
      <c r="P214" s="185"/>
      <c r="Q214" s="185"/>
      <c r="R214" s="185"/>
      <c r="S214" s="185"/>
      <c r="T214" s="185"/>
      <c r="U214" s="185"/>
      <c r="V214" s="185"/>
      <c r="W214" s="185"/>
      <c r="X214" s="185"/>
      <c r="Y214" s="185"/>
      <c r="Z214" s="185"/>
      <c r="AA214" s="185"/>
      <c r="AB214" s="185"/>
      <c r="AC214" s="185"/>
      <c r="AD214" s="185"/>
      <c r="AE214" s="185"/>
      <c r="AF214" s="185"/>
      <c r="AG214" s="185"/>
      <c r="AH214" s="185"/>
      <c r="AI214" s="185"/>
      <c r="AJ214" s="185"/>
      <c r="AK214" s="185"/>
      <c r="AL214" s="185"/>
      <c r="AM214" s="185"/>
      <c r="AN214" s="185"/>
      <c r="AO214" s="185"/>
      <c r="AP214" s="185"/>
      <c r="AQ214" s="185"/>
      <c r="AR214" s="185"/>
      <c r="AS214" s="185"/>
      <c r="AT214" s="185"/>
      <c r="AU214" s="185"/>
      <c r="AV214" s="185"/>
      <c r="AW214" s="185"/>
      <c r="AX214" s="185"/>
      <c r="AY214" s="185"/>
      <c r="AZ214" s="185"/>
      <c r="BA214" s="185"/>
      <c r="BB214" s="185"/>
      <c r="BC214" s="185"/>
      <c r="BD214" s="185"/>
      <c r="BE214" s="185"/>
      <c r="BF214" s="185"/>
      <c r="BG214" s="185"/>
      <c r="BH214" s="185"/>
      <c r="BI214" s="185"/>
      <c r="BJ214" s="185"/>
      <c r="BK214" s="186"/>
    </row>
    <row r="215" spans="1:63">
      <c r="A215" s="185"/>
      <c r="B215" s="185"/>
      <c r="C215" s="185"/>
      <c r="D215" s="185"/>
      <c r="E215" s="185"/>
      <c r="F215" s="185"/>
      <c r="G215" s="185"/>
      <c r="H215" s="185"/>
      <c r="I215" s="185"/>
      <c r="J215" s="185"/>
      <c r="K215" s="185"/>
      <c r="L215" s="185"/>
      <c r="M215" s="185"/>
      <c r="N215" s="185"/>
      <c r="O215" s="185"/>
      <c r="P215" s="185"/>
      <c r="Q215" s="185"/>
      <c r="R215" s="185"/>
      <c r="S215" s="185"/>
      <c r="T215" s="185"/>
      <c r="U215" s="185"/>
      <c r="V215" s="185"/>
      <c r="W215" s="185"/>
      <c r="X215" s="185"/>
      <c r="Y215" s="185"/>
      <c r="Z215" s="185"/>
      <c r="AA215" s="185"/>
      <c r="AB215" s="185"/>
      <c r="AC215" s="185"/>
      <c r="AD215" s="185"/>
      <c r="AE215" s="185"/>
      <c r="AF215" s="185"/>
      <c r="AG215" s="185"/>
      <c r="AH215" s="185"/>
      <c r="AI215" s="185"/>
      <c r="AJ215" s="185"/>
      <c r="AK215" s="185"/>
      <c r="AL215" s="185"/>
      <c r="AM215" s="185"/>
      <c r="AN215" s="185"/>
      <c r="AO215" s="185"/>
      <c r="AP215" s="185"/>
      <c r="AQ215" s="185"/>
      <c r="AR215" s="185"/>
      <c r="AS215" s="185"/>
      <c r="AT215" s="185"/>
      <c r="AU215" s="185"/>
      <c r="AV215" s="185"/>
      <c r="AW215" s="185"/>
      <c r="AX215" s="185"/>
      <c r="AY215" s="185"/>
      <c r="AZ215" s="185"/>
      <c r="BA215" s="185"/>
      <c r="BB215" s="185"/>
      <c r="BC215" s="185"/>
      <c r="BD215" s="185"/>
      <c r="BE215" s="185"/>
      <c r="BF215" s="185"/>
      <c r="BG215" s="185"/>
      <c r="BH215" s="185"/>
      <c r="BI215" s="185"/>
      <c r="BJ215" s="185"/>
      <c r="BK215" s="186"/>
    </row>
    <row r="216" spans="1:63">
      <c r="A216" s="185"/>
      <c r="B216" s="185"/>
      <c r="C216" s="185"/>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6"/>
    </row>
    <row r="217" spans="1:63">
      <c r="A217" s="185"/>
      <c r="B217" s="185"/>
      <c r="C217" s="185"/>
      <c r="D217" s="185"/>
      <c r="E217" s="185"/>
      <c r="F217" s="185"/>
      <c r="G217" s="185"/>
      <c r="H217" s="185"/>
      <c r="I217" s="185"/>
      <c r="J217" s="185"/>
      <c r="K217" s="185"/>
      <c r="L217" s="185"/>
      <c r="M217" s="185"/>
      <c r="N217" s="185"/>
      <c r="O217" s="185"/>
      <c r="P217" s="185"/>
      <c r="Q217" s="185"/>
      <c r="R217" s="185"/>
      <c r="S217" s="185"/>
      <c r="T217" s="185"/>
      <c r="U217" s="185"/>
      <c r="V217" s="185"/>
      <c r="W217" s="185"/>
      <c r="X217" s="185"/>
      <c r="Y217" s="185"/>
      <c r="Z217" s="185"/>
      <c r="AA217" s="185"/>
      <c r="AB217" s="185"/>
      <c r="AC217" s="185"/>
      <c r="AD217" s="185"/>
      <c r="AE217" s="185"/>
      <c r="AF217" s="185"/>
      <c r="AG217" s="185"/>
      <c r="AH217" s="185"/>
      <c r="AI217" s="185"/>
      <c r="AJ217" s="185"/>
      <c r="AK217" s="185"/>
      <c r="AL217" s="185"/>
      <c r="AM217" s="185"/>
      <c r="AN217" s="185"/>
      <c r="AO217" s="185"/>
      <c r="AP217" s="185"/>
      <c r="AQ217" s="185"/>
      <c r="AR217" s="185"/>
      <c r="AS217" s="185"/>
      <c r="AT217" s="185"/>
      <c r="AU217" s="185"/>
      <c r="AV217" s="185"/>
      <c r="AW217" s="185"/>
      <c r="AX217" s="185"/>
      <c r="AY217" s="185"/>
      <c r="AZ217" s="185"/>
      <c r="BA217" s="185"/>
      <c r="BB217" s="185"/>
      <c r="BC217" s="185"/>
      <c r="BD217" s="185"/>
      <c r="BE217" s="185"/>
      <c r="BF217" s="185"/>
      <c r="BG217" s="185"/>
      <c r="BH217" s="185"/>
      <c r="BI217" s="185"/>
      <c r="BJ217" s="185"/>
      <c r="BK217" s="186"/>
    </row>
    <row r="218" spans="1:63">
      <c r="A218" s="185"/>
      <c r="B218" s="185"/>
      <c r="C218" s="185"/>
      <c r="D218" s="185"/>
      <c r="E218" s="185"/>
      <c r="F218" s="185"/>
      <c r="G218" s="185"/>
      <c r="H218" s="185"/>
      <c r="I218" s="185"/>
      <c r="J218" s="185"/>
      <c r="K218" s="185"/>
      <c r="L218" s="185"/>
      <c r="M218" s="185"/>
      <c r="N218" s="185"/>
      <c r="O218" s="185"/>
      <c r="P218" s="185"/>
      <c r="Q218" s="185"/>
      <c r="R218" s="185"/>
      <c r="S218" s="185"/>
      <c r="T218" s="185"/>
      <c r="U218" s="185"/>
      <c r="V218" s="185"/>
      <c r="W218" s="185"/>
      <c r="X218" s="185"/>
      <c r="Y218" s="185"/>
      <c r="Z218" s="185"/>
      <c r="AA218" s="185"/>
      <c r="AB218" s="185"/>
      <c r="AC218" s="185"/>
      <c r="AD218" s="185"/>
      <c r="AE218" s="185"/>
      <c r="AF218" s="185"/>
      <c r="AG218" s="185"/>
      <c r="AH218" s="185"/>
      <c r="AI218" s="185"/>
      <c r="AJ218" s="185"/>
      <c r="AK218" s="185"/>
      <c r="AL218" s="185"/>
      <c r="AM218" s="185"/>
      <c r="AN218" s="185"/>
      <c r="AO218" s="185"/>
      <c r="AP218" s="185"/>
      <c r="AQ218" s="185"/>
      <c r="AR218" s="185"/>
      <c r="AS218" s="185"/>
      <c r="AT218" s="185"/>
      <c r="AU218" s="185"/>
      <c r="AV218" s="185"/>
      <c r="AW218" s="185"/>
      <c r="AX218" s="185"/>
      <c r="AY218" s="185"/>
      <c r="AZ218" s="185"/>
      <c r="BA218" s="185"/>
      <c r="BB218" s="185"/>
      <c r="BC218" s="185"/>
      <c r="BD218" s="185"/>
      <c r="BE218" s="185"/>
      <c r="BF218" s="185"/>
      <c r="BG218" s="185"/>
      <c r="BH218" s="185"/>
      <c r="BI218" s="185"/>
      <c r="BJ218" s="185"/>
      <c r="BK218" s="186"/>
    </row>
    <row r="219" spans="1:63">
      <c r="A219" s="185"/>
      <c r="B219" s="185"/>
      <c r="C219" s="185"/>
      <c r="D219" s="185"/>
      <c r="E219" s="185"/>
      <c r="F219" s="185"/>
      <c r="G219" s="185"/>
      <c r="H219" s="185"/>
      <c r="I219" s="185"/>
      <c r="J219" s="185"/>
      <c r="K219" s="185"/>
      <c r="L219" s="185"/>
      <c r="M219" s="185"/>
      <c r="N219" s="185"/>
      <c r="O219" s="185"/>
      <c r="P219" s="185"/>
      <c r="Q219" s="185"/>
      <c r="R219" s="185"/>
      <c r="S219" s="185"/>
      <c r="T219" s="185"/>
      <c r="U219" s="185"/>
      <c r="V219" s="185"/>
      <c r="W219" s="185"/>
      <c r="X219" s="185"/>
      <c r="Y219" s="185"/>
      <c r="Z219" s="185"/>
      <c r="AA219" s="185"/>
      <c r="AB219" s="185"/>
      <c r="AC219" s="185"/>
      <c r="AD219" s="185"/>
      <c r="AE219" s="185"/>
      <c r="AF219" s="185"/>
      <c r="AG219" s="185"/>
      <c r="AH219" s="185"/>
      <c r="AI219" s="185"/>
      <c r="AJ219" s="185"/>
      <c r="AK219" s="185"/>
      <c r="AL219" s="185"/>
      <c r="AM219" s="185"/>
      <c r="AN219" s="185"/>
      <c r="AO219" s="185"/>
      <c r="AP219" s="185"/>
      <c r="AQ219" s="185"/>
      <c r="AR219" s="185"/>
      <c r="AS219" s="185"/>
      <c r="AT219" s="185"/>
      <c r="AU219" s="185"/>
      <c r="AV219" s="185"/>
      <c r="AW219" s="185"/>
      <c r="AX219" s="185"/>
      <c r="AY219" s="185"/>
      <c r="AZ219" s="185"/>
      <c r="BA219" s="185"/>
      <c r="BB219" s="185"/>
      <c r="BC219" s="185"/>
      <c r="BD219" s="185"/>
      <c r="BE219" s="185"/>
      <c r="BF219" s="185"/>
      <c r="BG219" s="185"/>
      <c r="BH219" s="185"/>
      <c r="BI219" s="185"/>
      <c r="BJ219" s="185"/>
      <c r="BK219" s="186"/>
    </row>
    <row r="220" spans="1:63">
      <c r="A220" s="185"/>
      <c r="B220" s="185"/>
      <c r="C220" s="185"/>
      <c r="D220" s="185"/>
      <c r="E220" s="185"/>
      <c r="F220" s="185"/>
      <c r="G220" s="185"/>
      <c r="H220" s="185"/>
      <c r="I220" s="185"/>
      <c r="J220" s="185"/>
      <c r="K220" s="185"/>
      <c r="L220" s="185"/>
      <c r="M220" s="185"/>
      <c r="N220" s="185"/>
      <c r="O220" s="185"/>
      <c r="P220" s="185"/>
      <c r="Q220" s="185"/>
      <c r="R220" s="185"/>
      <c r="S220" s="185"/>
      <c r="T220" s="185"/>
      <c r="U220" s="185"/>
      <c r="V220" s="185"/>
      <c r="W220" s="185"/>
      <c r="X220" s="185"/>
      <c r="Y220" s="185"/>
      <c r="Z220" s="185"/>
      <c r="AA220" s="185"/>
      <c r="AB220" s="185"/>
      <c r="AC220" s="185"/>
      <c r="AD220" s="185"/>
      <c r="AE220" s="185"/>
      <c r="AF220" s="185"/>
      <c r="AG220" s="185"/>
      <c r="AH220" s="185"/>
      <c r="AI220" s="185"/>
      <c r="AJ220" s="185"/>
      <c r="AK220" s="185"/>
      <c r="AL220" s="185"/>
      <c r="AM220" s="185"/>
      <c r="AN220" s="185"/>
      <c r="AO220" s="185"/>
      <c r="AP220" s="185"/>
      <c r="AQ220" s="185"/>
      <c r="AR220" s="185"/>
      <c r="AS220" s="185"/>
      <c r="AT220" s="185"/>
      <c r="AU220" s="185"/>
      <c r="AV220" s="185"/>
      <c r="AW220" s="185"/>
      <c r="AX220" s="185"/>
      <c r="AY220" s="185"/>
      <c r="AZ220" s="185"/>
      <c r="BA220" s="185"/>
      <c r="BB220" s="185"/>
      <c r="BC220" s="185"/>
      <c r="BD220" s="185"/>
      <c r="BE220" s="185"/>
      <c r="BF220" s="185"/>
      <c r="BG220" s="185"/>
      <c r="BH220" s="185"/>
      <c r="BI220" s="185"/>
      <c r="BJ220" s="185"/>
      <c r="BK220" s="186"/>
    </row>
    <row r="221" spans="1:63">
      <c r="A221" s="185"/>
      <c r="B221" s="185"/>
      <c r="C221" s="185"/>
      <c r="D221" s="185"/>
      <c r="E221" s="185"/>
      <c r="F221" s="185"/>
      <c r="G221" s="185"/>
      <c r="H221" s="185"/>
      <c r="I221" s="185"/>
      <c r="J221" s="185"/>
      <c r="K221" s="185"/>
      <c r="L221" s="185"/>
      <c r="M221" s="185"/>
      <c r="N221" s="185"/>
      <c r="O221" s="185"/>
      <c r="P221" s="185"/>
      <c r="Q221" s="185"/>
      <c r="R221" s="185"/>
      <c r="S221" s="185"/>
      <c r="T221" s="185"/>
      <c r="U221" s="185"/>
      <c r="V221" s="185"/>
      <c r="W221" s="185"/>
      <c r="X221" s="185"/>
      <c r="Y221" s="185"/>
      <c r="Z221" s="185"/>
      <c r="AA221" s="185"/>
      <c r="AB221" s="185"/>
      <c r="AC221" s="185"/>
      <c r="AD221" s="185"/>
      <c r="AE221" s="185"/>
      <c r="AF221" s="185"/>
      <c r="AG221" s="185"/>
      <c r="AH221" s="185"/>
      <c r="AI221" s="185"/>
      <c r="AJ221" s="185"/>
      <c r="AK221" s="185"/>
      <c r="AL221" s="185"/>
      <c r="AM221" s="185"/>
      <c r="AN221" s="185"/>
      <c r="AO221" s="185"/>
      <c r="AP221" s="185"/>
      <c r="AQ221" s="185"/>
      <c r="AR221" s="185"/>
      <c r="AS221" s="185"/>
      <c r="AT221" s="185"/>
      <c r="AU221" s="185"/>
      <c r="AV221" s="185"/>
      <c r="AW221" s="185"/>
      <c r="AX221" s="185"/>
      <c r="AY221" s="185"/>
      <c r="AZ221" s="185"/>
      <c r="BA221" s="185"/>
      <c r="BB221" s="185"/>
      <c r="BC221" s="185"/>
      <c r="BD221" s="185"/>
      <c r="BE221" s="185"/>
      <c r="BF221" s="185"/>
      <c r="BG221" s="185"/>
      <c r="BH221" s="185"/>
      <c r="BI221" s="185"/>
      <c r="BJ221" s="185"/>
      <c r="BK221" s="186"/>
    </row>
    <row r="222" spans="1:63">
      <c r="A222" s="185"/>
      <c r="B222" s="185"/>
      <c r="C222" s="185"/>
      <c r="D222" s="185"/>
      <c r="E222" s="185"/>
      <c r="F222" s="185"/>
      <c r="G222" s="185"/>
      <c r="H222" s="185"/>
      <c r="I222" s="185"/>
      <c r="J222" s="185"/>
      <c r="K222" s="185"/>
      <c r="L222" s="185"/>
      <c r="M222" s="185"/>
      <c r="N222" s="185"/>
      <c r="O222" s="185"/>
      <c r="P222" s="185"/>
      <c r="Q222" s="185"/>
      <c r="R222" s="185"/>
      <c r="S222" s="185"/>
      <c r="T222" s="185"/>
      <c r="U222" s="185"/>
      <c r="V222" s="185"/>
      <c r="W222" s="185"/>
      <c r="X222" s="185"/>
      <c r="Y222" s="185"/>
      <c r="Z222" s="185"/>
      <c r="AA222" s="185"/>
      <c r="AB222" s="185"/>
      <c r="AC222" s="185"/>
      <c r="AD222" s="185"/>
      <c r="AE222" s="185"/>
      <c r="AF222" s="185"/>
      <c r="AG222" s="185"/>
      <c r="AH222" s="185"/>
      <c r="AI222" s="185"/>
      <c r="AJ222" s="185"/>
      <c r="AK222" s="185"/>
      <c r="AL222" s="185"/>
      <c r="AM222" s="185"/>
      <c r="AN222" s="185"/>
      <c r="AO222" s="185"/>
      <c r="AP222" s="185"/>
      <c r="AQ222" s="185"/>
      <c r="AR222" s="185"/>
      <c r="AS222" s="185"/>
      <c r="AT222" s="185"/>
      <c r="AU222" s="185"/>
      <c r="AV222" s="185"/>
      <c r="AW222" s="185"/>
      <c r="AX222" s="185"/>
      <c r="AY222" s="185"/>
      <c r="AZ222" s="185"/>
      <c r="BA222" s="185"/>
      <c r="BB222" s="185"/>
      <c r="BC222" s="185"/>
      <c r="BD222" s="185"/>
      <c r="BE222" s="185"/>
      <c r="BF222" s="185"/>
      <c r="BG222" s="185"/>
      <c r="BH222" s="185"/>
      <c r="BI222" s="185"/>
      <c r="BJ222" s="185"/>
      <c r="BK222" s="186"/>
    </row>
    <row r="223" spans="1:63">
      <c r="A223" s="185"/>
      <c r="B223" s="185"/>
      <c r="C223" s="185"/>
      <c r="D223" s="185"/>
      <c r="E223" s="185"/>
      <c r="F223" s="185"/>
      <c r="G223" s="185"/>
      <c r="H223" s="185"/>
      <c r="I223" s="185"/>
      <c r="J223" s="185"/>
      <c r="K223" s="185"/>
      <c r="L223" s="185"/>
      <c r="M223" s="185"/>
      <c r="N223" s="185"/>
      <c r="O223" s="185"/>
      <c r="P223" s="185"/>
      <c r="Q223" s="185"/>
      <c r="R223" s="185"/>
      <c r="S223" s="185"/>
      <c r="T223" s="185"/>
      <c r="U223" s="185"/>
      <c r="V223" s="185"/>
      <c r="W223" s="185"/>
      <c r="X223" s="185"/>
      <c r="Y223" s="185"/>
      <c r="Z223" s="185"/>
      <c r="AA223" s="185"/>
      <c r="AB223" s="185"/>
      <c r="AC223" s="185"/>
      <c r="AD223" s="185"/>
      <c r="AE223" s="185"/>
      <c r="AF223" s="185"/>
      <c r="AG223" s="185"/>
      <c r="AH223" s="185"/>
      <c r="AI223" s="185"/>
      <c r="AJ223" s="185"/>
      <c r="AK223" s="185"/>
      <c r="AL223" s="185"/>
      <c r="AM223" s="185"/>
      <c r="AN223" s="185"/>
      <c r="AO223" s="185"/>
      <c r="AP223" s="185"/>
      <c r="AQ223" s="185"/>
      <c r="AR223" s="185"/>
      <c r="AS223" s="185"/>
      <c r="AT223" s="185"/>
      <c r="AU223" s="185"/>
      <c r="AV223" s="185"/>
      <c r="AW223" s="185"/>
      <c r="AX223" s="185"/>
      <c r="AY223" s="185"/>
      <c r="AZ223" s="185"/>
      <c r="BA223" s="185"/>
      <c r="BB223" s="185"/>
      <c r="BC223" s="185"/>
      <c r="BD223" s="185"/>
      <c r="BE223" s="185"/>
      <c r="BF223" s="185"/>
      <c r="BG223" s="185"/>
      <c r="BH223" s="185"/>
      <c r="BI223" s="185"/>
      <c r="BJ223" s="185"/>
      <c r="BK223" s="186"/>
    </row>
    <row r="224" spans="1:63">
      <c r="A224" s="185"/>
      <c r="B224" s="185"/>
      <c r="C224" s="185"/>
      <c r="D224" s="185"/>
      <c r="E224" s="185"/>
      <c r="F224" s="185"/>
      <c r="G224" s="185"/>
      <c r="H224" s="185"/>
      <c r="I224" s="185"/>
      <c r="J224" s="185"/>
      <c r="K224" s="185"/>
      <c r="L224" s="185"/>
      <c r="M224" s="185"/>
      <c r="N224" s="185"/>
      <c r="O224" s="185"/>
      <c r="P224" s="185"/>
      <c r="Q224" s="185"/>
      <c r="R224" s="185"/>
      <c r="S224" s="185"/>
      <c r="T224" s="185"/>
      <c r="U224" s="185"/>
      <c r="V224" s="185"/>
      <c r="W224" s="185"/>
      <c r="X224" s="185"/>
      <c r="Y224" s="185"/>
      <c r="Z224" s="185"/>
      <c r="AA224" s="185"/>
      <c r="AB224" s="185"/>
      <c r="AC224" s="185"/>
      <c r="AD224" s="185"/>
      <c r="AE224" s="185"/>
      <c r="AF224" s="185"/>
      <c r="AG224" s="185"/>
      <c r="AH224" s="185"/>
      <c r="AI224" s="185"/>
      <c r="AJ224" s="185"/>
      <c r="AK224" s="185"/>
      <c r="AL224" s="185"/>
      <c r="AM224" s="185"/>
      <c r="AN224" s="185"/>
      <c r="AO224" s="185"/>
      <c r="AP224" s="185"/>
      <c r="AQ224" s="185"/>
      <c r="AR224" s="185"/>
      <c r="AS224" s="185"/>
      <c r="AT224" s="185"/>
      <c r="AU224" s="185"/>
      <c r="AV224" s="185"/>
      <c r="AW224" s="185"/>
      <c r="AX224" s="185"/>
      <c r="AY224" s="185"/>
      <c r="AZ224" s="185"/>
      <c r="BA224" s="185"/>
      <c r="BB224" s="185"/>
      <c r="BC224" s="185"/>
      <c r="BD224" s="185"/>
      <c r="BE224" s="185"/>
      <c r="BF224" s="185"/>
      <c r="BG224" s="185"/>
      <c r="BH224" s="185"/>
      <c r="BI224" s="185"/>
      <c r="BJ224" s="185"/>
      <c r="BK224" s="186"/>
    </row>
    <row r="225" spans="1:63">
      <c r="A225" s="185"/>
      <c r="B225" s="185"/>
      <c r="C225" s="185"/>
      <c r="D225" s="185"/>
      <c r="E225" s="185"/>
      <c r="F225" s="185"/>
      <c r="G225" s="185"/>
      <c r="H225" s="185"/>
      <c r="I225" s="185"/>
      <c r="J225" s="185"/>
      <c r="K225" s="185"/>
      <c r="L225" s="185"/>
      <c r="M225" s="185"/>
      <c r="N225" s="185"/>
      <c r="O225" s="185"/>
      <c r="P225" s="185"/>
      <c r="Q225" s="185"/>
      <c r="R225" s="185"/>
      <c r="S225" s="185"/>
      <c r="T225" s="185"/>
      <c r="U225" s="185"/>
      <c r="V225" s="185"/>
      <c r="W225" s="185"/>
      <c r="X225" s="185"/>
      <c r="Y225" s="185"/>
      <c r="Z225" s="185"/>
      <c r="AA225" s="185"/>
      <c r="AB225" s="185"/>
      <c r="AC225" s="185"/>
      <c r="AD225" s="185"/>
      <c r="AE225" s="185"/>
      <c r="AF225" s="185"/>
      <c r="AG225" s="185"/>
      <c r="AH225" s="185"/>
      <c r="AI225" s="185"/>
      <c r="AJ225" s="185"/>
      <c r="AK225" s="185"/>
      <c r="AL225" s="185"/>
      <c r="AM225" s="185"/>
      <c r="AN225" s="185"/>
      <c r="AO225" s="185"/>
      <c r="AP225" s="185"/>
      <c r="AQ225" s="185"/>
      <c r="AR225" s="185"/>
      <c r="AS225" s="185"/>
      <c r="AT225" s="185"/>
      <c r="AU225" s="185"/>
      <c r="AV225" s="185"/>
      <c r="AW225" s="185"/>
      <c r="AX225" s="185"/>
      <c r="AY225" s="185"/>
      <c r="AZ225" s="185"/>
      <c r="BA225" s="185"/>
      <c r="BB225" s="185"/>
      <c r="BC225" s="185"/>
      <c r="BD225" s="185"/>
      <c r="BE225" s="185"/>
      <c r="BF225" s="185"/>
      <c r="BG225" s="185"/>
      <c r="BH225" s="185"/>
      <c r="BI225" s="185"/>
      <c r="BJ225" s="185"/>
      <c r="BK225" s="186"/>
    </row>
    <row r="226" spans="1:63">
      <c r="A226" s="185"/>
      <c r="B226" s="185"/>
      <c r="C226" s="185"/>
      <c r="D226" s="185"/>
      <c r="E226" s="185"/>
      <c r="F226" s="185"/>
      <c r="G226" s="185"/>
      <c r="H226" s="185"/>
      <c r="I226" s="185"/>
      <c r="J226" s="185"/>
      <c r="K226" s="185"/>
      <c r="L226" s="185"/>
      <c r="M226" s="185"/>
      <c r="N226" s="185"/>
      <c r="O226" s="185"/>
      <c r="P226" s="185"/>
      <c r="Q226" s="185"/>
      <c r="R226" s="185"/>
      <c r="S226" s="185"/>
      <c r="T226" s="185"/>
      <c r="U226" s="185"/>
      <c r="V226" s="185"/>
      <c r="W226" s="185"/>
      <c r="X226" s="185"/>
      <c r="Y226" s="185"/>
      <c r="Z226" s="185"/>
      <c r="AA226" s="185"/>
      <c r="AB226" s="185"/>
      <c r="AC226" s="185"/>
      <c r="AD226" s="185"/>
      <c r="AE226" s="185"/>
      <c r="AF226" s="185"/>
      <c r="AG226" s="185"/>
      <c r="AH226" s="185"/>
      <c r="AI226" s="185"/>
      <c r="AJ226" s="185"/>
      <c r="AK226" s="185"/>
      <c r="AL226" s="185"/>
      <c r="AM226" s="185"/>
      <c r="AN226" s="185"/>
      <c r="AO226" s="185"/>
      <c r="AP226" s="185"/>
      <c r="AQ226" s="185"/>
      <c r="AR226" s="185"/>
      <c r="AS226" s="185"/>
      <c r="AT226" s="185"/>
      <c r="AU226" s="185"/>
      <c r="AV226" s="185"/>
      <c r="AW226" s="185"/>
      <c r="AX226" s="185"/>
      <c r="AY226" s="185"/>
      <c r="AZ226" s="185"/>
      <c r="BA226" s="185"/>
      <c r="BB226" s="185"/>
      <c r="BC226" s="185"/>
      <c r="BD226" s="185"/>
      <c r="BE226" s="185"/>
      <c r="BF226" s="185"/>
      <c r="BG226" s="185"/>
      <c r="BH226" s="185"/>
      <c r="BI226" s="185"/>
      <c r="BJ226" s="185"/>
      <c r="BK226" s="186"/>
    </row>
    <row r="227" spans="1:63">
      <c r="A227" s="185"/>
      <c r="B227" s="185"/>
      <c r="C227" s="185"/>
      <c r="D227" s="185"/>
      <c r="E227" s="185"/>
      <c r="F227" s="185"/>
      <c r="G227" s="185"/>
      <c r="H227" s="185"/>
      <c r="I227" s="185"/>
      <c r="J227" s="185"/>
      <c r="K227" s="185"/>
      <c r="L227" s="185"/>
      <c r="M227" s="185"/>
      <c r="N227" s="185"/>
      <c r="O227" s="185"/>
      <c r="P227" s="185"/>
      <c r="Q227" s="185"/>
      <c r="R227" s="185"/>
      <c r="S227" s="185"/>
      <c r="T227" s="185"/>
      <c r="U227" s="185"/>
      <c r="V227" s="185"/>
      <c r="W227" s="185"/>
      <c r="X227" s="185"/>
      <c r="Y227" s="185"/>
      <c r="Z227" s="185"/>
      <c r="AA227" s="185"/>
      <c r="AB227" s="185"/>
      <c r="AC227" s="185"/>
      <c r="AD227" s="185"/>
      <c r="AE227" s="185"/>
      <c r="AF227" s="185"/>
      <c r="AG227" s="185"/>
      <c r="AH227" s="185"/>
      <c r="AI227" s="185"/>
      <c r="AJ227" s="185"/>
      <c r="AK227" s="185"/>
      <c r="AL227" s="185"/>
      <c r="AM227" s="185"/>
      <c r="AN227" s="185"/>
      <c r="AO227" s="185"/>
      <c r="AP227" s="185"/>
      <c r="AQ227" s="185"/>
      <c r="AR227" s="185"/>
      <c r="AS227" s="185"/>
      <c r="AT227" s="185"/>
      <c r="AU227" s="185"/>
      <c r="AV227" s="185"/>
      <c r="AW227" s="185"/>
      <c r="AX227" s="185"/>
      <c r="AY227" s="185"/>
      <c r="AZ227" s="185"/>
      <c r="BA227" s="185"/>
      <c r="BB227" s="185"/>
      <c r="BC227" s="185"/>
      <c r="BD227" s="185"/>
      <c r="BE227" s="185"/>
      <c r="BF227" s="185"/>
      <c r="BG227" s="185"/>
      <c r="BH227" s="185"/>
      <c r="BI227" s="185"/>
      <c r="BJ227" s="185"/>
      <c r="BK227" s="186"/>
    </row>
    <row r="228" spans="1:63">
      <c r="A228" s="185"/>
      <c r="B228" s="185"/>
      <c r="C228" s="185"/>
      <c r="D228" s="185"/>
      <c r="E228" s="185"/>
      <c r="F228" s="185"/>
      <c r="G228" s="185"/>
      <c r="H228" s="185"/>
      <c r="I228" s="185"/>
      <c r="J228" s="185"/>
      <c r="K228" s="185"/>
      <c r="L228" s="185"/>
      <c r="M228" s="185"/>
      <c r="N228" s="185"/>
      <c r="O228" s="185"/>
      <c r="P228" s="185"/>
      <c r="Q228" s="185"/>
      <c r="R228" s="185"/>
      <c r="S228" s="185"/>
      <c r="T228" s="185"/>
      <c r="U228" s="185"/>
      <c r="V228" s="185"/>
      <c r="W228" s="185"/>
      <c r="X228" s="185"/>
      <c r="Y228" s="185"/>
      <c r="Z228" s="185"/>
      <c r="AA228" s="185"/>
      <c r="AB228" s="185"/>
      <c r="AC228" s="185"/>
      <c r="AD228" s="185"/>
      <c r="AE228" s="185"/>
      <c r="AF228" s="185"/>
      <c r="AG228" s="185"/>
      <c r="AH228" s="185"/>
      <c r="AI228" s="185"/>
      <c r="AJ228" s="185"/>
      <c r="AK228" s="185"/>
      <c r="AL228" s="185"/>
      <c r="AM228" s="185"/>
      <c r="AN228" s="185"/>
      <c r="AO228" s="185"/>
      <c r="AP228" s="185"/>
      <c r="AQ228" s="185"/>
      <c r="AR228" s="185"/>
      <c r="AS228" s="185"/>
      <c r="AT228" s="185"/>
      <c r="AU228" s="185"/>
      <c r="AV228" s="185"/>
      <c r="AW228" s="185"/>
      <c r="AX228" s="185"/>
      <c r="AY228" s="185"/>
      <c r="AZ228" s="185"/>
      <c r="BA228" s="185"/>
      <c r="BB228" s="185"/>
      <c r="BC228" s="185"/>
      <c r="BD228" s="185"/>
      <c r="BE228" s="185"/>
      <c r="BF228" s="185"/>
      <c r="BG228" s="185"/>
      <c r="BH228" s="185"/>
      <c r="BI228" s="185"/>
      <c r="BJ228" s="185"/>
      <c r="BK228" s="186"/>
    </row>
    <row r="229" spans="1:63">
      <c r="A229" s="185"/>
      <c r="B229" s="185"/>
      <c r="C229" s="185"/>
      <c r="D229" s="185"/>
      <c r="E229" s="185"/>
      <c r="F229" s="185"/>
      <c r="G229" s="185"/>
      <c r="H229" s="185"/>
      <c r="I229" s="185"/>
      <c r="J229" s="185"/>
      <c r="K229" s="185"/>
      <c r="L229" s="185"/>
      <c r="M229" s="185"/>
      <c r="N229" s="185"/>
      <c r="O229" s="185"/>
      <c r="P229" s="185"/>
      <c r="Q229" s="185"/>
      <c r="R229" s="185"/>
      <c r="S229" s="185"/>
      <c r="T229" s="185"/>
      <c r="U229" s="185"/>
      <c r="V229" s="185"/>
      <c r="W229" s="185"/>
      <c r="X229" s="185"/>
      <c r="Y229" s="185"/>
      <c r="Z229" s="185"/>
      <c r="AA229" s="185"/>
      <c r="AB229" s="185"/>
      <c r="AC229" s="185"/>
      <c r="AD229" s="185"/>
      <c r="AE229" s="185"/>
      <c r="AF229" s="185"/>
      <c r="AG229" s="185"/>
      <c r="AH229" s="185"/>
      <c r="AI229" s="185"/>
      <c r="AJ229" s="185"/>
      <c r="AK229" s="185"/>
      <c r="AL229" s="185"/>
      <c r="AM229" s="185"/>
      <c r="AN229" s="185"/>
      <c r="AO229" s="185"/>
      <c r="AP229" s="185"/>
      <c r="AQ229" s="185"/>
      <c r="AR229" s="185"/>
      <c r="AS229" s="185"/>
      <c r="AT229" s="185"/>
      <c r="AU229" s="185"/>
      <c r="AV229" s="185"/>
      <c r="AW229" s="185"/>
      <c r="AX229" s="185"/>
      <c r="AY229" s="185"/>
      <c r="AZ229" s="185"/>
      <c r="BA229" s="185"/>
      <c r="BB229" s="185"/>
      <c r="BC229" s="185"/>
      <c r="BD229" s="185"/>
      <c r="BE229" s="185"/>
      <c r="BF229" s="185"/>
      <c r="BG229" s="185"/>
      <c r="BH229" s="185"/>
      <c r="BI229" s="185"/>
      <c r="BJ229" s="185"/>
      <c r="BK229" s="186"/>
    </row>
    <row r="230" spans="1:63">
      <c r="A230" s="185"/>
      <c r="B230" s="185"/>
      <c r="C230" s="185"/>
      <c r="D230" s="185"/>
      <c r="E230" s="185"/>
      <c r="F230" s="185"/>
      <c r="G230" s="185"/>
      <c r="H230" s="185"/>
      <c r="I230" s="185"/>
      <c r="J230" s="185"/>
      <c r="K230" s="185"/>
      <c r="L230" s="185"/>
      <c r="M230" s="185"/>
      <c r="N230" s="185"/>
      <c r="O230" s="185"/>
      <c r="P230" s="185"/>
      <c r="Q230" s="185"/>
      <c r="R230" s="185"/>
      <c r="S230" s="185"/>
      <c r="T230" s="185"/>
      <c r="U230" s="185"/>
      <c r="V230" s="185"/>
      <c r="W230" s="185"/>
      <c r="X230" s="185"/>
      <c r="Y230" s="185"/>
      <c r="Z230" s="185"/>
      <c r="AA230" s="185"/>
      <c r="AB230" s="185"/>
      <c r="AC230" s="185"/>
      <c r="AD230" s="185"/>
      <c r="AE230" s="185"/>
      <c r="AF230" s="185"/>
      <c r="AG230" s="185"/>
      <c r="AH230" s="185"/>
      <c r="AI230" s="185"/>
      <c r="AJ230" s="185"/>
      <c r="AK230" s="185"/>
      <c r="AL230" s="185"/>
      <c r="AM230" s="185"/>
      <c r="AN230" s="185"/>
      <c r="AO230" s="185"/>
      <c r="AP230" s="185"/>
      <c r="AQ230" s="185"/>
      <c r="AR230" s="185"/>
      <c r="AS230" s="185"/>
      <c r="AT230" s="185"/>
      <c r="AU230" s="185"/>
      <c r="AV230" s="185"/>
      <c r="AW230" s="185"/>
      <c r="AX230" s="185"/>
      <c r="AY230" s="185"/>
      <c r="AZ230" s="185"/>
      <c r="BA230" s="185"/>
      <c r="BB230" s="185"/>
      <c r="BC230" s="185"/>
      <c r="BD230" s="185"/>
      <c r="BE230" s="185"/>
      <c r="BF230" s="185"/>
      <c r="BG230" s="185"/>
      <c r="BH230" s="185"/>
      <c r="BI230" s="185"/>
      <c r="BJ230" s="185"/>
      <c r="BK230" s="186"/>
    </row>
    <row r="231" spans="1:63">
      <c r="A231" s="185"/>
      <c r="B231" s="185"/>
      <c r="C231" s="185"/>
      <c r="D231" s="185"/>
      <c r="E231" s="185"/>
      <c r="F231" s="185"/>
      <c r="G231" s="185"/>
      <c r="H231" s="185"/>
      <c r="I231" s="185"/>
      <c r="J231" s="185"/>
      <c r="K231" s="185"/>
      <c r="L231" s="185"/>
      <c r="M231" s="185"/>
      <c r="N231" s="185"/>
      <c r="O231" s="185"/>
      <c r="P231" s="185"/>
      <c r="Q231" s="185"/>
      <c r="R231" s="185"/>
      <c r="S231" s="185"/>
      <c r="T231" s="185"/>
      <c r="U231" s="185"/>
      <c r="V231" s="185"/>
      <c r="W231" s="185"/>
      <c r="X231" s="185"/>
      <c r="Y231" s="185"/>
      <c r="Z231" s="185"/>
      <c r="AA231" s="185"/>
      <c r="AB231" s="185"/>
      <c r="AC231" s="185"/>
      <c r="AD231" s="185"/>
      <c r="AE231" s="185"/>
      <c r="AF231" s="185"/>
      <c r="AG231" s="185"/>
      <c r="AH231" s="185"/>
      <c r="AI231" s="185"/>
      <c r="AJ231" s="185"/>
      <c r="AK231" s="185"/>
      <c r="AL231" s="185"/>
      <c r="AM231" s="185"/>
      <c r="AN231" s="185"/>
      <c r="AO231" s="185"/>
      <c r="AP231" s="185"/>
      <c r="AQ231" s="185"/>
      <c r="AR231" s="185"/>
      <c r="AS231" s="185"/>
      <c r="AT231" s="185"/>
      <c r="AU231" s="185"/>
      <c r="AV231" s="185"/>
      <c r="AW231" s="185"/>
      <c r="AX231" s="185"/>
      <c r="AY231" s="185"/>
      <c r="AZ231" s="185"/>
      <c r="BA231" s="185"/>
      <c r="BB231" s="185"/>
      <c r="BC231" s="185"/>
      <c r="BD231" s="185"/>
      <c r="BE231" s="185"/>
      <c r="BF231" s="185"/>
      <c r="BG231" s="185"/>
      <c r="BH231" s="185"/>
      <c r="BI231" s="185"/>
      <c r="BJ231" s="185"/>
      <c r="BK231" s="186"/>
    </row>
    <row r="232" spans="1:63">
      <c r="A232" s="185"/>
      <c r="B232" s="185"/>
      <c r="C232" s="185"/>
      <c r="D232" s="185"/>
      <c r="E232" s="185"/>
      <c r="F232" s="185"/>
      <c r="G232" s="185"/>
      <c r="H232" s="185"/>
      <c r="I232" s="185"/>
      <c r="J232" s="185"/>
      <c r="K232" s="185"/>
      <c r="L232" s="185"/>
      <c r="M232" s="185"/>
      <c r="N232" s="185"/>
      <c r="O232" s="185"/>
      <c r="P232" s="185"/>
      <c r="Q232" s="185"/>
      <c r="R232" s="185"/>
      <c r="S232" s="185"/>
      <c r="T232" s="185"/>
      <c r="U232" s="185"/>
      <c r="V232" s="185"/>
      <c r="W232" s="185"/>
      <c r="X232" s="185"/>
      <c r="Y232" s="185"/>
      <c r="Z232" s="185"/>
      <c r="AA232" s="185"/>
      <c r="AB232" s="185"/>
      <c r="AC232" s="185"/>
      <c r="AD232" s="185"/>
      <c r="AE232" s="185"/>
      <c r="AF232" s="185"/>
      <c r="AG232" s="185"/>
      <c r="AH232" s="185"/>
      <c r="AI232" s="185"/>
      <c r="AJ232" s="185"/>
      <c r="AK232" s="185"/>
      <c r="AL232" s="185"/>
      <c r="AM232" s="185"/>
      <c r="AN232" s="185"/>
      <c r="AO232" s="185"/>
      <c r="AP232" s="185"/>
      <c r="AQ232" s="185"/>
      <c r="AR232" s="185"/>
      <c r="AS232" s="185"/>
      <c r="AT232" s="185"/>
      <c r="AU232" s="185"/>
      <c r="AV232" s="185"/>
      <c r="AW232" s="185"/>
      <c r="AX232" s="185"/>
      <c r="AY232" s="185"/>
      <c r="AZ232" s="185"/>
      <c r="BA232" s="185"/>
      <c r="BB232" s="185"/>
      <c r="BC232" s="185"/>
      <c r="BD232" s="185"/>
      <c r="BE232" s="185"/>
      <c r="BF232" s="185"/>
      <c r="BG232" s="185"/>
      <c r="BH232" s="185"/>
      <c r="BI232" s="185"/>
      <c r="BJ232" s="185"/>
      <c r="BK232" s="186"/>
    </row>
    <row r="233" spans="1:63">
      <c r="A233" s="185"/>
      <c r="B233" s="185"/>
      <c r="C233" s="185"/>
      <c r="D233" s="185"/>
      <c r="E233" s="185"/>
      <c r="F233" s="185"/>
      <c r="G233" s="185"/>
      <c r="H233" s="185"/>
      <c r="I233" s="185"/>
      <c r="J233" s="185"/>
      <c r="K233" s="185"/>
      <c r="L233" s="185"/>
      <c r="M233" s="185"/>
      <c r="N233" s="185"/>
      <c r="O233" s="185"/>
      <c r="P233" s="185"/>
      <c r="Q233" s="185"/>
      <c r="R233" s="185"/>
      <c r="S233" s="185"/>
      <c r="T233" s="185"/>
      <c r="U233" s="185"/>
      <c r="V233" s="185"/>
      <c r="W233" s="185"/>
      <c r="X233" s="185"/>
      <c r="Y233" s="185"/>
      <c r="Z233" s="185"/>
      <c r="AA233" s="185"/>
      <c r="AB233" s="185"/>
      <c r="AC233" s="185"/>
      <c r="AD233" s="185"/>
      <c r="AE233" s="185"/>
      <c r="AF233" s="185"/>
      <c r="AG233" s="185"/>
      <c r="AH233" s="185"/>
      <c r="AI233" s="185"/>
      <c r="AJ233" s="185"/>
      <c r="AK233" s="185"/>
      <c r="AL233" s="185"/>
      <c r="AM233" s="185"/>
      <c r="AN233" s="185"/>
      <c r="AO233" s="185"/>
      <c r="AP233" s="185"/>
      <c r="AQ233" s="185"/>
      <c r="AR233" s="185"/>
      <c r="AS233" s="185"/>
      <c r="AT233" s="185"/>
      <c r="AU233" s="185"/>
      <c r="AV233" s="185"/>
      <c r="AW233" s="185"/>
      <c r="AX233" s="185"/>
      <c r="AY233" s="185"/>
      <c r="AZ233" s="185"/>
      <c r="BA233" s="185"/>
      <c r="BB233" s="185"/>
      <c r="BC233" s="185"/>
      <c r="BD233" s="185"/>
      <c r="BE233" s="185"/>
      <c r="BF233" s="185"/>
      <c r="BG233" s="185"/>
      <c r="BH233" s="185"/>
      <c r="BI233" s="185"/>
      <c r="BJ233" s="185"/>
      <c r="BK233" s="186"/>
    </row>
    <row r="234" spans="1:63">
      <c r="A234" s="185"/>
      <c r="B234" s="185"/>
      <c r="C234" s="185"/>
      <c r="D234" s="185"/>
      <c r="E234" s="185"/>
      <c r="F234" s="185"/>
      <c r="G234" s="185"/>
      <c r="H234" s="185"/>
      <c r="I234" s="185"/>
      <c r="J234" s="185"/>
      <c r="K234" s="185"/>
      <c r="L234" s="185"/>
      <c r="M234" s="185"/>
      <c r="N234" s="185"/>
      <c r="O234" s="185"/>
      <c r="P234" s="185"/>
      <c r="Q234" s="185"/>
      <c r="R234" s="185"/>
      <c r="S234" s="185"/>
      <c r="T234" s="185"/>
      <c r="U234" s="185"/>
      <c r="V234" s="185"/>
      <c r="W234" s="185"/>
      <c r="X234" s="185"/>
      <c r="Y234" s="185"/>
      <c r="Z234" s="185"/>
      <c r="AA234" s="185"/>
      <c r="AB234" s="185"/>
      <c r="AC234" s="185"/>
      <c r="AD234" s="185"/>
      <c r="AE234" s="185"/>
      <c r="AF234" s="185"/>
      <c r="AG234" s="185"/>
      <c r="AH234" s="185"/>
      <c r="AI234" s="185"/>
      <c r="AJ234" s="185"/>
      <c r="AK234" s="185"/>
      <c r="AL234" s="185"/>
      <c r="AM234" s="185"/>
      <c r="AN234" s="185"/>
      <c r="AO234" s="185"/>
      <c r="AP234" s="185"/>
      <c r="AQ234" s="185"/>
      <c r="AR234" s="185"/>
      <c r="AS234" s="185"/>
      <c r="AT234" s="185"/>
      <c r="AU234" s="185"/>
      <c r="AV234" s="185"/>
      <c r="AW234" s="185"/>
      <c r="AX234" s="185"/>
      <c r="AY234" s="185"/>
      <c r="AZ234" s="185"/>
      <c r="BA234" s="185"/>
      <c r="BB234" s="185"/>
      <c r="BC234" s="185"/>
      <c r="BD234" s="185"/>
      <c r="BE234" s="185"/>
      <c r="BF234" s="185"/>
      <c r="BG234" s="185"/>
      <c r="BH234" s="185"/>
      <c r="BI234" s="185"/>
      <c r="BJ234" s="185"/>
      <c r="BK234" s="186"/>
    </row>
    <row r="235" spans="1:63">
      <c r="A235" s="185"/>
      <c r="B235" s="185"/>
      <c r="C235" s="185"/>
      <c r="D235" s="185"/>
      <c r="E235" s="185"/>
      <c r="F235" s="185"/>
      <c r="G235" s="185"/>
      <c r="H235" s="185"/>
      <c r="I235" s="185"/>
      <c r="J235" s="185"/>
      <c r="K235" s="185"/>
      <c r="L235" s="185"/>
      <c r="M235" s="185"/>
      <c r="N235" s="185"/>
      <c r="O235" s="185"/>
      <c r="P235" s="185"/>
      <c r="Q235" s="185"/>
      <c r="R235" s="185"/>
      <c r="S235" s="185"/>
      <c r="T235" s="185"/>
      <c r="U235" s="185"/>
      <c r="V235" s="185"/>
      <c r="W235" s="185"/>
      <c r="X235" s="185"/>
      <c r="Y235" s="185"/>
      <c r="Z235" s="185"/>
      <c r="AA235" s="185"/>
      <c r="AB235" s="185"/>
      <c r="AC235" s="185"/>
      <c r="AD235" s="185"/>
      <c r="AE235" s="185"/>
      <c r="AF235" s="185"/>
      <c r="AG235" s="185"/>
      <c r="AH235" s="185"/>
      <c r="AI235" s="185"/>
      <c r="AJ235" s="185"/>
      <c r="AK235" s="185"/>
      <c r="AL235" s="185"/>
      <c r="AM235" s="185"/>
      <c r="AN235" s="185"/>
      <c r="AO235" s="185"/>
      <c r="AP235" s="185"/>
      <c r="AQ235" s="185"/>
      <c r="AR235" s="185"/>
      <c r="AS235" s="185"/>
      <c r="AT235" s="185"/>
      <c r="AU235" s="185"/>
      <c r="AV235" s="185"/>
      <c r="AW235" s="185"/>
      <c r="AX235" s="185"/>
      <c r="AY235" s="185"/>
      <c r="AZ235" s="185"/>
      <c r="BA235" s="185"/>
      <c r="BB235" s="185"/>
      <c r="BC235" s="185"/>
      <c r="BD235" s="185"/>
      <c r="BE235" s="185"/>
      <c r="BF235" s="185"/>
      <c r="BG235" s="185"/>
      <c r="BH235" s="185"/>
      <c r="BI235" s="185"/>
      <c r="BJ235" s="185"/>
      <c r="BK235" s="186"/>
    </row>
    <row r="236" spans="1:63">
      <c r="A236" s="185"/>
      <c r="B236" s="185"/>
      <c r="C236" s="185"/>
      <c r="D236" s="185"/>
      <c r="E236" s="185"/>
      <c r="F236" s="185"/>
      <c r="G236" s="185"/>
      <c r="H236" s="185"/>
      <c r="I236" s="185"/>
      <c r="J236" s="185"/>
      <c r="K236" s="185"/>
      <c r="L236" s="185"/>
      <c r="M236" s="185"/>
      <c r="N236" s="185"/>
      <c r="O236" s="185"/>
      <c r="P236" s="185"/>
      <c r="Q236" s="185"/>
      <c r="R236" s="185"/>
      <c r="S236" s="185"/>
      <c r="T236" s="185"/>
      <c r="U236" s="185"/>
      <c r="V236" s="185"/>
      <c r="W236" s="185"/>
      <c r="X236" s="185"/>
      <c r="Y236" s="185"/>
      <c r="Z236" s="185"/>
      <c r="AA236" s="185"/>
      <c r="AB236" s="185"/>
      <c r="AC236" s="185"/>
      <c r="AD236" s="185"/>
      <c r="AE236" s="185"/>
      <c r="AF236" s="185"/>
      <c r="AG236" s="185"/>
      <c r="AH236" s="185"/>
      <c r="AI236" s="185"/>
      <c r="AJ236" s="185"/>
      <c r="AK236" s="185"/>
      <c r="AL236" s="185"/>
      <c r="AM236" s="185"/>
      <c r="AN236" s="185"/>
      <c r="AO236" s="185"/>
      <c r="AP236" s="185"/>
      <c r="AQ236" s="185"/>
      <c r="AR236" s="185"/>
      <c r="AS236" s="185"/>
      <c r="AT236" s="185"/>
      <c r="AU236" s="185"/>
      <c r="AV236" s="185"/>
      <c r="AW236" s="185"/>
      <c r="AX236" s="185"/>
      <c r="AY236" s="185"/>
      <c r="AZ236" s="185"/>
      <c r="BA236" s="185"/>
      <c r="BB236" s="185"/>
      <c r="BC236" s="185"/>
      <c r="BD236" s="185"/>
      <c r="BE236" s="185"/>
      <c r="BF236" s="185"/>
      <c r="BG236" s="185"/>
      <c r="BH236" s="185"/>
      <c r="BI236" s="185"/>
      <c r="BJ236" s="185"/>
      <c r="BK236" s="186"/>
    </row>
    <row r="237" spans="1:63">
      <c r="A237" s="185"/>
      <c r="B237" s="185"/>
      <c r="C237" s="185"/>
      <c r="D237" s="185"/>
      <c r="E237" s="185"/>
      <c r="F237" s="185"/>
      <c r="G237" s="185"/>
      <c r="H237" s="185"/>
      <c r="I237" s="185"/>
      <c r="J237" s="185"/>
      <c r="K237" s="185"/>
      <c r="L237" s="185"/>
      <c r="M237" s="185"/>
      <c r="N237" s="185"/>
      <c r="O237" s="185"/>
      <c r="P237" s="185"/>
      <c r="Q237" s="185"/>
      <c r="R237" s="185"/>
      <c r="S237" s="185"/>
      <c r="T237" s="185"/>
      <c r="U237" s="185"/>
      <c r="V237" s="185"/>
      <c r="W237" s="185"/>
      <c r="X237" s="185"/>
      <c r="Y237" s="185"/>
      <c r="Z237" s="185"/>
      <c r="AA237" s="185"/>
      <c r="AB237" s="185"/>
      <c r="AC237" s="185"/>
      <c r="AD237" s="185"/>
      <c r="AE237" s="185"/>
      <c r="AF237" s="185"/>
      <c r="AG237" s="185"/>
      <c r="AH237" s="185"/>
      <c r="AI237" s="185"/>
      <c r="AJ237" s="185"/>
      <c r="AK237" s="185"/>
      <c r="AL237" s="185"/>
      <c r="AM237" s="185"/>
      <c r="AN237" s="185"/>
      <c r="AO237" s="185"/>
      <c r="AP237" s="185"/>
      <c r="AQ237" s="185"/>
      <c r="AR237" s="185"/>
      <c r="AS237" s="185"/>
      <c r="AT237" s="185"/>
      <c r="AU237" s="185"/>
      <c r="AV237" s="185"/>
      <c r="AW237" s="185"/>
      <c r="AX237" s="185"/>
      <c r="AY237" s="185"/>
      <c r="AZ237" s="185"/>
      <c r="BA237" s="185"/>
      <c r="BB237" s="185"/>
      <c r="BC237" s="185"/>
      <c r="BD237" s="185"/>
      <c r="BE237" s="185"/>
      <c r="BF237" s="185"/>
      <c r="BG237" s="185"/>
      <c r="BH237" s="185"/>
      <c r="BI237" s="185"/>
      <c r="BJ237" s="185"/>
      <c r="BK237" s="186"/>
    </row>
    <row r="238" spans="1:63">
      <c r="A238" s="185"/>
      <c r="B238" s="185"/>
      <c r="C238" s="185"/>
      <c r="D238" s="185"/>
      <c r="E238" s="185"/>
      <c r="F238" s="185"/>
      <c r="G238" s="185"/>
      <c r="H238" s="185"/>
      <c r="I238" s="185"/>
      <c r="J238" s="185"/>
      <c r="K238" s="185"/>
      <c r="L238" s="185"/>
      <c r="M238" s="185"/>
      <c r="N238" s="185"/>
      <c r="O238" s="185"/>
      <c r="P238" s="185"/>
      <c r="Q238" s="185"/>
      <c r="R238" s="185"/>
      <c r="S238" s="185"/>
      <c r="T238" s="185"/>
      <c r="U238" s="185"/>
      <c r="V238" s="185"/>
      <c r="W238" s="185"/>
      <c r="X238" s="185"/>
      <c r="Y238" s="185"/>
      <c r="Z238" s="185"/>
      <c r="AA238" s="185"/>
      <c r="AB238" s="185"/>
      <c r="AC238" s="185"/>
      <c r="AD238" s="185"/>
      <c r="AE238" s="185"/>
      <c r="AF238" s="185"/>
      <c r="AG238" s="185"/>
      <c r="AH238" s="185"/>
      <c r="AI238" s="185"/>
      <c r="AJ238" s="185"/>
      <c r="AK238" s="185"/>
      <c r="AL238" s="185"/>
      <c r="AM238" s="185"/>
      <c r="AN238" s="185"/>
      <c r="AO238" s="185"/>
      <c r="AP238" s="185"/>
      <c r="AQ238" s="185"/>
      <c r="AR238" s="185"/>
      <c r="AS238" s="185"/>
      <c r="AT238" s="185"/>
      <c r="AU238" s="185"/>
      <c r="AV238" s="185"/>
      <c r="AW238" s="185"/>
      <c r="AX238" s="185"/>
      <c r="AY238" s="185"/>
      <c r="AZ238" s="185"/>
      <c r="BA238" s="185"/>
      <c r="BB238" s="185"/>
      <c r="BC238" s="185"/>
      <c r="BD238" s="185"/>
      <c r="BE238" s="185"/>
      <c r="BF238" s="185"/>
      <c r="BG238" s="185"/>
      <c r="BH238" s="185"/>
      <c r="BI238" s="185"/>
      <c r="BJ238" s="185"/>
      <c r="BK238" s="186"/>
    </row>
    <row r="239" spans="1:63">
      <c r="A239" s="185"/>
      <c r="B239" s="185"/>
      <c r="C239" s="185"/>
      <c r="D239" s="185"/>
      <c r="E239" s="185"/>
      <c r="F239" s="185"/>
      <c r="G239" s="185"/>
      <c r="H239" s="185"/>
      <c r="I239" s="185"/>
      <c r="J239" s="185"/>
      <c r="K239" s="185"/>
      <c r="L239" s="185"/>
      <c r="M239" s="185"/>
      <c r="N239" s="185"/>
      <c r="O239" s="185"/>
      <c r="P239" s="185"/>
      <c r="Q239" s="185"/>
      <c r="R239" s="185"/>
      <c r="S239" s="185"/>
      <c r="T239" s="185"/>
      <c r="U239" s="185"/>
      <c r="V239" s="185"/>
      <c r="W239" s="185"/>
      <c r="X239" s="185"/>
      <c r="Y239" s="185"/>
      <c r="Z239" s="185"/>
      <c r="AA239" s="185"/>
      <c r="AB239" s="185"/>
      <c r="AC239" s="185"/>
      <c r="AD239" s="185"/>
      <c r="AE239" s="185"/>
      <c r="AF239" s="185"/>
      <c r="AG239" s="185"/>
      <c r="AH239" s="185"/>
      <c r="AI239" s="185"/>
      <c r="AJ239" s="185"/>
      <c r="AK239" s="185"/>
      <c r="AL239" s="185"/>
      <c r="AM239" s="185"/>
      <c r="AN239" s="185"/>
      <c r="AO239" s="185"/>
      <c r="AP239" s="185"/>
      <c r="AQ239" s="185"/>
      <c r="AR239" s="185"/>
      <c r="AS239" s="185"/>
      <c r="AT239" s="185"/>
      <c r="AU239" s="185"/>
      <c r="AV239" s="185"/>
      <c r="AW239" s="185"/>
      <c r="AX239" s="185"/>
      <c r="AY239" s="185"/>
      <c r="AZ239" s="185"/>
      <c r="BA239" s="185"/>
      <c r="BB239" s="185"/>
      <c r="BC239" s="185"/>
      <c r="BD239" s="185"/>
      <c r="BE239" s="185"/>
      <c r="BF239" s="185"/>
      <c r="BG239" s="185"/>
      <c r="BH239" s="185"/>
      <c r="BI239" s="185"/>
      <c r="BJ239" s="185"/>
      <c r="BK239" s="186"/>
    </row>
    <row r="240" spans="1:63">
      <c r="A240" s="185"/>
      <c r="B240" s="185"/>
      <c r="C240" s="185"/>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6"/>
    </row>
    <row r="241" spans="1:63">
      <c r="A241" s="185"/>
      <c r="B241" s="185"/>
      <c r="C241" s="185"/>
      <c r="D241" s="185"/>
      <c r="E241" s="185"/>
      <c r="F241" s="185"/>
      <c r="G241" s="185"/>
      <c r="H241" s="185"/>
      <c r="I241" s="185"/>
      <c r="J241" s="185"/>
      <c r="K241" s="185"/>
      <c r="L241" s="185"/>
      <c r="M241" s="185"/>
      <c r="N241" s="185"/>
      <c r="O241" s="185"/>
      <c r="P241" s="185"/>
      <c r="Q241" s="185"/>
      <c r="R241" s="185"/>
      <c r="S241" s="185"/>
      <c r="T241" s="185"/>
      <c r="U241" s="185"/>
      <c r="V241" s="185"/>
      <c r="W241" s="185"/>
      <c r="X241" s="185"/>
      <c r="Y241" s="185"/>
      <c r="Z241" s="185"/>
      <c r="AA241" s="185"/>
      <c r="AB241" s="185"/>
      <c r="AC241" s="185"/>
      <c r="AD241" s="185"/>
      <c r="AE241" s="185"/>
      <c r="AF241" s="185"/>
      <c r="AG241" s="185"/>
      <c r="AH241" s="185"/>
      <c r="AI241" s="185"/>
      <c r="AJ241" s="185"/>
      <c r="AK241" s="185"/>
      <c r="AL241" s="185"/>
      <c r="AM241" s="185"/>
      <c r="AN241" s="185"/>
      <c r="AO241" s="185"/>
      <c r="AP241" s="185"/>
      <c r="AQ241" s="185"/>
      <c r="AR241" s="185"/>
      <c r="AS241" s="185"/>
      <c r="AT241" s="185"/>
      <c r="AU241" s="185"/>
      <c r="AV241" s="185"/>
      <c r="AW241" s="185"/>
      <c r="AX241" s="185"/>
      <c r="AY241" s="185"/>
      <c r="AZ241" s="185"/>
      <c r="BA241" s="185"/>
      <c r="BB241" s="185"/>
      <c r="BC241" s="185"/>
      <c r="BD241" s="185"/>
      <c r="BE241" s="185"/>
      <c r="BF241" s="185"/>
      <c r="BG241" s="185"/>
      <c r="BH241" s="185"/>
      <c r="BI241" s="185"/>
      <c r="BJ241" s="185"/>
      <c r="BK241" s="186"/>
    </row>
    <row r="242" spans="1:63">
      <c r="A242" s="185"/>
      <c r="B242" s="185"/>
      <c r="C242" s="185"/>
      <c r="D242" s="185"/>
      <c r="E242" s="185"/>
      <c r="F242" s="185"/>
      <c r="G242" s="185"/>
      <c r="H242" s="185"/>
      <c r="I242" s="185"/>
      <c r="J242" s="185"/>
      <c r="K242" s="185"/>
      <c r="L242" s="185"/>
      <c r="M242" s="185"/>
      <c r="N242" s="185"/>
      <c r="O242" s="185"/>
      <c r="P242" s="185"/>
      <c r="Q242" s="185"/>
      <c r="R242" s="185"/>
      <c r="S242" s="185"/>
      <c r="T242" s="185"/>
      <c r="U242" s="185"/>
      <c r="V242" s="185"/>
      <c r="W242" s="185"/>
      <c r="X242" s="185"/>
      <c r="Y242" s="185"/>
      <c r="Z242" s="185"/>
      <c r="AA242" s="185"/>
      <c r="AB242" s="185"/>
      <c r="AC242" s="185"/>
      <c r="AD242" s="185"/>
      <c r="AE242" s="185"/>
      <c r="AF242" s="185"/>
      <c r="AG242" s="185"/>
      <c r="AH242" s="185"/>
      <c r="AI242" s="185"/>
      <c r="AJ242" s="185"/>
      <c r="AK242" s="185"/>
      <c r="AL242" s="185"/>
      <c r="AM242" s="185"/>
      <c r="AN242" s="185"/>
      <c r="AO242" s="185"/>
      <c r="AP242" s="185"/>
      <c r="AQ242" s="185"/>
      <c r="AR242" s="185"/>
      <c r="AS242" s="185"/>
      <c r="AT242" s="185"/>
      <c r="AU242" s="185"/>
      <c r="AV242" s="185"/>
      <c r="AW242" s="185"/>
      <c r="AX242" s="185"/>
      <c r="AY242" s="185"/>
      <c r="AZ242" s="185"/>
      <c r="BA242" s="185"/>
      <c r="BB242" s="185"/>
      <c r="BC242" s="185"/>
      <c r="BD242" s="185"/>
      <c r="BE242" s="185"/>
      <c r="BF242" s="185"/>
      <c r="BG242" s="185"/>
      <c r="BH242" s="185"/>
      <c r="BI242" s="185"/>
      <c r="BJ242" s="185"/>
      <c r="BK242" s="186"/>
    </row>
    <row r="243" spans="1:63">
      <c r="A243" s="185"/>
      <c r="B243" s="185"/>
      <c r="C243" s="185"/>
      <c r="D243" s="185"/>
      <c r="E243" s="185"/>
      <c r="F243" s="185"/>
      <c r="G243" s="185"/>
      <c r="H243" s="185"/>
      <c r="I243" s="185"/>
      <c r="J243" s="185"/>
      <c r="K243" s="185"/>
      <c r="L243" s="185"/>
      <c r="M243" s="185"/>
      <c r="N243" s="185"/>
      <c r="O243" s="185"/>
      <c r="P243" s="185"/>
      <c r="Q243" s="185"/>
      <c r="R243" s="185"/>
      <c r="S243" s="185"/>
      <c r="T243" s="185"/>
      <c r="U243" s="185"/>
      <c r="V243" s="185"/>
      <c r="W243" s="185"/>
      <c r="X243" s="185"/>
      <c r="Y243" s="185"/>
      <c r="Z243" s="185"/>
      <c r="AA243" s="185"/>
      <c r="AB243" s="185"/>
      <c r="AC243" s="185"/>
      <c r="AD243" s="185"/>
      <c r="AE243" s="185"/>
      <c r="AF243" s="185"/>
      <c r="AG243" s="185"/>
      <c r="AH243" s="185"/>
      <c r="AI243" s="185"/>
      <c r="AJ243" s="185"/>
      <c r="AK243" s="185"/>
      <c r="AL243" s="185"/>
      <c r="AM243" s="185"/>
      <c r="AN243" s="185"/>
      <c r="AO243" s="185"/>
      <c r="AP243" s="185"/>
      <c r="AQ243" s="185"/>
      <c r="AR243" s="185"/>
      <c r="AS243" s="185"/>
      <c r="AT243" s="185"/>
      <c r="AU243" s="185"/>
      <c r="AV243" s="185"/>
      <c r="AW243" s="185"/>
      <c r="AX243" s="185"/>
      <c r="AY243" s="185"/>
      <c r="AZ243" s="185"/>
      <c r="BA243" s="185"/>
      <c r="BB243" s="185"/>
      <c r="BC243" s="185"/>
      <c r="BD243" s="185"/>
      <c r="BE243" s="185"/>
      <c r="BF243" s="185"/>
      <c r="BG243" s="185"/>
      <c r="BH243" s="185"/>
      <c r="BI243" s="185"/>
      <c r="BJ243" s="185"/>
      <c r="BK243" s="186"/>
    </row>
    <row r="244" spans="1:63">
      <c r="A244" s="185"/>
      <c r="B244" s="185"/>
      <c r="C244" s="185"/>
      <c r="D244" s="185"/>
      <c r="E244" s="185"/>
      <c r="F244" s="185"/>
      <c r="G244" s="185"/>
      <c r="H244" s="185"/>
      <c r="I244" s="185"/>
      <c r="J244" s="185"/>
      <c r="K244" s="185"/>
      <c r="L244" s="185"/>
      <c r="M244" s="185"/>
      <c r="N244" s="185"/>
      <c r="O244" s="185"/>
      <c r="P244" s="185"/>
      <c r="Q244" s="185"/>
      <c r="R244" s="185"/>
      <c r="S244" s="185"/>
      <c r="T244" s="185"/>
      <c r="U244" s="185"/>
      <c r="V244" s="185"/>
      <c r="W244" s="185"/>
      <c r="X244" s="185"/>
      <c r="Y244" s="185"/>
      <c r="Z244" s="185"/>
      <c r="AA244" s="185"/>
      <c r="AB244" s="185"/>
      <c r="AC244" s="185"/>
      <c r="AD244" s="185"/>
      <c r="AE244" s="185"/>
      <c r="AF244" s="185"/>
      <c r="AG244" s="185"/>
      <c r="AH244" s="185"/>
      <c r="AI244" s="185"/>
      <c r="AJ244" s="185"/>
      <c r="AK244" s="185"/>
      <c r="AL244" s="185"/>
      <c r="AM244" s="185"/>
      <c r="AN244" s="185"/>
      <c r="AO244" s="185"/>
      <c r="AP244" s="185"/>
      <c r="AQ244" s="185"/>
      <c r="AR244" s="185"/>
      <c r="AS244" s="185"/>
      <c r="AT244" s="185"/>
      <c r="AU244" s="185"/>
      <c r="AV244" s="185"/>
      <c r="AW244" s="185"/>
      <c r="AX244" s="185"/>
      <c r="AY244" s="185"/>
      <c r="AZ244" s="185"/>
      <c r="BA244" s="185"/>
      <c r="BB244" s="185"/>
      <c r="BC244" s="185"/>
      <c r="BD244" s="185"/>
      <c r="BE244" s="185"/>
      <c r="BF244" s="185"/>
      <c r="BG244" s="185"/>
      <c r="BH244" s="185"/>
      <c r="BI244" s="185"/>
      <c r="BJ244" s="185"/>
      <c r="BK244" s="186"/>
    </row>
    <row r="245" spans="1:63">
      <c r="A245" s="185"/>
      <c r="B245" s="185"/>
      <c r="C245" s="185"/>
      <c r="D245" s="185"/>
      <c r="E245" s="185"/>
      <c r="F245" s="185"/>
      <c r="G245" s="185"/>
      <c r="H245" s="185"/>
      <c r="I245" s="185"/>
      <c r="J245" s="185"/>
      <c r="K245" s="185"/>
      <c r="L245" s="185"/>
      <c r="M245" s="185"/>
      <c r="N245" s="185"/>
      <c r="O245" s="185"/>
      <c r="P245" s="185"/>
      <c r="Q245" s="185"/>
      <c r="R245" s="185"/>
      <c r="S245" s="185"/>
      <c r="T245" s="185"/>
      <c r="U245" s="185"/>
      <c r="V245" s="185"/>
      <c r="W245" s="185"/>
      <c r="X245" s="185"/>
      <c r="Y245" s="185"/>
      <c r="Z245" s="185"/>
      <c r="AA245" s="185"/>
      <c r="AB245" s="185"/>
      <c r="AC245" s="185"/>
      <c r="AD245" s="185"/>
      <c r="AE245" s="185"/>
      <c r="AF245" s="185"/>
      <c r="AG245" s="185"/>
      <c r="AH245" s="185"/>
      <c r="AI245" s="185"/>
      <c r="AJ245" s="185"/>
      <c r="AK245" s="185"/>
      <c r="AL245" s="185"/>
      <c r="AM245" s="185"/>
      <c r="AN245" s="185"/>
      <c r="AO245" s="185"/>
      <c r="AP245" s="185"/>
      <c r="AQ245" s="185"/>
      <c r="AR245" s="185"/>
      <c r="AS245" s="185"/>
      <c r="AT245" s="185"/>
      <c r="AU245" s="185"/>
      <c r="AV245" s="185"/>
      <c r="AW245" s="185"/>
      <c r="AX245" s="185"/>
      <c r="AY245" s="185"/>
      <c r="AZ245" s="185"/>
      <c r="BA245" s="185"/>
      <c r="BB245" s="185"/>
      <c r="BC245" s="185"/>
      <c r="BD245" s="185"/>
      <c r="BE245" s="185"/>
      <c r="BF245" s="185"/>
      <c r="BG245" s="185"/>
      <c r="BH245" s="185"/>
      <c r="BI245" s="185"/>
      <c r="BJ245" s="185"/>
      <c r="BK245" s="186"/>
    </row>
    <row r="246" spans="1:63">
      <c r="A246" s="185"/>
      <c r="B246" s="185"/>
      <c r="C246" s="185"/>
      <c r="D246" s="185"/>
      <c r="E246" s="185"/>
      <c r="F246" s="185"/>
      <c r="G246" s="185"/>
      <c r="H246" s="185"/>
      <c r="I246" s="185"/>
      <c r="J246" s="185"/>
      <c r="K246" s="185"/>
      <c r="L246" s="185"/>
      <c r="M246" s="185"/>
      <c r="N246" s="185"/>
      <c r="O246" s="185"/>
      <c r="P246" s="185"/>
      <c r="Q246" s="185"/>
      <c r="R246" s="185"/>
      <c r="S246" s="185"/>
      <c r="T246" s="185"/>
      <c r="U246" s="185"/>
      <c r="V246" s="185"/>
      <c r="W246" s="185"/>
      <c r="X246" s="185"/>
      <c r="Y246" s="185"/>
      <c r="Z246" s="185"/>
      <c r="AA246" s="185"/>
      <c r="AB246" s="185"/>
      <c r="AC246" s="185"/>
      <c r="AD246" s="185"/>
      <c r="AE246" s="185"/>
      <c r="AF246" s="185"/>
      <c r="AG246" s="185"/>
      <c r="AH246" s="185"/>
      <c r="AI246" s="185"/>
      <c r="AJ246" s="185"/>
      <c r="AK246" s="185"/>
      <c r="AL246" s="185"/>
      <c r="AM246" s="185"/>
      <c r="AN246" s="185"/>
      <c r="AO246" s="185"/>
      <c r="AP246" s="185"/>
      <c r="AQ246" s="185"/>
      <c r="AR246" s="185"/>
      <c r="AS246" s="185"/>
      <c r="AT246" s="185"/>
      <c r="AU246" s="185"/>
      <c r="AV246" s="185"/>
      <c r="AW246" s="185"/>
      <c r="AX246" s="185"/>
      <c r="AY246" s="185"/>
      <c r="AZ246" s="185"/>
      <c r="BA246" s="185"/>
      <c r="BB246" s="185"/>
      <c r="BC246" s="185"/>
      <c r="BD246" s="185"/>
      <c r="BE246" s="185"/>
      <c r="BF246" s="185"/>
      <c r="BG246" s="185"/>
      <c r="BH246" s="185"/>
      <c r="BI246" s="185"/>
      <c r="BJ246" s="185"/>
      <c r="BK246" s="186"/>
    </row>
    <row r="247" spans="1:63">
      <c r="A247" s="185"/>
      <c r="B247" s="185"/>
      <c r="C247" s="185"/>
      <c r="D247" s="185"/>
      <c r="E247" s="185"/>
      <c r="F247" s="185"/>
      <c r="G247" s="185"/>
      <c r="H247" s="185"/>
      <c r="I247" s="185"/>
      <c r="J247" s="185"/>
      <c r="K247" s="185"/>
      <c r="L247" s="185"/>
      <c r="M247" s="185"/>
      <c r="N247" s="185"/>
      <c r="O247" s="185"/>
      <c r="P247" s="185"/>
      <c r="Q247" s="185"/>
      <c r="R247" s="185"/>
      <c r="S247" s="185"/>
      <c r="T247" s="185"/>
      <c r="U247" s="185"/>
      <c r="V247" s="185"/>
      <c r="W247" s="185"/>
      <c r="X247" s="185"/>
      <c r="Y247" s="185"/>
      <c r="Z247" s="185"/>
      <c r="AA247" s="185"/>
      <c r="AB247" s="185"/>
      <c r="AC247" s="185"/>
      <c r="AD247" s="185"/>
      <c r="AE247" s="185"/>
      <c r="AF247" s="185"/>
      <c r="AG247" s="185"/>
      <c r="AH247" s="185"/>
      <c r="AI247" s="185"/>
      <c r="AJ247" s="185"/>
      <c r="AK247" s="185"/>
      <c r="AL247" s="185"/>
      <c r="AM247" s="185"/>
      <c r="AN247" s="185"/>
      <c r="AO247" s="185"/>
      <c r="AP247" s="185"/>
      <c r="AQ247" s="185"/>
      <c r="AR247" s="185"/>
      <c r="AS247" s="185"/>
      <c r="AT247" s="185"/>
      <c r="AU247" s="185"/>
      <c r="AV247" s="185"/>
      <c r="AW247" s="185"/>
      <c r="AX247" s="185"/>
      <c r="AY247" s="185"/>
      <c r="AZ247" s="185"/>
      <c r="BA247" s="185"/>
      <c r="BB247" s="185"/>
      <c r="BC247" s="185"/>
      <c r="BD247" s="185"/>
      <c r="BE247" s="185"/>
      <c r="BF247" s="185"/>
      <c r="BG247" s="185"/>
      <c r="BH247" s="185"/>
      <c r="BI247" s="185"/>
      <c r="BJ247" s="185"/>
      <c r="BK247" s="186"/>
    </row>
    <row r="248" spans="1:63">
      <c r="A248" s="185"/>
      <c r="B248" s="185"/>
      <c r="C248" s="185"/>
      <c r="D248" s="185"/>
      <c r="E248" s="185"/>
      <c r="F248" s="185"/>
      <c r="G248" s="185"/>
      <c r="H248" s="185"/>
      <c r="I248" s="185"/>
      <c r="J248" s="185"/>
      <c r="K248" s="185"/>
      <c r="L248" s="185"/>
      <c r="M248" s="185"/>
      <c r="N248" s="185"/>
      <c r="O248" s="185"/>
      <c r="P248" s="185"/>
      <c r="Q248" s="185"/>
      <c r="R248" s="185"/>
      <c r="S248" s="185"/>
      <c r="T248" s="185"/>
      <c r="U248" s="185"/>
      <c r="V248" s="185"/>
      <c r="W248" s="185"/>
      <c r="X248" s="185"/>
      <c r="Y248" s="185"/>
      <c r="Z248" s="185"/>
      <c r="AA248" s="185"/>
      <c r="AB248" s="185"/>
      <c r="AC248" s="185"/>
      <c r="AD248" s="185"/>
      <c r="AE248" s="185"/>
      <c r="AF248" s="185"/>
      <c r="AG248" s="185"/>
      <c r="AH248" s="185"/>
      <c r="AI248" s="185"/>
      <c r="AJ248" s="185"/>
      <c r="AK248" s="185"/>
      <c r="AL248" s="185"/>
      <c r="AM248" s="185"/>
      <c r="AN248" s="185"/>
      <c r="AO248" s="185"/>
      <c r="AP248" s="185"/>
      <c r="AQ248" s="185"/>
      <c r="AR248" s="185"/>
      <c r="AS248" s="185"/>
      <c r="AT248" s="185"/>
      <c r="AU248" s="185"/>
      <c r="AV248" s="185"/>
      <c r="AW248" s="185"/>
      <c r="AX248" s="185"/>
      <c r="AY248" s="185"/>
      <c r="AZ248" s="185"/>
      <c r="BA248" s="185"/>
      <c r="BB248" s="185"/>
      <c r="BC248" s="185"/>
      <c r="BD248" s="185"/>
      <c r="BE248" s="185"/>
      <c r="BF248" s="185"/>
      <c r="BG248" s="185"/>
      <c r="BH248" s="185"/>
      <c r="BI248" s="185"/>
      <c r="BJ248" s="185"/>
      <c r="BK248" s="186"/>
    </row>
    <row r="249" spans="1:63">
      <c r="A249" s="185"/>
      <c r="B249" s="185"/>
      <c r="C249" s="185"/>
      <c r="D249" s="185"/>
      <c r="E249" s="185"/>
      <c r="F249" s="185"/>
      <c r="G249" s="185"/>
      <c r="H249" s="185"/>
      <c r="I249" s="185"/>
      <c r="J249" s="185"/>
      <c r="K249" s="185"/>
      <c r="L249" s="185"/>
      <c r="M249" s="185"/>
      <c r="N249" s="185"/>
      <c r="O249" s="185"/>
      <c r="P249" s="185"/>
      <c r="Q249" s="185"/>
      <c r="R249" s="185"/>
      <c r="S249" s="185"/>
      <c r="T249" s="185"/>
      <c r="U249" s="185"/>
      <c r="V249" s="185"/>
      <c r="W249" s="185"/>
      <c r="X249" s="185"/>
      <c r="Y249" s="185"/>
      <c r="Z249" s="185"/>
      <c r="AA249" s="185"/>
      <c r="AB249" s="185"/>
      <c r="AC249" s="185"/>
      <c r="AD249" s="185"/>
      <c r="AE249" s="185"/>
      <c r="AF249" s="185"/>
      <c r="AG249" s="185"/>
      <c r="AH249" s="185"/>
      <c r="AI249" s="185"/>
      <c r="AJ249" s="185"/>
      <c r="AK249" s="185"/>
      <c r="AL249" s="185"/>
      <c r="AM249" s="185"/>
      <c r="AN249" s="185"/>
      <c r="AO249" s="185"/>
      <c r="AP249" s="185"/>
      <c r="AQ249" s="185"/>
      <c r="AR249" s="185"/>
      <c r="AS249" s="185"/>
      <c r="AT249" s="185"/>
      <c r="AU249" s="185"/>
      <c r="AV249" s="185"/>
      <c r="AW249" s="185"/>
      <c r="AX249" s="185"/>
      <c r="AY249" s="185"/>
      <c r="AZ249" s="185"/>
      <c r="BA249" s="185"/>
      <c r="BB249" s="185"/>
      <c r="BC249" s="185"/>
      <c r="BD249" s="185"/>
      <c r="BE249" s="185"/>
      <c r="BF249" s="185"/>
      <c r="BG249" s="185"/>
      <c r="BH249" s="185"/>
      <c r="BI249" s="185"/>
      <c r="BJ249" s="185"/>
      <c r="BK249" s="186"/>
    </row>
    <row r="250" spans="1:63">
      <c r="A250" s="185"/>
      <c r="B250" s="185"/>
      <c r="C250" s="185"/>
      <c r="D250" s="185"/>
      <c r="E250" s="185"/>
      <c r="F250" s="185"/>
      <c r="G250" s="185"/>
      <c r="H250" s="185"/>
      <c r="I250" s="185"/>
      <c r="J250" s="185"/>
      <c r="K250" s="185"/>
      <c r="L250" s="185"/>
      <c r="M250" s="185"/>
      <c r="N250" s="185"/>
      <c r="O250" s="185"/>
      <c r="P250" s="185"/>
      <c r="Q250" s="185"/>
      <c r="R250" s="185"/>
      <c r="S250" s="185"/>
      <c r="T250" s="185"/>
      <c r="U250" s="185"/>
      <c r="V250" s="185"/>
      <c r="W250" s="185"/>
      <c r="X250" s="185"/>
      <c r="Y250" s="185"/>
      <c r="Z250" s="185"/>
      <c r="AA250" s="185"/>
      <c r="AB250" s="185"/>
      <c r="AC250" s="185"/>
      <c r="AD250" s="185"/>
      <c r="AE250" s="185"/>
      <c r="AF250" s="185"/>
      <c r="AG250" s="185"/>
      <c r="AH250" s="185"/>
      <c r="AI250" s="185"/>
      <c r="AJ250" s="185"/>
      <c r="AK250" s="185"/>
      <c r="AL250" s="185"/>
      <c r="AM250" s="185"/>
      <c r="AN250" s="185"/>
      <c r="AO250" s="185"/>
      <c r="AP250" s="185"/>
      <c r="AQ250" s="185"/>
      <c r="AR250" s="185"/>
      <c r="AS250" s="185"/>
      <c r="AT250" s="185"/>
      <c r="AU250" s="185"/>
      <c r="AV250" s="185"/>
      <c r="AW250" s="185"/>
      <c r="AX250" s="185"/>
      <c r="AY250" s="185"/>
      <c r="AZ250" s="185"/>
      <c r="BA250" s="185"/>
      <c r="BB250" s="185"/>
      <c r="BC250" s="185"/>
      <c r="BD250" s="185"/>
      <c r="BE250" s="185"/>
      <c r="BF250" s="185"/>
      <c r="BG250" s="185"/>
      <c r="BH250" s="185"/>
      <c r="BI250" s="185"/>
      <c r="BJ250" s="185"/>
      <c r="BK250" s="186"/>
    </row>
    <row r="251" spans="1:63">
      <c r="A251" s="185"/>
      <c r="B251" s="185"/>
      <c r="C251" s="185"/>
      <c r="D251" s="185"/>
      <c r="E251" s="185"/>
      <c r="F251" s="185"/>
      <c r="G251" s="185"/>
      <c r="H251" s="185"/>
      <c r="I251" s="185"/>
      <c r="J251" s="185"/>
      <c r="K251" s="185"/>
      <c r="L251" s="185"/>
      <c r="M251" s="185"/>
      <c r="N251" s="185"/>
      <c r="O251" s="185"/>
      <c r="P251" s="185"/>
      <c r="Q251" s="185"/>
      <c r="R251" s="185"/>
      <c r="S251" s="185"/>
      <c r="T251" s="185"/>
      <c r="U251" s="185"/>
      <c r="V251" s="185"/>
      <c r="W251" s="185"/>
      <c r="X251" s="185"/>
      <c r="Y251" s="185"/>
      <c r="Z251" s="185"/>
      <c r="AA251" s="185"/>
      <c r="AB251" s="185"/>
      <c r="AC251" s="185"/>
      <c r="AD251" s="185"/>
      <c r="AE251" s="185"/>
      <c r="AF251" s="185"/>
      <c r="AG251" s="185"/>
      <c r="AH251" s="185"/>
      <c r="AI251" s="185"/>
      <c r="AJ251" s="185"/>
      <c r="AK251" s="185"/>
      <c r="AL251" s="185"/>
      <c r="AM251" s="185"/>
      <c r="AN251" s="185"/>
      <c r="AO251" s="185"/>
      <c r="AP251" s="185"/>
      <c r="AQ251" s="185"/>
      <c r="AR251" s="185"/>
      <c r="AS251" s="185"/>
      <c r="AT251" s="185"/>
      <c r="AU251" s="185"/>
      <c r="AV251" s="185"/>
      <c r="AW251" s="185"/>
      <c r="AX251" s="185"/>
      <c r="AY251" s="185"/>
      <c r="AZ251" s="185"/>
      <c r="BA251" s="185"/>
      <c r="BB251" s="185"/>
      <c r="BC251" s="185"/>
      <c r="BD251" s="185"/>
      <c r="BE251" s="185"/>
      <c r="BF251" s="185"/>
      <c r="BG251" s="185"/>
      <c r="BH251" s="185"/>
      <c r="BI251" s="185"/>
      <c r="BJ251" s="185"/>
      <c r="BK251" s="186"/>
    </row>
    <row r="252" spans="1:63">
      <c r="A252" s="185"/>
      <c r="B252" s="185"/>
      <c r="C252" s="185"/>
      <c r="D252" s="185"/>
      <c r="E252" s="185"/>
      <c r="F252" s="185"/>
      <c r="G252" s="185"/>
      <c r="H252" s="185"/>
      <c r="I252" s="185"/>
      <c r="J252" s="185"/>
      <c r="K252" s="185"/>
      <c r="L252" s="185"/>
      <c r="M252" s="185"/>
      <c r="N252" s="185"/>
      <c r="O252" s="185"/>
      <c r="P252" s="185"/>
      <c r="Q252" s="185"/>
      <c r="R252" s="185"/>
      <c r="S252" s="185"/>
      <c r="T252" s="185"/>
      <c r="U252" s="185"/>
      <c r="V252" s="185"/>
      <c r="W252" s="185"/>
      <c r="X252" s="185"/>
      <c r="Y252" s="185"/>
      <c r="Z252" s="185"/>
      <c r="AA252" s="185"/>
      <c r="AB252" s="185"/>
      <c r="AC252" s="185"/>
      <c r="AD252" s="185"/>
      <c r="AE252" s="185"/>
      <c r="AF252" s="185"/>
      <c r="AG252" s="185"/>
      <c r="AH252" s="185"/>
      <c r="AI252" s="185"/>
      <c r="AJ252" s="185"/>
      <c r="AK252" s="185"/>
      <c r="AL252" s="185"/>
      <c r="AM252" s="185"/>
      <c r="AN252" s="185"/>
      <c r="AO252" s="185"/>
      <c r="AP252" s="185"/>
      <c r="AQ252" s="185"/>
      <c r="AR252" s="185"/>
      <c r="AS252" s="185"/>
      <c r="AT252" s="185"/>
      <c r="AU252" s="185"/>
      <c r="AV252" s="185"/>
      <c r="AW252" s="185"/>
      <c r="AX252" s="185"/>
      <c r="AY252" s="185"/>
      <c r="AZ252" s="185"/>
      <c r="BA252" s="185"/>
      <c r="BB252" s="185"/>
      <c r="BC252" s="185"/>
      <c r="BD252" s="185"/>
      <c r="BE252" s="185"/>
      <c r="BF252" s="185"/>
      <c r="BG252" s="185"/>
      <c r="BH252" s="185"/>
      <c r="BI252" s="185"/>
      <c r="BJ252" s="185"/>
      <c r="BK252" s="186"/>
    </row>
    <row r="253" spans="1:63">
      <c r="A253" s="185"/>
      <c r="B253" s="185"/>
      <c r="C253" s="185"/>
      <c r="D253" s="185"/>
      <c r="E253" s="185"/>
      <c r="F253" s="185"/>
      <c r="G253" s="185"/>
      <c r="H253" s="185"/>
      <c r="I253" s="185"/>
      <c r="J253" s="185"/>
      <c r="K253" s="185"/>
      <c r="L253" s="185"/>
      <c r="M253" s="185"/>
      <c r="N253" s="185"/>
      <c r="O253" s="185"/>
      <c r="P253" s="185"/>
      <c r="Q253" s="185"/>
      <c r="R253" s="185"/>
      <c r="S253" s="185"/>
      <c r="T253" s="185"/>
      <c r="U253" s="185"/>
      <c r="V253" s="185"/>
      <c r="W253" s="185"/>
      <c r="X253" s="185"/>
      <c r="Y253" s="185"/>
      <c r="Z253" s="185"/>
      <c r="AA253" s="185"/>
      <c r="AB253" s="185"/>
      <c r="AC253" s="185"/>
      <c r="AD253" s="185"/>
      <c r="AE253" s="185"/>
      <c r="AF253" s="185"/>
      <c r="AG253" s="185"/>
      <c r="AH253" s="185"/>
      <c r="AI253" s="185"/>
      <c r="AJ253" s="185"/>
      <c r="AK253" s="185"/>
      <c r="AL253" s="185"/>
      <c r="AM253" s="185"/>
      <c r="AN253" s="185"/>
      <c r="AO253" s="185"/>
      <c r="AP253" s="185"/>
      <c r="AQ253" s="185"/>
      <c r="AR253" s="185"/>
      <c r="AS253" s="185"/>
      <c r="AT253" s="185"/>
      <c r="AU253" s="185"/>
      <c r="AV253" s="185"/>
      <c r="AW253" s="185"/>
      <c r="AX253" s="185"/>
      <c r="AY253" s="185"/>
      <c r="AZ253" s="185"/>
      <c r="BA253" s="185"/>
      <c r="BB253" s="185"/>
      <c r="BC253" s="185"/>
      <c r="BD253" s="185"/>
      <c r="BE253" s="185"/>
      <c r="BF253" s="185"/>
      <c r="BG253" s="185"/>
      <c r="BH253" s="185"/>
      <c r="BI253" s="185"/>
      <c r="BJ253" s="185"/>
      <c r="BK253" s="186"/>
    </row>
    <row r="254" spans="1:63">
      <c r="A254" s="185"/>
      <c r="B254" s="185"/>
      <c r="C254" s="185"/>
      <c r="D254" s="185"/>
      <c r="E254" s="185"/>
      <c r="F254" s="185"/>
      <c r="G254" s="185"/>
      <c r="H254" s="185"/>
      <c r="I254" s="185"/>
      <c r="J254" s="185"/>
      <c r="K254" s="185"/>
      <c r="L254" s="185"/>
      <c r="M254" s="185"/>
      <c r="N254" s="185"/>
      <c r="O254" s="185"/>
      <c r="P254" s="185"/>
      <c r="Q254" s="185"/>
      <c r="R254" s="185"/>
      <c r="S254" s="185"/>
      <c r="T254" s="185"/>
      <c r="U254" s="185"/>
      <c r="V254" s="185"/>
      <c r="W254" s="185"/>
      <c r="X254" s="185"/>
      <c r="Y254" s="185"/>
      <c r="Z254" s="185"/>
      <c r="AA254" s="185"/>
      <c r="AB254" s="185"/>
      <c r="AC254" s="185"/>
      <c r="AD254" s="185"/>
      <c r="AE254" s="185"/>
      <c r="AF254" s="185"/>
      <c r="AG254" s="185"/>
      <c r="AH254" s="185"/>
      <c r="AI254" s="185"/>
      <c r="AJ254" s="185"/>
      <c r="AK254" s="185"/>
      <c r="AL254" s="185"/>
      <c r="AM254" s="185"/>
      <c r="AN254" s="185"/>
      <c r="AO254" s="185"/>
      <c r="AP254" s="185"/>
      <c r="AQ254" s="185"/>
      <c r="AR254" s="185"/>
      <c r="AS254" s="185"/>
      <c r="AT254" s="185"/>
      <c r="AU254" s="185"/>
      <c r="AV254" s="185"/>
      <c r="AW254" s="185"/>
      <c r="AX254" s="185"/>
      <c r="AY254" s="185"/>
      <c r="AZ254" s="185"/>
      <c r="BA254" s="185"/>
      <c r="BB254" s="185"/>
      <c r="BC254" s="185"/>
      <c r="BD254" s="185"/>
      <c r="BE254" s="185"/>
      <c r="BF254" s="185"/>
      <c r="BG254" s="185"/>
      <c r="BH254" s="185"/>
      <c r="BI254" s="185"/>
      <c r="BJ254" s="185"/>
      <c r="BK254" s="186"/>
    </row>
    <row r="255" spans="1:63">
      <c r="A255" s="185"/>
      <c r="B255" s="185"/>
      <c r="C255" s="185"/>
      <c r="D255" s="185"/>
      <c r="E255" s="185"/>
      <c r="F255" s="185"/>
      <c r="G255" s="185"/>
      <c r="H255" s="185"/>
      <c r="I255" s="185"/>
      <c r="J255" s="185"/>
      <c r="K255" s="185"/>
      <c r="L255" s="185"/>
      <c r="M255" s="185"/>
      <c r="N255" s="185"/>
      <c r="O255" s="185"/>
      <c r="P255" s="185"/>
      <c r="Q255" s="185"/>
      <c r="R255" s="185"/>
      <c r="S255" s="185"/>
      <c r="T255" s="185"/>
      <c r="U255" s="185"/>
      <c r="V255" s="185"/>
      <c r="W255" s="185"/>
      <c r="X255" s="185"/>
      <c r="Y255" s="185"/>
      <c r="Z255" s="185"/>
      <c r="AA255" s="185"/>
      <c r="AB255" s="185"/>
      <c r="AC255" s="185"/>
      <c r="AD255" s="185"/>
      <c r="AE255" s="185"/>
      <c r="AF255" s="185"/>
      <c r="AG255" s="185"/>
      <c r="AH255" s="185"/>
      <c r="AI255" s="185"/>
      <c r="AJ255" s="185"/>
      <c r="AK255" s="185"/>
      <c r="AL255" s="185"/>
      <c r="AM255" s="185"/>
      <c r="AN255" s="185"/>
      <c r="AO255" s="185"/>
      <c r="AP255" s="185"/>
      <c r="AQ255" s="185"/>
      <c r="AR255" s="185"/>
      <c r="AS255" s="185"/>
      <c r="AT255" s="185"/>
      <c r="AU255" s="185"/>
      <c r="AV255" s="185"/>
      <c r="AW255" s="185"/>
      <c r="AX255" s="185"/>
      <c r="AY255" s="185"/>
      <c r="AZ255" s="185"/>
      <c r="BA255" s="185"/>
      <c r="BB255" s="185"/>
      <c r="BC255" s="185"/>
      <c r="BD255" s="185"/>
      <c r="BE255" s="185"/>
      <c r="BF255" s="185"/>
      <c r="BG255" s="185"/>
      <c r="BH255" s="185"/>
      <c r="BI255" s="185"/>
      <c r="BJ255" s="185"/>
      <c r="BK255" s="186"/>
    </row>
    <row r="256" spans="1:63">
      <c r="A256" s="185"/>
      <c r="B256" s="185"/>
      <c r="C256" s="185"/>
      <c r="D256" s="185"/>
      <c r="E256" s="185"/>
      <c r="F256" s="185"/>
      <c r="G256" s="185"/>
      <c r="H256" s="185"/>
      <c r="I256" s="185"/>
      <c r="J256" s="185"/>
      <c r="K256" s="185"/>
      <c r="L256" s="185"/>
      <c r="M256" s="185"/>
      <c r="N256" s="185"/>
      <c r="O256" s="185"/>
      <c r="P256" s="185"/>
      <c r="Q256" s="185"/>
      <c r="R256" s="185"/>
      <c r="S256" s="185"/>
      <c r="T256" s="185"/>
      <c r="U256" s="185"/>
      <c r="V256" s="185"/>
      <c r="W256" s="185"/>
      <c r="X256" s="185"/>
      <c r="Y256" s="185"/>
      <c r="Z256" s="185"/>
      <c r="AA256" s="185"/>
      <c r="AB256" s="185"/>
      <c r="AC256" s="185"/>
      <c r="AD256" s="185"/>
      <c r="AE256" s="185"/>
      <c r="AF256" s="185"/>
      <c r="AG256" s="185"/>
      <c r="AH256" s="185"/>
      <c r="AI256" s="185"/>
      <c r="AJ256" s="185"/>
      <c r="AK256" s="185"/>
      <c r="AL256" s="185"/>
      <c r="AM256" s="185"/>
      <c r="AN256" s="185"/>
      <c r="AO256" s="185"/>
      <c r="AP256" s="185"/>
      <c r="AQ256" s="185"/>
      <c r="AR256" s="185"/>
      <c r="AS256" s="185"/>
      <c r="AT256" s="185"/>
      <c r="AU256" s="185"/>
      <c r="AV256" s="185"/>
      <c r="AW256" s="185"/>
      <c r="AX256" s="185"/>
      <c r="AY256" s="185"/>
      <c r="AZ256" s="185"/>
      <c r="BA256" s="185"/>
      <c r="BB256" s="185"/>
      <c r="BC256" s="185"/>
      <c r="BD256" s="185"/>
      <c r="BE256" s="185"/>
      <c r="BF256" s="185"/>
      <c r="BG256" s="185"/>
      <c r="BH256" s="185"/>
      <c r="BI256" s="185"/>
      <c r="BJ256" s="185"/>
      <c r="BK256" s="186"/>
    </row>
    <row r="257" spans="1:63">
      <c r="A257" s="185"/>
      <c r="B257" s="185"/>
      <c r="C257" s="185"/>
      <c r="D257" s="185"/>
      <c r="E257" s="185"/>
      <c r="F257" s="185"/>
      <c r="G257" s="185"/>
      <c r="H257" s="185"/>
      <c r="I257" s="185"/>
      <c r="J257" s="185"/>
      <c r="K257" s="185"/>
      <c r="L257" s="185"/>
      <c r="M257" s="185"/>
      <c r="N257" s="185"/>
      <c r="O257" s="185"/>
      <c r="P257" s="185"/>
      <c r="Q257" s="185"/>
      <c r="R257" s="185"/>
      <c r="S257" s="185"/>
      <c r="T257" s="185"/>
      <c r="U257" s="185"/>
      <c r="V257" s="185"/>
      <c r="W257" s="185"/>
      <c r="X257" s="185"/>
      <c r="Y257" s="185"/>
      <c r="Z257" s="185"/>
      <c r="AA257" s="185"/>
      <c r="AB257" s="185"/>
      <c r="AC257" s="185"/>
      <c r="AD257" s="185"/>
      <c r="AE257" s="185"/>
      <c r="AF257" s="185"/>
      <c r="AG257" s="185"/>
      <c r="AH257" s="185"/>
      <c r="AI257" s="185"/>
      <c r="AJ257" s="185"/>
      <c r="AK257" s="185"/>
      <c r="AL257" s="185"/>
      <c r="AM257" s="185"/>
      <c r="AN257" s="185"/>
      <c r="AO257" s="185"/>
      <c r="AP257" s="185"/>
      <c r="AQ257" s="185"/>
      <c r="AR257" s="185"/>
      <c r="AS257" s="185"/>
      <c r="AT257" s="185"/>
      <c r="AU257" s="185"/>
      <c r="AV257" s="185"/>
      <c r="AW257" s="185"/>
      <c r="AX257" s="185"/>
      <c r="AY257" s="185"/>
      <c r="AZ257" s="185"/>
      <c r="BA257" s="185"/>
      <c r="BB257" s="185"/>
      <c r="BC257" s="185"/>
      <c r="BD257" s="185"/>
      <c r="BE257" s="185"/>
      <c r="BF257" s="185"/>
      <c r="BG257" s="185"/>
      <c r="BH257" s="185"/>
      <c r="BI257" s="185"/>
      <c r="BJ257" s="185"/>
      <c r="BK257" s="186"/>
    </row>
    <row r="258" spans="1:63">
      <c r="A258" s="185"/>
      <c r="B258" s="185"/>
      <c r="C258" s="185"/>
      <c r="D258" s="185"/>
      <c r="E258" s="185"/>
      <c r="F258" s="185"/>
      <c r="G258" s="185"/>
      <c r="H258" s="185"/>
      <c r="I258" s="185"/>
      <c r="J258" s="185"/>
      <c r="K258" s="185"/>
      <c r="L258" s="185"/>
      <c r="M258" s="185"/>
      <c r="N258" s="185"/>
      <c r="O258" s="185"/>
      <c r="P258" s="185"/>
      <c r="Q258" s="185"/>
      <c r="R258" s="185"/>
      <c r="S258" s="185"/>
      <c r="T258" s="185"/>
      <c r="U258" s="185"/>
      <c r="V258" s="185"/>
      <c r="W258" s="185"/>
      <c r="X258" s="185"/>
      <c r="Y258" s="185"/>
      <c r="Z258" s="185"/>
      <c r="AA258" s="185"/>
      <c r="AB258" s="185"/>
      <c r="AC258" s="185"/>
      <c r="AD258" s="185"/>
      <c r="AE258" s="185"/>
      <c r="AF258" s="185"/>
      <c r="AG258" s="185"/>
      <c r="AH258" s="185"/>
      <c r="AI258" s="185"/>
      <c r="AJ258" s="185"/>
      <c r="AK258" s="185"/>
      <c r="AL258" s="185"/>
      <c r="AM258" s="185"/>
      <c r="AN258" s="185"/>
      <c r="AO258" s="185"/>
      <c r="AP258" s="185"/>
      <c r="AQ258" s="185"/>
      <c r="AR258" s="185"/>
      <c r="AS258" s="185"/>
      <c r="AT258" s="185"/>
      <c r="AU258" s="185"/>
      <c r="AV258" s="185"/>
      <c r="AW258" s="185"/>
      <c r="AX258" s="185"/>
      <c r="AY258" s="185"/>
      <c r="AZ258" s="185"/>
      <c r="BA258" s="185"/>
      <c r="BB258" s="185"/>
      <c r="BC258" s="185"/>
      <c r="BD258" s="185"/>
      <c r="BE258" s="185"/>
      <c r="BF258" s="185"/>
      <c r="BG258" s="185"/>
      <c r="BH258" s="185"/>
      <c r="BI258" s="185"/>
      <c r="BJ258" s="185"/>
      <c r="BK258" s="186"/>
    </row>
    <row r="259" spans="1:63">
      <c r="A259" s="185"/>
      <c r="B259" s="185"/>
      <c r="C259" s="185"/>
      <c r="D259" s="185"/>
      <c r="E259" s="185"/>
      <c r="F259" s="185"/>
      <c r="G259" s="185"/>
      <c r="H259" s="185"/>
      <c r="I259" s="185"/>
      <c r="J259" s="185"/>
      <c r="K259" s="185"/>
      <c r="L259" s="185"/>
      <c r="M259" s="185"/>
      <c r="N259" s="185"/>
      <c r="O259" s="185"/>
      <c r="P259" s="185"/>
      <c r="Q259" s="185"/>
      <c r="R259" s="185"/>
      <c r="S259" s="185"/>
      <c r="T259" s="185"/>
      <c r="U259" s="185"/>
      <c r="V259" s="185"/>
      <c r="W259" s="185"/>
      <c r="X259" s="185"/>
      <c r="Y259" s="185"/>
      <c r="Z259" s="185"/>
      <c r="AA259" s="185"/>
      <c r="AB259" s="185"/>
      <c r="AC259" s="185"/>
      <c r="AD259" s="185"/>
      <c r="AE259" s="185"/>
      <c r="AF259" s="185"/>
      <c r="AG259" s="185"/>
      <c r="AH259" s="185"/>
      <c r="AI259" s="185"/>
      <c r="AJ259" s="185"/>
      <c r="AK259" s="185"/>
      <c r="AL259" s="185"/>
      <c r="AM259" s="185"/>
      <c r="AN259" s="185"/>
      <c r="AO259" s="185"/>
      <c r="AP259" s="185"/>
      <c r="AQ259" s="185"/>
      <c r="AR259" s="185"/>
      <c r="AS259" s="185"/>
      <c r="AT259" s="185"/>
      <c r="AU259" s="185"/>
      <c r="AV259" s="185"/>
      <c r="AW259" s="185"/>
      <c r="AX259" s="185"/>
      <c r="AY259" s="185"/>
      <c r="AZ259" s="185"/>
      <c r="BA259" s="185"/>
      <c r="BB259" s="185"/>
      <c r="BC259" s="185"/>
      <c r="BD259" s="185"/>
      <c r="BE259" s="185"/>
      <c r="BF259" s="185"/>
      <c r="BG259" s="185"/>
      <c r="BH259" s="185"/>
      <c r="BI259" s="185"/>
      <c r="BJ259" s="185"/>
      <c r="BK259" s="186"/>
    </row>
    <row r="260" spans="1:63">
      <c r="A260" s="186"/>
      <c r="B260" s="186"/>
      <c r="C260" s="186"/>
      <c r="D260" s="186"/>
      <c r="E260" s="186"/>
      <c r="F260" s="186"/>
      <c r="G260" s="186"/>
      <c r="H260" s="186"/>
      <c r="I260" s="186"/>
      <c r="J260" s="186"/>
      <c r="K260" s="186"/>
      <c r="L260" s="186"/>
      <c r="M260" s="186"/>
      <c r="N260" s="186"/>
      <c r="O260" s="186"/>
      <c r="P260" s="186"/>
      <c r="Q260" s="186"/>
      <c r="R260" s="186"/>
      <c r="S260" s="186"/>
      <c r="T260" s="186"/>
      <c r="U260" s="186"/>
      <c r="V260" s="186"/>
      <c r="W260" s="186"/>
      <c r="X260" s="186"/>
      <c r="Y260" s="186"/>
      <c r="Z260" s="186"/>
      <c r="AA260" s="186"/>
      <c r="AB260" s="186"/>
      <c r="AC260" s="186"/>
      <c r="AD260" s="186"/>
      <c r="AE260" s="186"/>
      <c r="AF260" s="186"/>
      <c r="AG260" s="186"/>
      <c r="AH260" s="186"/>
      <c r="AI260" s="186"/>
      <c r="AJ260" s="186"/>
      <c r="AK260" s="186"/>
      <c r="AL260" s="186"/>
      <c r="AM260" s="186"/>
      <c r="AN260" s="186"/>
      <c r="AO260" s="186"/>
      <c r="AP260" s="186"/>
      <c r="AQ260" s="186"/>
      <c r="AR260" s="186"/>
      <c r="AS260" s="186"/>
      <c r="AT260" s="186"/>
      <c r="AU260" s="186"/>
      <c r="AV260" s="186"/>
      <c r="AW260" s="186"/>
      <c r="AX260" s="186"/>
      <c r="AY260" s="186"/>
      <c r="AZ260" s="186"/>
      <c r="BA260" s="186"/>
      <c r="BB260" s="186"/>
      <c r="BC260" s="186"/>
      <c r="BD260" s="186"/>
      <c r="BE260" s="186"/>
      <c r="BF260" s="186"/>
      <c r="BG260" s="186"/>
      <c r="BH260" s="186"/>
      <c r="BI260" s="186"/>
      <c r="BJ260" s="186"/>
      <c r="BK260" s="186"/>
    </row>
    <row r="261" spans="1:63">
      <c r="A261" s="186"/>
      <c r="B261" s="186"/>
      <c r="C261" s="186"/>
      <c r="D261" s="186"/>
      <c r="E261" s="186"/>
      <c r="F261" s="186"/>
      <c r="G261" s="186"/>
      <c r="H261" s="186"/>
      <c r="I261" s="186"/>
      <c r="J261" s="186"/>
      <c r="K261" s="186"/>
      <c r="L261" s="186"/>
      <c r="M261" s="186"/>
      <c r="N261" s="186"/>
      <c r="O261" s="186"/>
      <c r="P261" s="186"/>
      <c r="Q261" s="186"/>
      <c r="R261" s="186"/>
      <c r="S261" s="186"/>
      <c r="T261" s="186"/>
      <c r="U261" s="186"/>
      <c r="V261" s="186"/>
      <c r="W261" s="186"/>
      <c r="X261" s="186"/>
      <c r="Y261" s="186"/>
      <c r="Z261" s="186"/>
      <c r="AA261" s="186"/>
      <c r="AB261" s="186"/>
      <c r="AC261" s="186"/>
      <c r="AD261" s="186"/>
      <c r="AE261" s="186"/>
      <c r="AF261" s="186"/>
      <c r="AG261" s="186"/>
      <c r="AH261" s="186"/>
      <c r="AI261" s="186"/>
      <c r="AJ261" s="186"/>
      <c r="AK261" s="186"/>
      <c r="AL261" s="186"/>
      <c r="AM261" s="186"/>
      <c r="AN261" s="186"/>
      <c r="AO261" s="186"/>
      <c r="AP261" s="186"/>
      <c r="AQ261" s="186"/>
      <c r="AR261" s="186"/>
      <c r="AS261" s="186"/>
      <c r="AT261" s="186"/>
      <c r="AU261" s="186"/>
      <c r="AV261" s="186"/>
      <c r="AW261" s="186"/>
      <c r="AX261" s="186"/>
      <c r="AY261" s="186"/>
      <c r="AZ261" s="186"/>
      <c r="BA261" s="186"/>
      <c r="BB261" s="186"/>
      <c r="BC261" s="186"/>
      <c r="BD261" s="186"/>
      <c r="BE261" s="186"/>
      <c r="BF261" s="186"/>
      <c r="BG261" s="186"/>
      <c r="BH261" s="186"/>
      <c r="BI261" s="186"/>
      <c r="BJ261" s="186"/>
      <c r="BK261" s="186"/>
    </row>
    <row r="262" spans="1:63">
      <c r="A262" s="186"/>
      <c r="B262" s="186"/>
      <c r="C262" s="186"/>
      <c r="D262" s="186"/>
      <c r="E262" s="186"/>
      <c r="F262" s="186"/>
      <c r="G262" s="186"/>
      <c r="H262" s="186"/>
      <c r="I262" s="186"/>
      <c r="J262" s="186"/>
      <c r="K262" s="186"/>
      <c r="L262" s="186"/>
      <c r="M262" s="186"/>
      <c r="N262" s="186"/>
      <c r="O262" s="186"/>
      <c r="P262" s="186"/>
      <c r="Q262" s="186"/>
      <c r="R262" s="186"/>
      <c r="S262" s="186"/>
      <c r="T262" s="186"/>
      <c r="U262" s="186"/>
      <c r="V262" s="186"/>
      <c r="W262" s="186"/>
      <c r="X262" s="186"/>
      <c r="Y262" s="186"/>
      <c r="Z262" s="186"/>
      <c r="AA262" s="186"/>
      <c r="AB262" s="186"/>
      <c r="AC262" s="186"/>
      <c r="AD262" s="186"/>
      <c r="AE262" s="186"/>
      <c r="AF262" s="186"/>
      <c r="AG262" s="186"/>
      <c r="AH262" s="186"/>
      <c r="AI262" s="186"/>
      <c r="AJ262" s="186"/>
      <c r="AK262" s="186"/>
      <c r="AL262" s="186"/>
      <c r="AM262" s="186"/>
      <c r="AN262" s="186"/>
      <c r="AO262" s="186"/>
      <c r="AP262" s="186"/>
      <c r="AQ262" s="186"/>
      <c r="AR262" s="186"/>
      <c r="AS262" s="186"/>
      <c r="AT262" s="186"/>
      <c r="AU262" s="186"/>
      <c r="AV262" s="186"/>
      <c r="AW262" s="186"/>
      <c r="AX262" s="186"/>
      <c r="AY262" s="186"/>
      <c r="AZ262" s="186"/>
      <c r="BA262" s="186"/>
      <c r="BB262" s="186"/>
      <c r="BC262" s="186"/>
      <c r="BD262" s="186"/>
      <c r="BE262" s="186"/>
      <c r="BF262" s="186"/>
      <c r="BG262" s="186"/>
      <c r="BH262" s="186"/>
      <c r="BI262" s="186"/>
      <c r="BJ262" s="186"/>
      <c r="BK262" s="186"/>
    </row>
    <row r="263" spans="1:63">
      <c r="A263" s="186"/>
      <c r="B263" s="186"/>
      <c r="C263" s="186"/>
      <c r="D263" s="186"/>
      <c r="E263" s="186"/>
      <c r="F263" s="186"/>
      <c r="G263" s="186"/>
      <c r="H263" s="186"/>
      <c r="I263" s="186"/>
      <c r="J263" s="186"/>
      <c r="K263" s="186"/>
      <c r="L263" s="186"/>
      <c r="M263" s="186"/>
      <c r="N263" s="186"/>
      <c r="O263" s="186"/>
      <c r="P263" s="186"/>
      <c r="Q263" s="186"/>
      <c r="R263" s="186"/>
      <c r="S263" s="186"/>
      <c r="T263" s="186"/>
      <c r="U263" s="186"/>
      <c r="V263" s="186"/>
      <c r="W263" s="186"/>
      <c r="X263" s="186"/>
      <c r="Y263" s="186"/>
      <c r="Z263" s="186"/>
      <c r="AA263" s="186"/>
      <c r="AB263" s="186"/>
      <c r="AC263" s="186"/>
      <c r="AD263" s="186"/>
      <c r="AE263" s="186"/>
      <c r="AF263" s="186"/>
      <c r="AG263" s="186"/>
      <c r="AH263" s="186"/>
      <c r="AI263" s="186"/>
      <c r="AJ263" s="186"/>
      <c r="AK263" s="186"/>
      <c r="AL263" s="186"/>
      <c r="AM263" s="186"/>
      <c r="AN263" s="186"/>
      <c r="AO263" s="186"/>
      <c r="AP263" s="186"/>
      <c r="AQ263" s="186"/>
      <c r="AR263" s="186"/>
      <c r="AS263" s="186"/>
      <c r="AT263" s="186"/>
      <c r="AU263" s="186"/>
      <c r="AV263" s="186"/>
      <c r="AW263" s="186"/>
      <c r="AX263" s="186"/>
      <c r="AY263" s="186"/>
      <c r="AZ263" s="186"/>
      <c r="BA263" s="186"/>
      <c r="BB263" s="186"/>
      <c r="BC263" s="186"/>
      <c r="BD263" s="186"/>
      <c r="BE263" s="186"/>
      <c r="BF263" s="186"/>
      <c r="BG263" s="186"/>
      <c r="BH263" s="186"/>
      <c r="BI263" s="186"/>
      <c r="BJ263" s="186"/>
      <c r="BK263" s="186"/>
    </row>
    <row r="264" spans="1:63">
      <c r="A264" s="186"/>
      <c r="B264" s="186"/>
      <c r="C264" s="186"/>
      <c r="D264" s="186"/>
      <c r="E264" s="186"/>
      <c r="F264" s="186"/>
      <c r="G264" s="186"/>
      <c r="H264" s="186"/>
      <c r="I264" s="186"/>
      <c r="J264" s="186"/>
      <c r="K264" s="186"/>
      <c r="L264" s="186"/>
      <c r="M264" s="186"/>
      <c r="N264" s="186"/>
      <c r="O264" s="186"/>
      <c r="P264" s="186"/>
      <c r="Q264" s="186"/>
      <c r="R264" s="186"/>
      <c r="S264" s="186"/>
      <c r="T264" s="186"/>
      <c r="U264" s="186"/>
      <c r="V264" s="186"/>
      <c r="W264" s="186"/>
      <c r="X264" s="186"/>
      <c r="Y264" s="186"/>
      <c r="Z264" s="186"/>
      <c r="AA264" s="186"/>
      <c r="AB264" s="186"/>
      <c r="AC264" s="186"/>
      <c r="AD264" s="186"/>
      <c r="AE264" s="186"/>
      <c r="AF264" s="186"/>
      <c r="AG264" s="186"/>
      <c r="AH264" s="186"/>
      <c r="AI264" s="186"/>
      <c r="AJ264" s="186"/>
      <c r="AK264" s="186"/>
      <c r="AL264" s="186"/>
      <c r="AM264" s="186"/>
      <c r="AN264" s="186"/>
      <c r="AO264" s="186"/>
      <c r="AP264" s="186"/>
      <c r="AQ264" s="186"/>
      <c r="AR264" s="186"/>
      <c r="AS264" s="186"/>
      <c r="AT264" s="186"/>
      <c r="AU264" s="186"/>
      <c r="AV264" s="186"/>
      <c r="AW264" s="186"/>
      <c r="AX264" s="186"/>
      <c r="AY264" s="186"/>
      <c r="AZ264" s="186"/>
      <c r="BA264" s="186"/>
      <c r="BB264" s="186"/>
      <c r="BC264" s="186"/>
      <c r="BD264" s="186"/>
      <c r="BE264" s="186"/>
      <c r="BF264" s="186"/>
      <c r="BG264" s="186"/>
      <c r="BH264" s="186"/>
      <c r="BI264" s="186"/>
      <c r="BJ264" s="186"/>
      <c r="BK264" s="186"/>
    </row>
    <row r="265" spans="1:63">
      <c r="A265" s="186"/>
      <c r="B265" s="186"/>
      <c r="C265" s="186"/>
      <c r="D265" s="186"/>
      <c r="E265" s="186"/>
      <c r="F265" s="186"/>
      <c r="G265" s="186"/>
      <c r="H265" s="186"/>
      <c r="I265" s="186"/>
      <c r="J265" s="186"/>
      <c r="K265" s="186"/>
      <c r="L265" s="186"/>
      <c r="M265" s="186"/>
      <c r="N265" s="186"/>
      <c r="O265" s="186"/>
      <c r="P265" s="186"/>
      <c r="Q265" s="186"/>
      <c r="R265" s="186"/>
      <c r="S265" s="186"/>
      <c r="T265" s="186"/>
      <c r="U265" s="186"/>
      <c r="V265" s="186"/>
      <c r="W265" s="186"/>
      <c r="X265" s="186"/>
      <c r="Y265" s="186"/>
      <c r="Z265" s="186"/>
      <c r="AA265" s="186"/>
      <c r="AB265" s="186"/>
      <c r="AC265" s="186"/>
      <c r="AD265" s="186"/>
      <c r="AE265" s="186"/>
      <c r="AF265" s="186"/>
      <c r="AG265" s="186"/>
      <c r="AH265" s="186"/>
      <c r="AI265" s="186"/>
      <c r="AJ265" s="186"/>
      <c r="AK265" s="186"/>
      <c r="AL265" s="186"/>
      <c r="AM265" s="186"/>
      <c r="AN265" s="186"/>
      <c r="AO265" s="186"/>
      <c r="AP265" s="186"/>
      <c r="AQ265" s="186"/>
      <c r="AR265" s="186"/>
      <c r="AS265" s="186"/>
      <c r="AT265" s="186"/>
      <c r="AU265" s="186"/>
      <c r="AV265" s="186"/>
      <c r="AW265" s="186"/>
      <c r="AX265" s="186"/>
      <c r="AY265" s="186"/>
      <c r="AZ265" s="186"/>
      <c r="BA265" s="186"/>
      <c r="BB265" s="186"/>
      <c r="BC265" s="186"/>
      <c r="BD265" s="186"/>
      <c r="BE265" s="186"/>
      <c r="BF265" s="186"/>
      <c r="BG265" s="186"/>
      <c r="BH265" s="186"/>
      <c r="BI265" s="186"/>
      <c r="BJ265" s="186"/>
      <c r="BK265" s="186"/>
    </row>
    <row r="266" spans="1:63">
      <c r="A266" s="186"/>
      <c r="B266" s="186"/>
      <c r="C266" s="186"/>
      <c r="D266" s="186"/>
      <c r="E266" s="186"/>
      <c r="F266" s="186"/>
      <c r="G266" s="186"/>
      <c r="H266" s="186"/>
      <c r="I266" s="186"/>
      <c r="J266" s="186"/>
      <c r="K266" s="186"/>
      <c r="L266" s="186"/>
      <c r="M266" s="186"/>
      <c r="N266" s="186"/>
      <c r="O266" s="186"/>
      <c r="P266" s="186"/>
      <c r="Q266" s="186"/>
      <c r="R266" s="186"/>
      <c r="S266" s="186"/>
      <c r="T266" s="186"/>
      <c r="U266" s="186"/>
      <c r="V266" s="186"/>
      <c r="W266" s="186"/>
      <c r="X266" s="186"/>
      <c r="Y266" s="186"/>
      <c r="Z266" s="186"/>
      <c r="AA266" s="186"/>
      <c r="AB266" s="186"/>
      <c r="AC266" s="186"/>
      <c r="AD266" s="186"/>
      <c r="AE266" s="186"/>
      <c r="AF266" s="186"/>
      <c r="AG266" s="186"/>
      <c r="AH266" s="186"/>
      <c r="AI266" s="186"/>
      <c r="AJ266" s="186"/>
      <c r="AK266" s="186"/>
      <c r="AL266" s="186"/>
      <c r="AM266" s="186"/>
      <c r="AN266" s="186"/>
      <c r="AO266" s="186"/>
      <c r="AP266" s="186"/>
      <c r="AQ266" s="186"/>
      <c r="AR266" s="186"/>
      <c r="AS266" s="186"/>
      <c r="AT266" s="186"/>
      <c r="AU266" s="186"/>
      <c r="AV266" s="186"/>
      <c r="AW266" s="186"/>
      <c r="AX266" s="186"/>
      <c r="AY266" s="186"/>
      <c r="AZ266" s="186"/>
      <c r="BA266" s="186"/>
      <c r="BB266" s="186"/>
      <c r="BC266" s="186"/>
      <c r="BD266" s="186"/>
      <c r="BE266" s="186"/>
      <c r="BF266" s="186"/>
      <c r="BG266" s="186"/>
      <c r="BH266" s="186"/>
      <c r="BI266" s="186"/>
      <c r="BJ266" s="186"/>
      <c r="BK266" s="186"/>
    </row>
    <row r="267" spans="1:63">
      <c r="A267" s="186"/>
      <c r="B267" s="186"/>
      <c r="C267" s="186"/>
      <c r="D267" s="186"/>
      <c r="E267" s="186"/>
      <c r="F267" s="186"/>
      <c r="G267" s="186"/>
      <c r="H267" s="186"/>
      <c r="I267" s="186"/>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186"/>
      <c r="AH267" s="186"/>
      <c r="AI267" s="186"/>
      <c r="AJ267" s="186"/>
      <c r="AK267" s="186"/>
      <c r="AL267" s="186"/>
      <c r="AM267" s="186"/>
      <c r="AN267" s="186"/>
      <c r="AO267" s="186"/>
      <c r="AP267" s="186"/>
      <c r="AQ267" s="186"/>
      <c r="AR267" s="186"/>
      <c r="AS267" s="186"/>
      <c r="AT267" s="186"/>
      <c r="AU267" s="186"/>
      <c r="AV267" s="186"/>
      <c r="AW267" s="186"/>
      <c r="AX267" s="186"/>
      <c r="AY267" s="186"/>
      <c r="AZ267" s="186"/>
      <c r="BA267" s="186"/>
      <c r="BB267" s="186"/>
      <c r="BC267" s="186"/>
      <c r="BD267" s="186"/>
      <c r="BE267" s="186"/>
      <c r="BF267" s="186"/>
      <c r="BG267" s="186"/>
      <c r="BH267" s="186"/>
      <c r="BI267" s="186"/>
      <c r="BJ267" s="186"/>
      <c r="BK267" s="186"/>
    </row>
    <row r="268" spans="1:63">
      <c r="A268" s="186"/>
      <c r="B268" s="186"/>
      <c r="C268" s="186"/>
      <c r="D268" s="186"/>
      <c r="E268" s="186"/>
      <c r="F268" s="186"/>
      <c r="G268" s="186"/>
      <c r="H268" s="186"/>
      <c r="I268" s="186"/>
      <c r="J268" s="186"/>
      <c r="K268" s="186"/>
      <c r="L268" s="186"/>
      <c r="M268" s="186"/>
      <c r="N268" s="186"/>
      <c r="O268" s="186"/>
      <c r="P268" s="186"/>
      <c r="Q268" s="186"/>
      <c r="R268" s="186"/>
      <c r="S268" s="186"/>
      <c r="T268" s="186"/>
      <c r="U268" s="186"/>
      <c r="V268" s="186"/>
      <c r="W268" s="186"/>
      <c r="X268" s="186"/>
      <c r="Y268" s="186"/>
      <c r="Z268" s="186"/>
      <c r="AA268" s="186"/>
      <c r="AB268" s="186"/>
      <c r="AC268" s="186"/>
      <c r="AD268" s="186"/>
      <c r="AE268" s="186"/>
      <c r="AF268" s="186"/>
      <c r="AG268" s="186"/>
      <c r="AH268" s="186"/>
      <c r="AI268" s="186"/>
      <c r="AJ268" s="186"/>
      <c r="AK268" s="186"/>
      <c r="AL268" s="186"/>
      <c r="AM268" s="186"/>
      <c r="AN268" s="186"/>
      <c r="AO268" s="186"/>
      <c r="AP268" s="186"/>
      <c r="AQ268" s="186"/>
      <c r="AR268" s="186"/>
      <c r="AS268" s="186"/>
      <c r="AT268" s="186"/>
      <c r="AU268" s="186"/>
      <c r="AV268" s="186"/>
      <c r="AW268" s="186"/>
      <c r="AX268" s="186"/>
      <c r="AY268" s="186"/>
      <c r="AZ268" s="186"/>
      <c r="BA268" s="186"/>
      <c r="BB268" s="186"/>
      <c r="BC268" s="186"/>
      <c r="BD268" s="186"/>
      <c r="BE268" s="186"/>
      <c r="BF268" s="186"/>
      <c r="BG268" s="186"/>
      <c r="BH268" s="186"/>
      <c r="BI268" s="186"/>
      <c r="BJ268" s="186"/>
      <c r="BK268" s="186"/>
    </row>
    <row r="269" spans="1:63">
      <c r="A269" s="186"/>
      <c r="B269" s="186"/>
      <c r="C269" s="186"/>
      <c r="D269" s="186"/>
      <c r="E269" s="186"/>
      <c r="F269" s="186"/>
      <c r="G269" s="186"/>
      <c r="H269" s="186"/>
      <c r="I269" s="186"/>
      <c r="J269" s="186"/>
      <c r="K269" s="186"/>
      <c r="L269" s="186"/>
      <c r="M269" s="186"/>
      <c r="N269" s="186"/>
      <c r="O269" s="186"/>
      <c r="P269" s="186"/>
      <c r="Q269" s="186"/>
      <c r="R269" s="186"/>
      <c r="S269" s="186"/>
      <c r="T269" s="186"/>
      <c r="U269" s="186"/>
      <c r="V269" s="186"/>
      <c r="W269" s="186"/>
      <c r="X269" s="186"/>
      <c r="Y269" s="186"/>
      <c r="Z269" s="186"/>
      <c r="AA269" s="186"/>
      <c r="AB269" s="186"/>
      <c r="AC269" s="186"/>
      <c r="AD269" s="186"/>
      <c r="AE269" s="186"/>
      <c r="AF269" s="186"/>
      <c r="AG269" s="186"/>
      <c r="AH269" s="186"/>
      <c r="AI269" s="186"/>
      <c r="AJ269" s="186"/>
      <c r="AK269" s="186"/>
      <c r="AL269" s="186"/>
      <c r="AM269" s="186"/>
      <c r="AN269" s="186"/>
      <c r="AO269" s="186"/>
      <c r="AP269" s="186"/>
      <c r="AQ269" s="186"/>
      <c r="AR269" s="186"/>
      <c r="AS269" s="186"/>
      <c r="AT269" s="186"/>
      <c r="AU269" s="186"/>
      <c r="AV269" s="186"/>
      <c r="AW269" s="186"/>
      <c r="AX269" s="186"/>
      <c r="AY269" s="186"/>
      <c r="AZ269" s="186"/>
      <c r="BA269" s="186"/>
      <c r="BB269" s="186"/>
      <c r="BC269" s="186"/>
      <c r="BD269" s="186"/>
      <c r="BE269" s="186"/>
      <c r="BF269" s="186"/>
      <c r="BG269" s="186"/>
      <c r="BH269" s="186"/>
      <c r="BI269" s="186"/>
      <c r="BJ269" s="186"/>
      <c r="BK269" s="186"/>
    </row>
    <row r="270" spans="1:63">
      <c r="A270" s="186"/>
      <c r="B270" s="186"/>
      <c r="C270" s="186"/>
      <c r="D270" s="186"/>
      <c r="E270" s="186"/>
      <c r="F270" s="186"/>
      <c r="G270" s="186"/>
      <c r="H270" s="186"/>
      <c r="I270" s="186"/>
      <c r="J270" s="186"/>
      <c r="K270" s="186"/>
      <c r="L270" s="186"/>
      <c r="M270" s="186"/>
      <c r="N270" s="186"/>
      <c r="O270" s="186"/>
      <c r="P270" s="186"/>
      <c r="Q270" s="186"/>
      <c r="R270" s="186"/>
      <c r="S270" s="186"/>
      <c r="T270" s="186"/>
      <c r="U270" s="186"/>
      <c r="V270" s="186"/>
      <c r="W270" s="186"/>
      <c r="X270" s="186"/>
      <c r="Y270" s="186"/>
      <c r="Z270" s="186"/>
      <c r="AA270" s="186"/>
      <c r="AB270" s="186"/>
      <c r="AC270" s="186"/>
      <c r="AD270" s="186"/>
      <c r="AE270" s="186"/>
      <c r="AF270" s="186"/>
      <c r="AG270" s="186"/>
      <c r="AH270" s="186"/>
      <c r="AI270" s="186"/>
      <c r="AJ270" s="186"/>
      <c r="AK270" s="186"/>
      <c r="AL270" s="186"/>
      <c r="AM270" s="186"/>
      <c r="AN270" s="186"/>
      <c r="AO270" s="186"/>
      <c r="AP270" s="186"/>
      <c r="AQ270" s="186"/>
      <c r="AR270" s="186"/>
      <c r="AS270" s="186"/>
      <c r="AT270" s="186"/>
      <c r="AU270" s="186"/>
      <c r="AV270" s="186"/>
      <c r="AW270" s="186"/>
      <c r="AX270" s="186"/>
      <c r="AY270" s="186"/>
      <c r="AZ270" s="186"/>
      <c r="BA270" s="186"/>
      <c r="BB270" s="186"/>
      <c r="BC270" s="186"/>
      <c r="BD270" s="186"/>
      <c r="BE270" s="186"/>
      <c r="BF270" s="186"/>
      <c r="BG270" s="186"/>
      <c r="BH270" s="186"/>
      <c r="BI270" s="186"/>
      <c r="BJ270" s="186"/>
      <c r="BK270" s="186"/>
    </row>
    <row r="271" spans="1:63">
      <c r="A271" s="186"/>
      <c r="B271" s="186"/>
      <c r="C271" s="186"/>
      <c r="D271" s="186"/>
      <c r="E271" s="186"/>
      <c r="F271" s="186"/>
      <c r="G271" s="186"/>
      <c r="H271" s="186"/>
      <c r="I271" s="186"/>
      <c r="J271" s="186"/>
      <c r="K271" s="186"/>
      <c r="L271" s="186"/>
      <c r="M271" s="186"/>
      <c r="N271" s="186"/>
      <c r="O271" s="186"/>
      <c r="P271" s="186"/>
      <c r="Q271" s="186"/>
      <c r="R271" s="186"/>
      <c r="S271" s="186"/>
      <c r="T271" s="186"/>
      <c r="U271" s="186"/>
      <c r="V271" s="186"/>
      <c r="W271" s="186"/>
      <c r="X271" s="186"/>
      <c r="Y271" s="186"/>
      <c r="Z271" s="186"/>
      <c r="AA271" s="186"/>
      <c r="AB271" s="186"/>
      <c r="AC271" s="186"/>
      <c r="AD271" s="186"/>
      <c r="AE271" s="186"/>
      <c r="AF271" s="186"/>
      <c r="AG271" s="186"/>
      <c r="AH271" s="186"/>
      <c r="AI271" s="186"/>
      <c r="AJ271" s="186"/>
      <c r="AK271" s="186"/>
      <c r="AL271" s="186"/>
      <c r="AM271" s="186"/>
      <c r="AN271" s="186"/>
      <c r="AO271" s="186"/>
      <c r="AP271" s="186"/>
      <c r="AQ271" s="186"/>
      <c r="AR271" s="186"/>
      <c r="AS271" s="186"/>
      <c r="AT271" s="186"/>
      <c r="AU271" s="186"/>
      <c r="AV271" s="186"/>
      <c r="AW271" s="186"/>
      <c r="AX271" s="186"/>
      <c r="AY271" s="186"/>
      <c r="AZ271" s="186"/>
      <c r="BA271" s="186"/>
      <c r="BB271" s="186"/>
      <c r="BC271" s="186"/>
      <c r="BD271" s="186"/>
      <c r="BE271" s="186"/>
      <c r="BF271" s="186"/>
      <c r="BG271" s="186"/>
      <c r="BH271" s="186"/>
      <c r="BI271" s="186"/>
      <c r="BJ271" s="186"/>
      <c r="BK271" s="186"/>
    </row>
    <row r="272" spans="1:63">
      <c r="A272" s="186"/>
      <c r="B272" s="186"/>
      <c r="C272" s="186"/>
      <c r="D272" s="186"/>
      <c r="E272" s="186"/>
      <c r="F272" s="186"/>
      <c r="G272" s="186"/>
      <c r="H272" s="186"/>
      <c r="I272" s="186"/>
      <c r="J272" s="186"/>
      <c r="K272" s="186"/>
      <c r="L272" s="186"/>
      <c r="M272" s="186"/>
      <c r="N272" s="186"/>
      <c r="O272" s="186"/>
      <c r="P272" s="186"/>
      <c r="Q272" s="186"/>
      <c r="R272" s="186"/>
      <c r="S272" s="186"/>
      <c r="T272" s="186"/>
      <c r="U272" s="186"/>
      <c r="V272" s="186"/>
      <c r="W272" s="186"/>
      <c r="X272" s="186"/>
      <c r="Y272" s="186"/>
      <c r="Z272" s="186"/>
      <c r="AA272" s="186"/>
      <c r="AB272" s="186"/>
      <c r="AC272" s="186"/>
      <c r="AD272" s="186"/>
      <c r="AE272" s="186"/>
      <c r="AF272" s="186"/>
      <c r="AG272" s="186"/>
      <c r="AH272" s="186"/>
      <c r="AI272" s="186"/>
      <c r="AJ272" s="186"/>
      <c r="AK272" s="186"/>
      <c r="AL272" s="186"/>
      <c r="AM272" s="186"/>
      <c r="AN272" s="186"/>
      <c r="AO272" s="186"/>
      <c r="AP272" s="186"/>
      <c r="AQ272" s="186"/>
      <c r="AR272" s="186"/>
      <c r="AS272" s="186"/>
      <c r="AT272" s="186"/>
      <c r="AU272" s="186"/>
      <c r="AV272" s="186"/>
      <c r="AW272" s="186"/>
      <c r="AX272" s="186"/>
      <c r="AY272" s="186"/>
      <c r="AZ272" s="186"/>
      <c r="BA272" s="186"/>
      <c r="BB272" s="186"/>
      <c r="BC272" s="186"/>
      <c r="BD272" s="186"/>
      <c r="BE272" s="186"/>
      <c r="BF272" s="186"/>
      <c r="BG272" s="186"/>
      <c r="BH272" s="186"/>
      <c r="BI272" s="186"/>
      <c r="BJ272" s="186"/>
      <c r="BK272" s="186"/>
    </row>
    <row r="273" spans="1:63">
      <c r="A273" s="186"/>
      <c r="B273" s="186"/>
      <c r="C273" s="186"/>
      <c r="D273" s="186"/>
      <c r="E273" s="186"/>
      <c r="F273" s="186"/>
      <c r="G273" s="186"/>
      <c r="H273" s="186"/>
      <c r="I273" s="186"/>
      <c r="J273" s="186"/>
      <c r="K273" s="186"/>
      <c r="L273" s="186"/>
      <c r="M273" s="186"/>
      <c r="N273" s="186"/>
      <c r="O273" s="186"/>
      <c r="P273" s="186"/>
      <c r="Q273" s="186"/>
      <c r="R273" s="186"/>
      <c r="S273" s="186"/>
      <c r="T273" s="186"/>
      <c r="U273" s="186"/>
      <c r="V273" s="186"/>
      <c r="W273" s="186"/>
      <c r="X273" s="186"/>
      <c r="Y273" s="186"/>
      <c r="Z273" s="186"/>
      <c r="AA273" s="186"/>
      <c r="AB273" s="186"/>
      <c r="AC273" s="186"/>
      <c r="AD273" s="186"/>
      <c r="AE273" s="186"/>
      <c r="AF273" s="186"/>
      <c r="AG273" s="186"/>
      <c r="AH273" s="186"/>
      <c r="AI273" s="186"/>
      <c r="AJ273" s="186"/>
      <c r="AK273" s="186"/>
      <c r="AL273" s="186"/>
      <c r="AM273" s="186"/>
      <c r="AN273" s="186"/>
      <c r="AO273" s="186"/>
      <c r="AP273" s="186"/>
      <c r="AQ273" s="186"/>
      <c r="AR273" s="186"/>
      <c r="AS273" s="186"/>
      <c r="AT273" s="186"/>
      <c r="AU273" s="186"/>
      <c r="AV273" s="186"/>
      <c r="AW273" s="186"/>
      <c r="AX273" s="186"/>
      <c r="AY273" s="186"/>
      <c r="AZ273" s="186"/>
      <c r="BA273" s="186"/>
      <c r="BB273" s="186"/>
      <c r="BC273" s="186"/>
      <c r="BD273" s="186"/>
      <c r="BE273" s="186"/>
      <c r="BF273" s="186"/>
      <c r="BG273" s="186"/>
      <c r="BH273" s="186"/>
      <c r="BI273" s="186"/>
      <c r="BJ273" s="186"/>
      <c r="BK273" s="186"/>
    </row>
    <row r="274" spans="1:63">
      <c r="A274" s="186"/>
      <c r="B274" s="186"/>
      <c r="C274" s="186"/>
      <c r="D274" s="186"/>
      <c r="E274" s="186"/>
      <c r="F274" s="186"/>
      <c r="G274" s="186"/>
      <c r="H274" s="186"/>
      <c r="I274" s="186"/>
      <c r="J274" s="186"/>
      <c r="K274" s="186"/>
      <c r="L274" s="186"/>
      <c r="M274" s="186"/>
      <c r="N274" s="186"/>
      <c r="O274" s="186"/>
      <c r="P274" s="186"/>
      <c r="Q274" s="186"/>
      <c r="R274" s="186"/>
      <c r="S274" s="186"/>
      <c r="T274" s="186"/>
      <c r="U274" s="186"/>
      <c r="V274" s="186"/>
      <c r="W274" s="186"/>
      <c r="X274" s="186"/>
      <c r="Y274" s="186"/>
      <c r="Z274" s="186"/>
      <c r="AA274" s="186"/>
      <c r="AB274" s="186"/>
      <c r="AC274" s="186"/>
      <c r="AD274" s="186"/>
      <c r="AE274" s="186"/>
      <c r="AF274" s="186"/>
      <c r="AG274" s="186"/>
      <c r="AH274" s="186"/>
      <c r="AI274" s="186"/>
      <c r="AJ274" s="186"/>
      <c r="AK274" s="186"/>
      <c r="AL274" s="186"/>
      <c r="AM274" s="186"/>
      <c r="AN274" s="186"/>
      <c r="AO274" s="186"/>
      <c r="AP274" s="186"/>
      <c r="AQ274" s="186"/>
      <c r="AR274" s="186"/>
      <c r="AS274" s="186"/>
      <c r="AT274" s="186"/>
      <c r="AU274" s="186"/>
      <c r="AV274" s="186"/>
      <c r="AW274" s="186"/>
      <c r="AX274" s="186"/>
      <c r="AY274" s="186"/>
      <c r="AZ274" s="186"/>
      <c r="BA274" s="186"/>
      <c r="BB274" s="186"/>
      <c r="BC274" s="186"/>
      <c r="BD274" s="186"/>
      <c r="BE274" s="186"/>
      <c r="BF274" s="186"/>
      <c r="BG274" s="186"/>
      <c r="BH274" s="186"/>
      <c r="BI274" s="186"/>
      <c r="BJ274" s="186"/>
      <c r="BK274" s="186"/>
    </row>
    <row r="275" spans="1:63">
      <c r="A275" s="186"/>
      <c r="B275" s="186"/>
      <c r="C275" s="186"/>
      <c r="D275" s="186"/>
      <c r="E275" s="186"/>
      <c r="F275" s="186"/>
      <c r="G275" s="186"/>
      <c r="H275" s="186"/>
      <c r="I275" s="186"/>
      <c r="J275" s="186"/>
      <c r="K275" s="186"/>
      <c r="L275" s="186"/>
      <c r="M275" s="186"/>
      <c r="N275" s="186"/>
      <c r="O275" s="186"/>
      <c r="P275" s="186"/>
      <c r="Q275" s="186"/>
      <c r="R275" s="186"/>
      <c r="S275" s="186"/>
      <c r="T275" s="186"/>
      <c r="U275" s="186"/>
      <c r="V275" s="186"/>
      <c r="W275" s="186"/>
      <c r="X275" s="186"/>
      <c r="Y275" s="186"/>
      <c r="Z275" s="186"/>
      <c r="AA275" s="186"/>
      <c r="AB275" s="186"/>
      <c r="AC275" s="186"/>
      <c r="AD275" s="186"/>
      <c r="AE275" s="186"/>
      <c r="AF275" s="186"/>
      <c r="AG275" s="186"/>
      <c r="AH275" s="186"/>
      <c r="AI275" s="186"/>
      <c r="AJ275" s="186"/>
      <c r="AK275" s="186"/>
      <c r="AL275" s="186"/>
      <c r="AM275" s="186"/>
      <c r="AN275" s="186"/>
      <c r="AO275" s="186"/>
      <c r="AP275" s="186"/>
      <c r="AQ275" s="186"/>
      <c r="AR275" s="186"/>
      <c r="AS275" s="186"/>
      <c r="AT275" s="186"/>
      <c r="AU275" s="186"/>
      <c r="AV275" s="186"/>
      <c r="AW275" s="186"/>
      <c r="AX275" s="186"/>
      <c r="AY275" s="186"/>
      <c r="AZ275" s="186"/>
      <c r="BA275" s="186"/>
      <c r="BB275" s="186"/>
      <c r="BC275" s="186"/>
      <c r="BD275" s="186"/>
      <c r="BE275" s="186"/>
      <c r="BF275" s="186"/>
      <c r="BG275" s="186"/>
      <c r="BH275" s="186"/>
      <c r="BI275" s="186"/>
      <c r="BJ275" s="186"/>
      <c r="BK275" s="186"/>
    </row>
    <row r="276" spans="1:63">
      <c r="A276" s="186"/>
      <c r="B276" s="186"/>
      <c r="C276" s="186"/>
      <c r="D276" s="186"/>
      <c r="E276" s="186"/>
      <c r="F276" s="186"/>
      <c r="G276" s="186"/>
      <c r="H276" s="186"/>
      <c r="I276" s="186"/>
      <c r="J276" s="186"/>
      <c r="K276" s="186"/>
      <c r="L276" s="186"/>
      <c r="M276" s="186"/>
      <c r="N276" s="186"/>
      <c r="O276" s="186"/>
      <c r="P276" s="186"/>
      <c r="Q276" s="186"/>
      <c r="R276" s="186"/>
      <c r="S276" s="186"/>
      <c r="T276" s="186"/>
      <c r="U276" s="186"/>
      <c r="V276" s="186"/>
      <c r="W276" s="186"/>
      <c r="X276" s="186"/>
      <c r="Y276" s="186"/>
      <c r="Z276" s="186"/>
      <c r="AA276" s="186"/>
      <c r="AB276" s="186"/>
      <c r="AC276" s="186"/>
      <c r="AD276" s="186"/>
      <c r="AE276" s="186"/>
      <c r="AF276" s="186"/>
      <c r="AG276" s="186"/>
      <c r="AH276" s="186"/>
      <c r="AI276" s="186"/>
      <c r="AJ276" s="186"/>
      <c r="AK276" s="186"/>
      <c r="AL276" s="186"/>
      <c r="AM276" s="186"/>
      <c r="AN276" s="186"/>
      <c r="AO276" s="186"/>
      <c r="AP276" s="186"/>
      <c r="AQ276" s="186"/>
      <c r="AR276" s="186"/>
      <c r="AS276" s="186"/>
      <c r="AT276" s="186"/>
      <c r="AU276" s="186"/>
      <c r="AV276" s="186"/>
      <c r="AW276" s="186"/>
      <c r="AX276" s="186"/>
      <c r="AY276" s="186"/>
      <c r="AZ276" s="186"/>
      <c r="BA276" s="186"/>
      <c r="BB276" s="186"/>
      <c r="BC276" s="186"/>
      <c r="BD276" s="186"/>
      <c r="BE276" s="186"/>
      <c r="BF276" s="186"/>
      <c r="BG276" s="186"/>
      <c r="BH276" s="186"/>
      <c r="BI276" s="186"/>
      <c r="BJ276" s="186"/>
      <c r="BK276" s="186"/>
    </row>
    <row r="277" spans="1:63">
      <c r="A277" s="186"/>
      <c r="B277" s="186"/>
      <c r="C277" s="186"/>
      <c r="D277" s="186"/>
      <c r="E277" s="186"/>
      <c r="F277" s="186"/>
      <c r="G277" s="186"/>
      <c r="H277" s="186"/>
      <c r="I277" s="186"/>
      <c r="J277" s="186"/>
      <c r="K277" s="186"/>
      <c r="L277" s="186"/>
      <c r="M277" s="186"/>
      <c r="N277" s="186"/>
      <c r="O277" s="186"/>
      <c r="P277" s="186"/>
      <c r="Q277" s="186"/>
      <c r="R277" s="186"/>
      <c r="S277" s="186"/>
      <c r="T277" s="186"/>
      <c r="U277" s="186"/>
      <c r="V277" s="186"/>
      <c r="W277" s="186"/>
      <c r="X277" s="186"/>
      <c r="Y277" s="186"/>
      <c r="Z277" s="186"/>
      <c r="AA277" s="186"/>
      <c r="AB277" s="186"/>
      <c r="AC277" s="186"/>
      <c r="AD277" s="186"/>
      <c r="AE277" s="186"/>
      <c r="AF277" s="186"/>
      <c r="AG277" s="186"/>
      <c r="AH277" s="186"/>
      <c r="AI277" s="186"/>
      <c r="AJ277" s="186"/>
      <c r="AK277" s="186"/>
      <c r="AL277" s="186"/>
      <c r="AM277" s="186"/>
      <c r="AN277" s="186"/>
      <c r="AO277" s="186"/>
      <c r="AP277" s="186"/>
      <c r="AQ277" s="186"/>
      <c r="AR277" s="186"/>
      <c r="AS277" s="186"/>
      <c r="AT277" s="186"/>
      <c r="AU277" s="186"/>
      <c r="AV277" s="186"/>
      <c r="AW277" s="186"/>
      <c r="AX277" s="186"/>
      <c r="AY277" s="186"/>
      <c r="AZ277" s="186"/>
      <c r="BA277" s="186"/>
      <c r="BB277" s="186"/>
      <c r="BC277" s="186"/>
      <c r="BD277" s="186"/>
      <c r="BE277" s="186"/>
      <c r="BF277" s="186"/>
      <c r="BG277" s="186"/>
      <c r="BH277" s="186"/>
      <c r="BI277" s="186"/>
      <c r="BJ277" s="186"/>
      <c r="BK277" s="186"/>
    </row>
    <row r="278" spans="1:63">
      <c r="A278" s="186"/>
      <c r="B278" s="186"/>
      <c r="C278" s="186"/>
      <c r="D278" s="186"/>
      <c r="E278" s="186"/>
      <c r="F278" s="186"/>
      <c r="G278" s="186"/>
      <c r="H278" s="186"/>
      <c r="I278" s="186"/>
      <c r="J278" s="186"/>
      <c r="K278" s="186"/>
      <c r="L278" s="186"/>
      <c r="M278" s="186"/>
      <c r="N278" s="186"/>
      <c r="O278" s="186"/>
      <c r="P278" s="186"/>
      <c r="Q278" s="186"/>
      <c r="R278" s="186"/>
      <c r="S278" s="186"/>
      <c r="T278" s="186"/>
      <c r="U278" s="186"/>
      <c r="V278" s="186"/>
      <c r="W278" s="186"/>
      <c r="X278" s="186"/>
      <c r="Y278" s="186"/>
      <c r="Z278" s="186"/>
      <c r="AA278" s="186"/>
      <c r="AB278" s="186"/>
      <c r="AC278" s="186"/>
      <c r="AD278" s="186"/>
      <c r="AE278" s="186"/>
      <c r="AF278" s="186"/>
      <c r="AG278" s="186"/>
      <c r="AH278" s="186"/>
      <c r="AI278" s="186"/>
      <c r="AJ278" s="186"/>
      <c r="AK278" s="186"/>
      <c r="AL278" s="186"/>
      <c r="AM278" s="186"/>
      <c r="AN278" s="186"/>
      <c r="AO278" s="186"/>
      <c r="AP278" s="186"/>
      <c r="AQ278" s="186"/>
      <c r="AR278" s="186"/>
      <c r="AS278" s="186"/>
      <c r="AT278" s="186"/>
      <c r="AU278" s="186"/>
      <c r="AV278" s="186"/>
      <c r="AW278" s="186"/>
      <c r="AX278" s="186"/>
      <c r="AY278" s="186"/>
      <c r="AZ278" s="186"/>
      <c r="BA278" s="186"/>
      <c r="BB278" s="186"/>
      <c r="BC278" s="186"/>
      <c r="BD278" s="186"/>
      <c r="BE278" s="186"/>
      <c r="BF278" s="186"/>
      <c r="BG278" s="186"/>
      <c r="BH278" s="186"/>
      <c r="BI278" s="186"/>
      <c r="BJ278" s="186"/>
      <c r="BK278" s="186"/>
    </row>
    <row r="279" spans="1:63">
      <c r="A279" s="186"/>
      <c r="B279" s="186"/>
      <c r="C279" s="186"/>
      <c r="D279" s="186"/>
      <c r="E279" s="186"/>
      <c r="F279" s="186"/>
      <c r="G279" s="186"/>
      <c r="H279" s="186"/>
      <c r="I279" s="186"/>
      <c r="J279" s="186"/>
      <c r="K279" s="186"/>
      <c r="L279" s="186"/>
      <c r="M279" s="186"/>
      <c r="N279" s="186"/>
      <c r="O279" s="186"/>
      <c r="P279" s="186"/>
      <c r="Q279" s="186"/>
      <c r="R279" s="186"/>
      <c r="S279" s="186"/>
      <c r="T279" s="186"/>
      <c r="U279" s="186"/>
      <c r="V279" s="186"/>
      <c r="W279" s="186"/>
      <c r="X279" s="186"/>
      <c r="Y279" s="186"/>
      <c r="Z279" s="186"/>
      <c r="AA279" s="186"/>
      <c r="AB279" s="186"/>
      <c r="AC279" s="186"/>
      <c r="AD279" s="186"/>
      <c r="AE279" s="186"/>
      <c r="AF279" s="186"/>
      <c r="AG279" s="186"/>
      <c r="AH279" s="186"/>
      <c r="AI279" s="186"/>
      <c r="AJ279" s="186"/>
      <c r="AK279" s="186"/>
      <c r="AL279" s="186"/>
      <c r="AM279" s="186"/>
      <c r="AN279" s="186"/>
      <c r="AO279" s="186"/>
      <c r="AP279" s="186"/>
      <c r="AQ279" s="186"/>
      <c r="AR279" s="186"/>
      <c r="AS279" s="186"/>
      <c r="AT279" s="186"/>
      <c r="AU279" s="186"/>
      <c r="AV279" s="186"/>
      <c r="AW279" s="186"/>
      <c r="AX279" s="186"/>
      <c r="AY279" s="186"/>
      <c r="AZ279" s="186"/>
      <c r="BA279" s="186"/>
      <c r="BB279" s="186"/>
      <c r="BC279" s="186"/>
      <c r="BD279" s="186"/>
      <c r="BE279" s="186"/>
      <c r="BF279" s="186"/>
      <c r="BG279" s="186"/>
      <c r="BH279" s="186"/>
      <c r="BI279" s="186"/>
      <c r="BJ279" s="186"/>
      <c r="BK279" s="186"/>
    </row>
    <row r="280" spans="1:63">
      <c r="A280" s="186"/>
      <c r="B280" s="186"/>
      <c r="C280" s="186"/>
      <c r="D280" s="186"/>
      <c r="E280" s="186"/>
      <c r="F280" s="186"/>
      <c r="G280" s="186"/>
      <c r="H280" s="186"/>
      <c r="I280" s="186"/>
      <c r="J280" s="186"/>
      <c r="K280" s="186"/>
      <c r="L280" s="186"/>
      <c r="M280" s="186"/>
      <c r="N280" s="186"/>
      <c r="O280" s="186"/>
      <c r="P280" s="186"/>
      <c r="Q280" s="186"/>
      <c r="R280" s="186"/>
      <c r="S280" s="186"/>
      <c r="T280" s="186"/>
      <c r="U280" s="186"/>
      <c r="V280" s="186"/>
      <c r="W280" s="186"/>
      <c r="X280" s="186"/>
      <c r="Y280" s="186"/>
      <c r="Z280" s="186"/>
      <c r="AA280" s="186"/>
      <c r="AB280" s="186"/>
      <c r="AC280" s="186"/>
      <c r="AD280" s="186"/>
      <c r="AE280" s="186"/>
      <c r="AF280" s="186"/>
      <c r="AG280" s="186"/>
      <c r="AH280" s="186"/>
      <c r="AI280" s="186"/>
      <c r="AJ280" s="186"/>
      <c r="AK280" s="186"/>
      <c r="AL280" s="186"/>
      <c r="AM280" s="186"/>
      <c r="AN280" s="186"/>
      <c r="AO280" s="186"/>
      <c r="AP280" s="186"/>
      <c r="AQ280" s="186"/>
      <c r="AR280" s="186"/>
      <c r="AS280" s="186"/>
      <c r="AT280" s="186"/>
      <c r="AU280" s="186"/>
      <c r="AV280" s="186"/>
      <c r="AW280" s="186"/>
      <c r="AX280" s="186"/>
      <c r="AY280" s="186"/>
      <c r="AZ280" s="186"/>
      <c r="BA280" s="186"/>
      <c r="BB280" s="186"/>
      <c r="BC280" s="186"/>
      <c r="BD280" s="186"/>
      <c r="BE280" s="186"/>
      <c r="BF280" s="186"/>
      <c r="BG280" s="186"/>
      <c r="BH280" s="186"/>
      <c r="BI280" s="186"/>
      <c r="BJ280" s="186"/>
      <c r="BK280" s="186"/>
    </row>
    <row r="281" spans="1:63">
      <c r="A281" s="186"/>
      <c r="B281" s="186"/>
      <c r="C281" s="186"/>
      <c r="D281" s="186"/>
      <c r="E281" s="186"/>
      <c r="F281" s="186"/>
      <c r="G281" s="186"/>
      <c r="H281" s="186"/>
      <c r="I281" s="186"/>
      <c r="J281" s="186"/>
      <c r="K281" s="186"/>
      <c r="L281" s="186"/>
      <c r="M281" s="186"/>
      <c r="N281" s="186"/>
      <c r="O281" s="186"/>
      <c r="P281" s="186"/>
      <c r="Q281" s="186"/>
      <c r="R281" s="186"/>
      <c r="S281" s="186"/>
      <c r="T281" s="186"/>
      <c r="U281" s="186"/>
      <c r="V281" s="186"/>
      <c r="W281" s="186"/>
      <c r="X281" s="186"/>
      <c r="Y281" s="186"/>
      <c r="Z281" s="186"/>
      <c r="AA281" s="186"/>
      <c r="AB281" s="186"/>
      <c r="AC281" s="186"/>
      <c r="AD281" s="186"/>
      <c r="AE281" s="186"/>
      <c r="AF281" s="186"/>
      <c r="AG281" s="186"/>
      <c r="AH281" s="186"/>
      <c r="AI281" s="186"/>
      <c r="AJ281" s="186"/>
      <c r="AK281" s="186"/>
      <c r="AL281" s="186"/>
      <c r="AM281" s="186"/>
      <c r="AN281" s="186"/>
      <c r="AO281" s="186"/>
      <c r="AP281" s="186"/>
      <c r="AQ281" s="186"/>
      <c r="AR281" s="186"/>
      <c r="AS281" s="186"/>
      <c r="AT281" s="186"/>
      <c r="AU281" s="186"/>
      <c r="AV281" s="186"/>
      <c r="AW281" s="186"/>
      <c r="AX281" s="186"/>
      <c r="AY281" s="186"/>
      <c r="AZ281" s="186"/>
      <c r="BA281" s="186"/>
      <c r="BB281" s="186"/>
      <c r="BC281" s="186"/>
      <c r="BD281" s="186"/>
      <c r="BE281" s="186"/>
      <c r="BF281" s="186"/>
      <c r="BG281" s="186"/>
      <c r="BH281" s="186"/>
      <c r="BI281" s="186"/>
      <c r="BJ281" s="186"/>
      <c r="BK281" s="186"/>
    </row>
    <row r="282" spans="1:63">
      <c r="A282" s="186"/>
      <c r="B282" s="186"/>
      <c r="C282" s="186"/>
      <c r="D282" s="186"/>
      <c r="E282" s="186"/>
      <c r="F282" s="186"/>
      <c r="G282" s="186"/>
      <c r="H282" s="186"/>
      <c r="I282" s="186"/>
      <c r="J282" s="186"/>
      <c r="K282" s="186"/>
      <c r="L282" s="186"/>
      <c r="M282" s="186"/>
      <c r="N282" s="186"/>
      <c r="O282" s="186"/>
      <c r="P282" s="186"/>
      <c r="Q282" s="186"/>
      <c r="R282" s="186"/>
      <c r="S282" s="186"/>
      <c r="T282" s="186"/>
      <c r="U282" s="186"/>
      <c r="V282" s="186"/>
      <c r="W282" s="186"/>
      <c r="X282" s="186"/>
      <c r="Y282" s="186"/>
      <c r="Z282" s="186"/>
      <c r="AA282" s="186"/>
      <c r="AB282" s="186"/>
      <c r="AC282" s="186"/>
      <c r="AD282" s="186"/>
      <c r="AE282" s="186"/>
      <c r="AF282" s="186"/>
      <c r="AG282" s="186"/>
      <c r="AH282" s="186"/>
      <c r="AI282" s="186"/>
      <c r="AJ282" s="186"/>
      <c r="AK282" s="186"/>
      <c r="AL282" s="186"/>
      <c r="AM282" s="186"/>
      <c r="AN282" s="186"/>
      <c r="AO282" s="186"/>
      <c r="AP282" s="186"/>
      <c r="AQ282" s="186"/>
      <c r="AR282" s="186"/>
      <c r="AS282" s="186"/>
      <c r="AT282" s="186"/>
      <c r="AU282" s="186"/>
      <c r="AV282" s="186"/>
      <c r="AW282" s="186"/>
      <c r="AX282" s="186"/>
      <c r="AY282" s="186"/>
      <c r="AZ282" s="186"/>
      <c r="BA282" s="186"/>
      <c r="BB282" s="186"/>
      <c r="BC282" s="186"/>
      <c r="BD282" s="186"/>
      <c r="BE282" s="186"/>
      <c r="BF282" s="186"/>
      <c r="BG282" s="186"/>
      <c r="BH282" s="186"/>
      <c r="BI282" s="186"/>
      <c r="BJ282" s="186"/>
      <c r="BK282" s="186"/>
    </row>
    <row r="283" spans="1:63">
      <c r="A283" s="186"/>
      <c r="B283" s="186"/>
      <c r="C283" s="186"/>
      <c r="D283" s="186"/>
      <c r="E283" s="186"/>
      <c r="F283" s="186"/>
      <c r="G283" s="186"/>
      <c r="H283" s="186"/>
      <c r="I283" s="186"/>
      <c r="J283" s="186"/>
      <c r="K283" s="186"/>
      <c r="L283" s="186"/>
      <c r="M283" s="186"/>
      <c r="N283" s="186"/>
      <c r="O283" s="186"/>
      <c r="P283" s="186"/>
      <c r="Q283" s="186"/>
      <c r="R283" s="186"/>
      <c r="S283" s="186"/>
      <c r="T283" s="186"/>
      <c r="U283" s="186"/>
      <c r="V283" s="186"/>
      <c r="W283" s="186"/>
      <c r="X283" s="186"/>
      <c r="Y283" s="186"/>
      <c r="Z283" s="186"/>
      <c r="AA283" s="186"/>
      <c r="AB283" s="186"/>
      <c r="AC283" s="186"/>
      <c r="AD283" s="186"/>
      <c r="AE283" s="186"/>
      <c r="AF283" s="186"/>
      <c r="AG283" s="186"/>
      <c r="AH283" s="186"/>
      <c r="AI283" s="186"/>
      <c r="AJ283" s="186"/>
      <c r="AK283" s="186"/>
      <c r="AL283" s="186"/>
      <c r="AM283" s="186"/>
      <c r="AN283" s="186"/>
      <c r="AO283" s="186"/>
      <c r="AP283" s="186"/>
      <c r="AQ283" s="186"/>
      <c r="AR283" s="186"/>
      <c r="AS283" s="186"/>
      <c r="AT283" s="186"/>
      <c r="AU283" s="186"/>
      <c r="AV283" s="186"/>
      <c r="AW283" s="186"/>
      <c r="AX283" s="186"/>
      <c r="AY283" s="186"/>
      <c r="AZ283" s="186"/>
      <c r="BA283" s="186"/>
      <c r="BB283" s="186"/>
      <c r="BC283" s="186"/>
      <c r="BD283" s="186"/>
      <c r="BE283" s="186"/>
      <c r="BF283" s="186"/>
      <c r="BG283" s="186"/>
      <c r="BH283" s="186"/>
      <c r="BI283" s="186"/>
      <c r="BJ283" s="186"/>
      <c r="BK283" s="186"/>
    </row>
    <row r="284" spans="1:63">
      <c r="A284" s="186"/>
      <c r="B284" s="186"/>
      <c r="C284" s="186"/>
      <c r="D284" s="186"/>
      <c r="E284" s="186"/>
      <c r="F284" s="186"/>
      <c r="G284" s="186"/>
      <c r="H284" s="186"/>
      <c r="I284" s="186"/>
      <c r="J284" s="186"/>
      <c r="K284" s="186"/>
      <c r="L284" s="186"/>
      <c r="M284" s="186"/>
      <c r="N284" s="186"/>
      <c r="O284" s="186"/>
      <c r="P284" s="186"/>
      <c r="Q284" s="186"/>
      <c r="R284" s="186"/>
      <c r="S284" s="186"/>
      <c r="T284" s="186"/>
      <c r="U284" s="186"/>
      <c r="V284" s="186"/>
      <c r="W284" s="186"/>
      <c r="X284" s="186"/>
      <c r="Y284" s="186"/>
      <c r="Z284" s="186"/>
      <c r="AA284" s="186"/>
      <c r="AB284" s="186"/>
      <c r="AC284" s="186"/>
      <c r="AD284" s="186"/>
      <c r="AE284" s="186"/>
      <c r="AF284" s="186"/>
      <c r="AG284" s="186"/>
      <c r="AH284" s="186"/>
      <c r="AI284" s="186"/>
      <c r="AJ284" s="186"/>
      <c r="AK284" s="186"/>
      <c r="AL284" s="186"/>
      <c r="AM284" s="186"/>
      <c r="AN284" s="186"/>
      <c r="AO284" s="186"/>
      <c r="AP284" s="186"/>
      <c r="AQ284" s="186"/>
      <c r="AR284" s="186"/>
      <c r="AS284" s="186"/>
      <c r="AT284" s="186"/>
      <c r="AU284" s="186"/>
      <c r="AV284" s="186"/>
      <c r="AW284" s="186"/>
      <c r="AX284" s="186"/>
      <c r="AY284" s="186"/>
      <c r="AZ284" s="186"/>
      <c r="BA284" s="186"/>
      <c r="BB284" s="186"/>
      <c r="BC284" s="186"/>
      <c r="BD284" s="186"/>
      <c r="BE284" s="186"/>
      <c r="BF284" s="186"/>
      <c r="BG284" s="186"/>
      <c r="BH284" s="186"/>
      <c r="BI284" s="186"/>
      <c r="BJ284" s="186"/>
      <c r="BK284" s="186"/>
    </row>
    <row r="285" spans="1:63">
      <c r="A285" s="186"/>
      <c r="B285" s="186"/>
      <c r="C285" s="186"/>
      <c r="D285" s="186"/>
      <c r="E285" s="186"/>
      <c r="F285" s="186"/>
      <c r="G285" s="186"/>
      <c r="H285" s="186"/>
      <c r="I285" s="186"/>
      <c r="J285" s="186"/>
      <c r="K285" s="186"/>
      <c r="L285" s="186"/>
      <c r="M285" s="186"/>
      <c r="N285" s="186"/>
      <c r="O285" s="186"/>
      <c r="P285" s="186"/>
      <c r="Q285" s="186"/>
      <c r="R285" s="186"/>
      <c r="S285" s="186"/>
      <c r="T285" s="186"/>
      <c r="U285" s="186"/>
      <c r="V285" s="186"/>
      <c r="W285" s="186"/>
      <c r="X285" s="186"/>
      <c r="Y285" s="186"/>
      <c r="Z285" s="186"/>
      <c r="AA285" s="186"/>
      <c r="AB285" s="186"/>
      <c r="AC285" s="186"/>
      <c r="AD285" s="186"/>
      <c r="AE285" s="186"/>
      <c r="AF285" s="186"/>
      <c r="AG285" s="186"/>
      <c r="AH285" s="186"/>
      <c r="AI285" s="186"/>
      <c r="AJ285" s="186"/>
      <c r="AK285" s="186"/>
      <c r="AL285" s="186"/>
      <c r="AM285" s="186"/>
      <c r="AN285" s="186"/>
      <c r="AO285" s="186"/>
      <c r="AP285" s="186"/>
      <c r="AQ285" s="186"/>
      <c r="AR285" s="186"/>
      <c r="AS285" s="186"/>
      <c r="AT285" s="186"/>
      <c r="AU285" s="186"/>
      <c r="AV285" s="186"/>
      <c r="AW285" s="186"/>
      <c r="AX285" s="186"/>
      <c r="AY285" s="186"/>
      <c r="AZ285" s="186"/>
      <c r="BA285" s="186"/>
      <c r="BB285" s="186"/>
      <c r="BC285" s="186"/>
      <c r="BD285" s="186"/>
      <c r="BE285" s="186"/>
      <c r="BF285" s="186"/>
      <c r="BG285" s="186"/>
      <c r="BH285" s="186"/>
      <c r="BI285" s="186"/>
      <c r="BJ285" s="186"/>
      <c r="BK285" s="186"/>
    </row>
    <row r="286" spans="1:63">
      <c r="A286" s="186"/>
      <c r="B286" s="186"/>
      <c r="C286" s="186"/>
      <c r="D286" s="186"/>
      <c r="E286" s="186"/>
      <c r="F286" s="186"/>
      <c r="G286" s="186"/>
      <c r="H286" s="186"/>
      <c r="I286" s="186"/>
      <c r="J286" s="186"/>
      <c r="K286" s="186"/>
      <c r="L286" s="186"/>
      <c r="M286" s="186"/>
      <c r="N286" s="186"/>
      <c r="O286" s="186"/>
      <c r="P286" s="186"/>
      <c r="Q286" s="186"/>
      <c r="R286" s="186"/>
      <c r="S286" s="186"/>
      <c r="T286" s="186"/>
      <c r="U286" s="186"/>
      <c r="V286" s="186"/>
      <c r="W286" s="186"/>
      <c r="X286" s="186"/>
      <c r="Y286" s="186"/>
      <c r="Z286" s="186"/>
      <c r="AA286" s="186"/>
      <c r="AB286" s="186"/>
      <c r="AC286" s="186"/>
      <c r="AD286" s="186"/>
      <c r="AE286" s="186"/>
      <c r="AF286" s="186"/>
      <c r="AG286" s="186"/>
      <c r="AH286" s="186"/>
      <c r="AI286" s="186"/>
      <c r="AJ286" s="186"/>
      <c r="AK286" s="186"/>
      <c r="AL286" s="186"/>
      <c r="AM286" s="186"/>
      <c r="AN286" s="186"/>
      <c r="AO286" s="186"/>
      <c r="AP286" s="186"/>
      <c r="AQ286" s="186"/>
      <c r="AR286" s="186"/>
      <c r="AS286" s="186"/>
      <c r="AT286" s="186"/>
      <c r="AU286" s="186"/>
      <c r="AV286" s="186"/>
      <c r="AW286" s="186"/>
      <c r="AX286" s="186"/>
      <c r="AY286" s="186"/>
      <c r="AZ286" s="186"/>
      <c r="BA286" s="186"/>
      <c r="BB286" s="186"/>
      <c r="BC286" s="186"/>
      <c r="BD286" s="186"/>
      <c r="BE286" s="186"/>
      <c r="BF286" s="186"/>
      <c r="BG286" s="186"/>
      <c r="BH286" s="186"/>
      <c r="BI286" s="186"/>
      <c r="BJ286" s="186"/>
      <c r="BK286" s="186"/>
    </row>
    <row r="287" spans="1:63">
      <c r="A287" s="186"/>
      <c r="B287" s="186"/>
      <c r="C287" s="186"/>
      <c r="D287" s="186"/>
      <c r="E287" s="186"/>
      <c r="F287" s="186"/>
      <c r="G287" s="186"/>
      <c r="H287" s="186"/>
      <c r="I287" s="186"/>
      <c r="J287" s="186"/>
      <c r="K287" s="186"/>
      <c r="L287" s="186"/>
      <c r="M287" s="186"/>
      <c r="N287" s="186"/>
      <c r="O287" s="186"/>
      <c r="P287" s="186"/>
      <c r="Q287" s="186"/>
      <c r="R287" s="186"/>
      <c r="S287" s="186"/>
      <c r="T287" s="186"/>
      <c r="U287" s="186"/>
      <c r="V287" s="186"/>
      <c r="W287" s="186"/>
      <c r="X287" s="186"/>
      <c r="Y287" s="186"/>
      <c r="Z287" s="186"/>
      <c r="AA287" s="186"/>
      <c r="AB287" s="186"/>
      <c r="AC287" s="186"/>
      <c r="AD287" s="186"/>
      <c r="AE287" s="186"/>
      <c r="AF287" s="186"/>
      <c r="AG287" s="186"/>
      <c r="AH287" s="186"/>
      <c r="AI287" s="186"/>
      <c r="AJ287" s="186"/>
      <c r="AK287" s="186"/>
      <c r="AL287" s="186"/>
      <c r="AM287" s="186"/>
      <c r="AN287" s="186"/>
      <c r="AO287" s="186"/>
      <c r="AP287" s="186"/>
      <c r="AQ287" s="186"/>
      <c r="AR287" s="186"/>
      <c r="AS287" s="186"/>
      <c r="AT287" s="186"/>
      <c r="AU287" s="186"/>
      <c r="AV287" s="186"/>
      <c r="AW287" s="186"/>
      <c r="AX287" s="186"/>
      <c r="AY287" s="186"/>
      <c r="AZ287" s="186"/>
      <c r="BA287" s="186"/>
      <c r="BB287" s="186"/>
      <c r="BC287" s="186"/>
      <c r="BD287" s="186"/>
      <c r="BE287" s="186"/>
      <c r="BF287" s="186"/>
      <c r="BG287" s="186"/>
      <c r="BH287" s="186"/>
      <c r="BI287" s="186"/>
      <c r="BJ287" s="186"/>
      <c r="BK287" s="186"/>
    </row>
    <row r="288" spans="1:63">
      <c r="A288" s="186"/>
      <c r="B288" s="186"/>
      <c r="C288" s="186"/>
      <c r="D288" s="186"/>
      <c r="E288" s="186"/>
      <c r="F288" s="186"/>
      <c r="G288" s="186"/>
      <c r="H288" s="186"/>
      <c r="I288" s="186"/>
      <c r="J288" s="186"/>
      <c r="K288" s="186"/>
      <c r="L288" s="186"/>
      <c r="M288" s="186"/>
      <c r="N288" s="186"/>
      <c r="O288" s="186"/>
      <c r="P288" s="186"/>
      <c r="Q288" s="186"/>
      <c r="R288" s="186"/>
      <c r="S288" s="186"/>
      <c r="T288" s="186"/>
      <c r="U288" s="186"/>
      <c r="V288" s="186"/>
      <c r="W288" s="186"/>
      <c r="X288" s="186"/>
      <c r="Y288" s="186"/>
      <c r="Z288" s="186"/>
      <c r="AA288" s="186"/>
      <c r="AB288" s="186"/>
      <c r="AC288" s="186"/>
      <c r="AD288" s="186"/>
      <c r="AE288" s="186"/>
      <c r="AF288" s="186"/>
      <c r="AG288" s="186"/>
      <c r="AH288" s="186"/>
      <c r="AI288" s="186"/>
      <c r="AJ288" s="186"/>
      <c r="AK288" s="186"/>
      <c r="AL288" s="186"/>
      <c r="AM288" s="186"/>
      <c r="AN288" s="186"/>
      <c r="AO288" s="186"/>
      <c r="AP288" s="186"/>
      <c r="AQ288" s="186"/>
      <c r="AR288" s="186"/>
      <c r="AS288" s="186"/>
      <c r="AT288" s="186"/>
      <c r="AU288" s="186"/>
      <c r="AV288" s="186"/>
      <c r="AW288" s="186"/>
      <c r="AX288" s="186"/>
      <c r="AY288" s="186"/>
      <c r="AZ288" s="186"/>
      <c r="BA288" s="186"/>
      <c r="BB288" s="186"/>
      <c r="BC288" s="186"/>
      <c r="BD288" s="186"/>
      <c r="BE288" s="186"/>
      <c r="BF288" s="186"/>
      <c r="BG288" s="186"/>
      <c r="BH288" s="186"/>
      <c r="BI288" s="186"/>
      <c r="BJ288" s="186"/>
      <c r="BK288" s="186"/>
    </row>
    <row r="289" spans="1:63">
      <c r="A289" s="186"/>
      <c r="B289" s="186"/>
      <c r="C289" s="186"/>
      <c r="D289" s="186"/>
      <c r="E289" s="186"/>
      <c r="F289" s="186"/>
      <c r="G289" s="186"/>
      <c r="H289" s="186"/>
      <c r="I289" s="186"/>
      <c r="J289" s="186"/>
      <c r="K289" s="186"/>
      <c r="L289" s="186"/>
      <c r="M289" s="186"/>
      <c r="N289" s="186"/>
      <c r="O289" s="186"/>
      <c r="P289" s="186"/>
      <c r="Q289" s="186"/>
      <c r="R289" s="186"/>
      <c r="S289" s="186"/>
      <c r="T289" s="186"/>
      <c r="U289" s="186"/>
      <c r="V289" s="186"/>
      <c r="W289" s="186"/>
      <c r="X289" s="186"/>
      <c r="Y289" s="186"/>
      <c r="Z289" s="186"/>
      <c r="AA289" s="186"/>
      <c r="AB289" s="186"/>
      <c r="AC289" s="186"/>
      <c r="AD289" s="186"/>
      <c r="AE289" s="186"/>
      <c r="AF289" s="186"/>
      <c r="AG289" s="186"/>
      <c r="AH289" s="186"/>
      <c r="AI289" s="186"/>
      <c r="AJ289" s="186"/>
      <c r="AK289" s="186"/>
      <c r="AL289" s="186"/>
      <c r="AM289" s="186"/>
      <c r="AN289" s="186"/>
      <c r="AO289" s="186"/>
      <c r="AP289" s="186"/>
      <c r="AQ289" s="186"/>
      <c r="AR289" s="186"/>
      <c r="AS289" s="186"/>
      <c r="AT289" s="186"/>
      <c r="AU289" s="186"/>
      <c r="AV289" s="186"/>
      <c r="AW289" s="186"/>
      <c r="AX289" s="186"/>
      <c r="AY289" s="186"/>
      <c r="AZ289" s="186"/>
      <c r="BA289" s="186"/>
      <c r="BB289" s="186"/>
      <c r="BC289" s="186"/>
      <c r="BD289" s="186"/>
      <c r="BE289" s="186"/>
      <c r="BF289" s="186"/>
      <c r="BG289" s="186"/>
      <c r="BH289" s="186"/>
      <c r="BI289" s="186"/>
      <c r="BJ289" s="186"/>
      <c r="BK289" s="186"/>
    </row>
    <row r="290" spans="1:63">
      <c r="A290" s="186"/>
      <c r="B290" s="186"/>
      <c r="C290" s="186"/>
      <c r="D290" s="186"/>
      <c r="E290" s="186"/>
      <c r="F290" s="186"/>
      <c r="G290" s="186"/>
      <c r="H290" s="186"/>
      <c r="I290" s="186"/>
      <c r="J290" s="186"/>
      <c r="K290" s="186"/>
      <c r="L290" s="186"/>
      <c r="M290" s="186"/>
      <c r="N290" s="186"/>
      <c r="O290" s="186"/>
      <c r="P290" s="186"/>
      <c r="Q290" s="186"/>
      <c r="R290" s="186"/>
      <c r="S290" s="186"/>
      <c r="T290" s="186"/>
      <c r="U290" s="186"/>
      <c r="V290" s="186"/>
      <c r="W290" s="186"/>
      <c r="X290" s="186"/>
      <c r="Y290" s="186"/>
      <c r="Z290" s="186"/>
      <c r="AA290" s="186"/>
      <c r="AB290" s="186"/>
      <c r="AC290" s="186"/>
      <c r="AD290" s="186"/>
      <c r="AE290" s="186"/>
      <c r="AF290" s="186"/>
      <c r="AG290" s="186"/>
      <c r="AH290" s="186"/>
      <c r="AI290" s="186"/>
      <c r="AJ290" s="186"/>
      <c r="AK290" s="186"/>
      <c r="AL290" s="186"/>
      <c r="AM290" s="186"/>
      <c r="AN290" s="186"/>
      <c r="AO290" s="186"/>
      <c r="AP290" s="186"/>
      <c r="AQ290" s="186"/>
      <c r="AR290" s="186"/>
      <c r="AS290" s="186"/>
      <c r="AT290" s="186"/>
      <c r="AU290" s="186"/>
      <c r="AV290" s="186"/>
      <c r="AW290" s="186"/>
      <c r="AX290" s="186"/>
      <c r="AY290" s="186"/>
      <c r="AZ290" s="186"/>
      <c r="BA290" s="186"/>
      <c r="BB290" s="186"/>
      <c r="BC290" s="186"/>
      <c r="BD290" s="186"/>
      <c r="BE290" s="186"/>
      <c r="BF290" s="186"/>
      <c r="BG290" s="186"/>
      <c r="BH290" s="186"/>
      <c r="BI290" s="186"/>
      <c r="BJ290" s="186"/>
      <c r="BK290" s="186"/>
    </row>
    <row r="291" spans="1:63">
      <c r="A291" s="186"/>
      <c r="B291" s="186"/>
      <c r="C291" s="186"/>
      <c r="D291" s="186"/>
      <c r="E291" s="186"/>
      <c r="F291" s="186"/>
      <c r="G291" s="186"/>
      <c r="H291" s="186"/>
      <c r="I291" s="186"/>
      <c r="J291" s="186"/>
      <c r="K291" s="186"/>
      <c r="L291" s="186"/>
      <c r="M291" s="186"/>
      <c r="N291" s="186"/>
      <c r="O291" s="186"/>
      <c r="P291" s="186"/>
      <c r="Q291" s="186"/>
      <c r="R291" s="186"/>
      <c r="S291" s="186"/>
      <c r="T291" s="186"/>
      <c r="U291" s="186"/>
      <c r="V291" s="186"/>
      <c r="W291" s="186"/>
      <c r="X291" s="186"/>
      <c r="Y291" s="186"/>
      <c r="Z291" s="186"/>
      <c r="AA291" s="186"/>
      <c r="AB291" s="186"/>
      <c r="AC291" s="186"/>
      <c r="AD291" s="186"/>
      <c r="AE291" s="186"/>
      <c r="AF291" s="186"/>
      <c r="AG291" s="186"/>
      <c r="AH291" s="186"/>
      <c r="AI291" s="186"/>
      <c r="AJ291" s="186"/>
      <c r="AK291" s="186"/>
      <c r="AL291" s="186"/>
      <c r="AM291" s="186"/>
      <c r="AN291" s="186"/>
      <c r="AO291" s="186"/>
      <c r="AP291" s="186"/>
      <c r="AQ291" s="186"/>
      <c r="AR291" s="186"/>
      <c r="AS291" s="186"/>
      <c r="AT291" s="186"/>
      <c r="AU291" s="186"/>
      <c r="AV291" s="186"/>
      <c r="AW291" s="186"/>
      <c r="AX291" s="186"/>
      <c r="AY291" s="186"/>
      <c r="AZ291" s="186"/>
      <c r="BA291" s="186"/>
      <c r="BB291" s="186"/>
      <c r="BC291" s="186"/>
      <c r="BD291" s="186"/>
      <c r="BE291" s="186"/>
      <c r="BF291" s="186"/>
      <c r="BG291" s="186"/>
      <c r="BH291" s="186"/>
      <c r="BI291" s="186"/>
      <c r="BJ291" s="186"/>
      <c r="BK291" s="186"/>
    </row>
    <row r="292" spans="1:63">
      <c r="A292" s="186"/>
      <c r="B292" s="186"/>
      <c r="C292" s="186"/>
      <c r="D292" s="186"/>
      <c r="E292" s="186"/>
      <c r="F292" s="186"/>
      <c r="G292" s="186"/>
      <c r="H292" s="186"/>
      <c r="I292" s="186"/>
      <c r="J292" s="186"/>
      <c r="K292" s="186"/>
      <c r="L292" s="186"/>
      <c r="M292" s="186"/>
      <c r="N292" s="186"/>
      <c r="O292" s="186"/>
      <c r="P292" s="186"/>
      <c r="Q292" s="186"/>
      <c r="R292" s="186"/>
      <c r="S292" s="186"/>
      <c r="T292" s="186"/>
      <c r="U292" s="186"/>
      <c r="V292" s="186"/>
      <c r="W292" s="186"/>
      <c r="X292" s="186"/>
      <c r="Y292" s="186"/>
      <c r="Z292" s="186"/>
      <c r="AA292" s="186"/>
      <c r="AB292" s="186"/>
      <c r="AC292" s="186"/>
      <c r="AD292" s="186"/>
      <c r="AE292" s="186"/>
      <c r="AF292" s="186"/>
      <c r="AG292" s="186"/>
      <c r="AH292" s="186"/>
      <c r="AI292" s="186"/>
      <c r="AJ292" s="186"/>
      <c r="AK292" s="186"/>
      <c r="AL292" s="186"/>
      <c r="AM292" s="186"/>
      <c r="AN292" s="186"/>
      <c r="AO292" s="186"/>
      <c r="AP292" s="186"/>
      <c r="AQ292" s="186"/>
      <c r="AR292" s="186"/>
      <c r="AS292" s="186"/>
      <c r="AT292" s="186"/>
      <c r="AU292" s="186"/>
      <c r="AV292" s="186"/>
      <c r="AW292" s="186"/>
      <c r="AX292" s="186"/>
      <c r="AY292" s="186"/>
      <c r="AZ292" s="186"/>
      <c r="BA292" s="186"/>
      <c r="BB292" s="186"/>
      <c r="BC292" s="186"/>
      <c r="BD292" s="186"/>
      <c r="BE292" s="186"/>
      <c r="BF292" s="186"/>
      <c r="BG292" s="186"/>
      <c r="BH292" s="186"/>
      <c r="BI292" s="186"/>
      <c r="BJ292" s="186"/>
      <c r="BK292" s="186"/>
    </row>
    <row r="293" spans="1:63">
      <c r="A293" s="186"/>
      <c r="B293" s="186"/>
      <c r="C293" s="186"/>
      <c r="D293" s="186"/>
      <c r="E293" s="186"/>
      <c r="F293" s="186"/>
      <c r="G293" s="186"/>
      <c r="H293" s="186"/>
      <c r="I293" s="186"/>
      <c r="J293" s="186"/>
      <c r="K293" s="186"/>
      <c r="L293" s="186"/>
      <c r="M293" s="186"/>
      <c r="N293" s="186"/>
      <c r="O293" s="186"/>
      <c r="P293" s="186"/>
      <c r="Q293" s="186"/>
      <c r="R293" s="186"/>
      <c r="S293" s="186"/>
      <c r="T293" s="186"/>
      <c r="U293" s="186"/>
      <c r="V293" s="186"/>
      <c r="W293" s="186"/>
      <c r="X293" s="186"/>
      <c r="Y293" s="186"/>
      <c r="Z293" s="186"/>
      <c r="AA293" s="186"/>
      <c r="AB293" s="186"/>
      <c r="AC293" s="186"/>
      <c r="AD293" s="186"/>
      <c r="AE293" s="186"/>
      <c r="AF293" s="186"/>
      <c r="AG293" s="186"/>
      <c r="AH293" s="186"/>
      <c r="AI293" s="186"/>
      <c r="AJ293" s="186"/>
      <c r="AK293" s="186"/>
      <c r="AL293" s="186"/>
      <c r="AM293" s="186"/>
      <c r="AN293" s="186"/>
      <c r="AO293" s="186"/>
      <c r="AP293" s="186"/>
      <c r="AQ293" s="186"/>
      <c r="AR293" s="186"/>
      <c r="AS293" s="186"/>
      <c r="AT293" s="186"/>
      <c r="AU293" s="186"/>
      <c r="AV293" s="186"/>
      <c r="AW293" s="186"/>
      <c r="AX293" s="186"/>
      <c r="AY293" s="186"/>
      <c r="AZ293" s="186"/>
      <c r="BA293" s="186"/>
      <c r="BB293" s="186"/>
      <c r="BC293" s="186"/>
      <c r="BD293" s="186"/>
      <c r="BE293" s="186"/>
      <c r="BF293" s="186"/>
      <c r="BG293" s="186"/>
      <c r="BH293" s="186"/>
      <c r="BI293" s="186"/>
      <c r="BJ293" s="186"/>
      <c r="BK293" s="186"/>
    </row>
    <row r="294" spans="1:63">
      <c r="A294" s="186"/>
      <c r="B294" s="186"/>
      <c r="C294" s="186"/>
      <c r="D294" s="186"/>
      <c r="E294" s="186"/>
      <c r="F294" s="186"/>
      <c r="G294" s="186"/>
      <c r="H294" s="186"/>
      <c r="I294" s="186"/>
      <c r="J294" s="186"/>
      <c r="K294" s="186"/>
      <c r="L294" s="186"/>
      <c r="M294" s="186"/>
      <c r="N294" s="186"/>
      <c r="O294" s="186"/>
      <c r="P294" s="186"/>
      <c r="Q294" s="186"/>
      <c r="R294" s="186"/>
      <c r="S294" s="186"/>
      <c r="T294" s="186"/>
      <c r="U294" s="186"/>
      <c r="V294" s="186"/>
      <c r="W294" s="186"/>
      <c r="X294" s="186"/>
      <c r="Y294" s="186"/>
      <c r="Z294" s="186"/>
      <c r="AA294" s="186"/>
      <c r="AB294" s="186"/>
      <c r="AC294" s="186"/>
      <c r="AD294" s="186"/>
      <c r="AE294" s="186"/>
      <c r="AF294" s="186"/>
      <c r="AG294" s="186"/>
      <c r="AH294" s="186"/>
      <c r="AI294" s="186"/>
      <c r="AJ294" s="186"/>
      <c r="AK294" s="186"/>
      <c r="AL294" s="186"/>
      <c r="AM294" s="186"/>
      <c r="AN294" s="186"/>
      <c r="AO294" s="186"/>
      <c r="AP294" s="186"/>
      <c r="AQ294" s="186"/>
      <c r="AR294" s="186"/>
      <c r="AS294" s="186"/>
      <c r="AT294" s="186"/>
      <c r="AU294" s="186"/>
      <c r="AV294" s="186"/>
      <c r="AW294" s="186"/>
      <c r="AX294" s="186"/>
      <c r="AY294" s="186"/>
      <c r="AZ294" s="186"/>
      <c r="BA294" s="186"/>
      <c r="BB294" s="186"/>
      <c r="BC294" s="186"/>
      <c r="BD294" s="186"/>
      <c r="BE294" s="186"/>
      <c r="BF294" s="186"/>
      <c r="BG294" s="186"/>
      <c r="BH294" s="186"/>
      <c r="BI294" s="186"/>
      <c r="BJ294" s="186"/>
      <c r="BK294" s="186"/>
    </row>
    <row r="295" spans="1:63">
      <c r="A295" s="186"/>
      <c r="B295" s="186"/>
      <c r="C295" s="186"/>
      <c r="D295" s="186"/>
      <c r="E295" s="186"/>
      <c r="F295" s="186"/>
      <c r="G295" s="186"/>
      <c r="H295" s="186"/>
      <c r="I295" s="186"/>
      <c r="J295" s="186"/>
      <c r="K295" s="186"/>
      <c r="L295" s="186"/>
      <c r="M295" s="186"/>
      <c r="N295" s="186"/>
      <c r="O295" s="186"/>
      <c r="P295" s="186"/>
      <c r="Q295" s="186"/>
      <c r="R295" s="186"/>
      <c r="S295" s="186"/>
      <c r="T295" s="186"/>
      <c r="U295" s="186"/>
      <c r="V295" s="186"/>
      <c r="W295" s="186"/>
      <c r="X295" s="186"/>
      <c r="Y295" s="186"/>
      <c r="Z295" s="186"/>
      <c r="AA295" s="186"/>
      <c r="AB295" s="186"/>
      <c r="AC295" s="186"/>
      <c r="AD295" s="186"/>
      <c r="AE295" s="186"/>
      <c r="AF295" s="186"/>
      <c r="AG295" s="186"/>
      <c r="AH295" s="186"/>
      <c r="AI295" s="186"/>
      <c r="AJ295" s="186"/>
      <c r="AK295" s="186"/>
      <c r="AL295" s="186"/>
      <c r="AM295" s="186"/>
      <c r="AN295" s="186"/>
      <c r="AO295" s="186"/>
      <c r="AP295" s="186"/>
      <c r="AQ295" s="186"/>
      <c r="AR295" s="186"/>
      <c r="AS295" s="186"/>
      <c r="AT295" s="186"/>
      <c r="AU295" s="186"/>
      <c r="AV295" s="186"/>
      <c r="AW295" s="186"/>
      <c r="AX295" s="186"/>
      <c r="AY295" s="186"/>
      <c r="AZ295" s="186"/>
      <c r="BA295" s="186"/>
      <c r="BB295" s="186"/>
      <c r="BC295" s="186"/>
      <c r="BD295" s="186"/>
      <c r="BE295" s="186"/>
      <c r="BF295" s="186"/>
      <c r="BG295" s="186"/>
      <c r="BH295" s="186"/>
      <c r="BI295" s="186"/>
      <c r="BJ295" s="186"/>
      <c r="BK295" s="186"/>
    </row>
    <row r="296" spans="1:63">
      <c r="A296" s="186"/>
      <c r="B296" s="186"/>
      <c r="C296" s="186"/>
      <c r="D296" s="186"/>
      <c r="E296" s="186"/>
      <c r="F296" s="186"/>
      <c r="G296" s="186"/>
      <c r="H296" s="186"/>
      <c r="I296" s="186"/>
      <c r="J296" s="186"/>
      <c r="K296" s="186"/>
      <c r="L296" s="186"/>
      <c r="M296" s="186"/>
      <c r="N296" s="186"/>
      <c r="O296" s="186"/>
      <c r="P296" s="186"/>
      <c r="Q296" s="186"/>
      <c r="R296" s="186"/>
      <c r="S296" s="186"/>
      <c r="T296" s="186"/>
      <c r="U296" s="186"/>
      <c r="V296" s="186"/>
      <c r="W296" s="186"/>
      <c r="X296" s="186"/>
      <c r="Y296" s="186"/>
      <c r="Z296" s="186"/>
      <c r="AA296" s="186"/>
      <c r="AB296" s="186"/>
      <c r="AC296" s="186"/>
      <c r="AD296" s="186"/>
      <c r="AE296" s="186"/>
      <c r="AF296" s="186"/>
      <c r="AG296" s="186"/>
      <c r="AH296" s="186"/>
      <c r="AI296" s="186"/>
      <c r="AJ296" s="186"/>
      <c r="AK296" s="186"/>
      <c r="AL296" s="186"/>
      <c r="AM296" s="186"/>
      <c r="AN296" s="186"/>
      <c r="AO296" s="186"/>
      <c r="AP296" s="186"/>
      <c r="AQ296" s="186"/>
      <c r="AR296" s="186"/>
      <c r="AS296" s="186"/>
      <c r="AT296" s="186"/>
      <c r="AU296" s="186"/>
      <c r="AV296" s="186"/>
      <c r="AW296" s="186"/>
      <c r="AX296" s="186"/>
      <c r="AY296" s="186"/>
      <c r="AZ296" s="186"/>
      <c r="BA296" s="186"/>
      <c r="BB296" s="186"/>
      <c r="BC296" s="186"/>
      <c r="BD296" s="186"/>
      <c r="BE296" s="186"/>
      <c r="BF296" s="186"/>
      <c r="BG296" s="186"/>
      <c r="BH296" s="186"/>
      <c r="BI296" s="186"/>
      <c r="BJ296" s="186"/>
      <c r="BK296" s="186"/>
    </row>
    <row r="297" spans="1:63">
      <c r="A297" s="186"/>
      <c r="B297" s="186"/>
      <c r="C297" s="186"/>
      <c r="D297" s="186"/>
      <c r="E297" s="186"/>
      <c r="F297" s="186"/>
      <c r="G297" s="186"/>
      <c r="H297" s="186"/>
      <c r="I297" s="186"/>
      <c r="J297" s="186"/>
      <c r="K297" s="186"/>
      <c r="L297" s="186"/>
      <c r="M297" s="186"/>
      <c r="N297" s="186"/>
      <c r="O297" s="186"/>
      <c r="P297" s="186"/>
      <c r="Q297" s="186"/>
      <c r="R297" s="186"/>
      <c r="S297" s="186"/>
      <c r="T297" s="186"/>
      <c r="U297" s="186"/>
      <c r="V297" s="186"/>
      <c r="W297" s="186"/>
      <c r="X297" s="186"/>
      <c r="Y297" s="186"/>
      <c r="Z297" s="186"/>
      <c r="AA297" s="186"/>
      <c r="AB297" s="186"/>
      <c r="AC297" s="186"/>
      <c r="AD297" s="186"/>
      <c r="AE297" s="186"/>
      <c r="AF297" s="186"/>
      <c r="AG297" s="186"/>
      <c r="AH297" s="186"/>
      <c r="AI297" s="186"/>
      <c r="AJ297" s="186"/>
      <c r="AK297" s="186"/>
      <c r="AL297" s="186"/>
      <c r="AM297" s="186"/>
      <c r="AN297" s="186"/>
      <c r="AO297" s="186"/>
      <c r="AP297" s="186"/>
      <c r="AQ297" s="186"/>
      <c r="AR297" s="186"/>
      <c r="AS297" s="186"/>
      <c r="AT297" s="186"/>
      <c r="AU297" s="186"/>
      <c r="AV297" s="186"/>
      <c r="AW297" s="186"/>
      <c r="AX297" s="186"/>
      <c r="AY297" s="186"/>
      <c r="AZ297" s="186"/>
      <c r="BA297" s="186"/>
      <c r="BB297" s="186"/>
      <c r="BC297" s="186"/>
      <c r="BD297" s="186"/>
      <c r="BE297" s="186"/>
      <c r="BF297" s="186"/>
      <c r="BG297" s="186"/>
      <c r="BH297" s="186"/>
      <c r="BI297" s="186"/>
      <c r="BJ297" s="186"/>
      <c r="BK297" s="186"/>
    </row>
    <row r="298" spans="1:63">
      <c r="A298" s="186"/>
      <c r="B298" s="186"/>
      <c r="C298" s="186"/>
      <c r="D298" s="186"/>
      <c r="E298" s="186"/>
      <c r="F298" s="186"/>
      <c r="G298" s="186"/>
      <c r="H298" s="186"/>
      <c r="I298" s="186"/>
      <c r="J298" s="186"/>
      <c r="K298" s="186"/>
      <c r="L298" s="186"/>
      <c r="M298" s="186"/>
      <c r="N298" s="186"/>
      <c r="O298" s="186"/>
      <c r="P298" s="186"/>
      <c r="Q298" s="186"/>
      <c r="R298" s="186"/>
      <c r="S298" s="186"/>
      <c r="T298" s="186"/>
      <c r="U298" s="186"/>
      <c r="V298" s="186"/>
      <c r="W298" s="186"/>
      <c r="X298" s="186"/>
      <c r="Y298" s="186"/>
      <c r="Z298" s="186"/>
      <c r="AA298" s="186"/>
      <c r="AB298" s="186"/>
      <c r="AC298" s="186"/>
      <c r="AD298" s="186"/>
      <c r="AE298" s="186"/>
      <c r="AF298" s="186"/>
      <c r="AG298" s="186"/>
      <c r="AH298" s="186"/>
      <c r="AI298" s="186"/>
      <c r="AJ298" s="186"/>
      <c r="AK298" s="186"/>
      <c r="AL298" s="186"/>
      <c r="AM298" s="186"/>
      <c r="AN298" s="186"/>
      <c r="AO298" s="186"/>
      <c r="AP298" s="186"/>
      <c r="AQ298" s="186"/>
      <c r="AR298" s="186"/>
      <c r="AS298" s="186"/>
      <c r="AT298" s="186"/>
      <c r="AU298" s="186"/>
      <c r="AV298" s="186"/>
      <c r="AW298" s="186"/>
      <c r="AX298" s="186"/>
      <c r="AY298" s="186"/>
      <c r="AZ298" s="186"/>
      <c r="BA298" s="186"/>
      <c r="BB298" s="186"/>
      <c r="BC298" s="186"/>
      <c r="BD298" s="186"/>
      <c r="BE298" s="186"/>
      <c r="BF298" s="186"/>
      <c r="BG298" s="186"/>
      <c r="BH298" s="186"/>
      <c r="BI298" s="186"/>
      <c r="BJ298" s="186"/>
      <c r="BK298" s="186"/>
    </row>
    <row r="299" spans="1:63">
      <c r="A299" s="186"/>
      <c r="B299" s="186"/>
      <c r="C299" s="186"/>
      <c r="D299" s="186"/>
      <c r="E299" s="186"/>
      <c r="F299" s="186"/>
      <c r="G299" s="186"/>
      <c r="H299" s="186"/>
      <c r="I299" s="186"/>
      <c r="J299" s="186"/>
      <c r="K299" s="186"/>
      <c r="L299" s="186"/>
      <c r="M299" s="186"/>
      <c r="N299" s="186"/>
      <c r="O299" s="186"/>
      <c r="P299" s="186"/>
      <c r="Q299" s="186"/>
      <c r="R299" s="186"/>
      <c r="S299" s="186"/>
      <c r="T299" s="186"/>
      <c r="U299" s="186"/>
      <c r="V299" s="186"/>
      <c r="W299" s="186"/>
      <c r="X299" s="186"/>
      <c r="Y299" s="186"/>
      <c r="Z299" s="186"/>
      <c r="AA299" s="186"/>
      <c r="AB299" s="186"/>
      <c r="AC299" s="186"/>
      <c r="AD299" s="186"/>
      <c r="AE299" s="186"/>
      <c r="AF299" s="186"/>
      <c r="AG299" s="186"/>
      <c r="AH299" s="186"/>
      <c r="AI299" s="186"/>
      <c r="AJ299" s="186"/>
      <c r="AK299" s="186"/>
      <c r="AL299" s="186"/>
      <c r="AM299" s="186"/>
      <c r="AN299" s="186"/>
      <c r="AO299" s="186"/>
      <c r="AP299" s="186"/>
      <c r="AQ299" s="186"/>
      <c r="AR299" s="186"/>
      <c r="AS299" s="186"/>
      <c r="AT299" s="186"/>
      <c r="AU299" s="186"/>
      <c r="AV299" s="186"/>
      <c r="AW299" s="186"/>
      <c r="AX299" s="186"/>
      <c r="AY299" s="186"/>
      <c r="AZ299" s="186"/>
      <c r="BA299" s="186"/>
      <c r="BB299" s="186"/>
      <c r="BC299" s="186"/>
      <c r="BD299" s="186"/>
      <c r="BE299" s="186"/>
      <c r="BF299" s="186"/>
      <c r="BG299" s="186"/>
      <c r="BH299" s="186"/>
      <c r="BI299" s="186"/>
      <c r="BJ299" s="186"/>
      <c r="BK299" s="186"/>
    </row>
    <row r="300" spans="1:63">
      <c r="A300" s="186"/>
      <c r="B300" s="186"/>
      <c r="C300" s="186"/>
      <c r="D300" s="186"/>
      <c r="E300" s="186"/>
      <c r="F300" s="186"/>
      <c r="G300" s="186"/>
      <c r="H300" s="186"/>
      <c r="I300" s="186"/>
      <c r="J300" s="186"/>
      <c r="K300" s="186"/>
      <c r="L300" s="186"/>
      <c r="M300" s="186"/>
      <c r="N300" s="186"/>
      <c r="O300" s="186"/>
      <c r="P300" s="186"/>
      <c r="Q300" s="186"/>
      <c r="R300" s="186"/>
      <c r="S300" s="186"/>
      <c r="T300" s="186"/>
      <c r="U300" s="186"/>
      <c r="V300" s="186"/>
      <c r="W300" s="186"/>
      <c r="X300" s="186"/>
      <c r="Y300" s="186"/>
      <c r="Z300" s="186"/>
      <c r="AA300" s="186"/>
      <c r="AB300" s="186"/>
      <c r="AC300" s="186"/>
      <c r="AD300" s="186"/>
      <c r="AE300" s="186"/>
      <c r="AF300" s="186"/>
      <c r="AG300" s="186"/>
      <c r="AH300" s="186"/>
      <c r="AI300" s="186"/>
      <c r="AJ300" s="186"/>
      <c r="AK300" s="186"/>
      <c r="AL300" s="186"/>
      <c r="AM300" s="186"/>
      <c r="AN300" s="186"/>
      <c r="AO300" s="186"/>
      <c r="AP300" s="186"/>
      <c r="AQ300" s="186"/>
      <c r="AR300" s="186"/>
      <c r="AS300" s="186"/>
      <c r="AT300" s="186"/>
      <c r="AU300" s="186"/>
      <c r="AV300" s="186"/>
      <c r="AW300" s="186"/>
      <c r="AX300" s="186"/>
      <c r="AY300" s="186"/>
      <c r="AZ300" s="186"/>
      <c r="BA300" s="186"/>
      <c r="BB300" s="186"/>
      <c r="BC300" s="186"/>
      <c r="BD300" s="186"/>
      <c r="BE300" s="186"/>
      <c r="BF300" s="186"/>
      <c r="BG300" s="186"/>
      <c r="BH300" s="186"/>
      <c r="BI300" s="186"/>
      <c r="BJ300" s="186"/>
      <c r="BK300" s="186"/>
    </row>
    <row r="301" spans="1:63">
      <c r="A301" s="186"/>
      <c r="B301" s="186"/>
      <c r="C301" s="186"/>
      <c r="D301" s="186"/>
      <c r="E301" s="186"/>
      <c r="F301" s="186"/>
      <c r="G301" s="186"/>
      <c r="H301" s="186"/>
      <c r="I301" s="186"/>
      <c r="J301" s="186"/>
      <c r="K301" s="186"/>
      <c r="L301" s="186"/>
      <c r="M301" s="186"/>
      <c r="N301" s="186"/>
      <c r="O301" s="186"/>
      <c r="P301" s="186"/>
      <c r="Q301" s="186"/>
      <c r="R301" s="186"/>
      <c r="S301" s="186"/>
      <c r="T301" s="186"/>
      <c r="U301" s="186"/>
      <c r="V301" s="186"/>
      <c r="W301" s="186"/>
      <c r="X301" s="186"/>
      <c r="Y301" s="186"/>
      <c r="Z301" s="186"/>
      <c r="AA301" s="186"/>
      <c r="AB301" s="186"/>
      <c r="AC301" s="186"/>
      <c r="AD301" s="186"/>
      <c r="AE301" s="186"/>
      <c r="AF301" s="186"/>
      <c r="AG301" s="186"/>
      <c r="AH301" s="186"/>
      <c r="AI301" s="186"/>
      <c r="AJ301" s="186"/>
      <c r="AK301" s="186"/>
      <c r="AL301" s="186"/>
      <c r="AM301" s="186"/>
      <c r="AN301" s="186"/>
      <c r="AO301" s="186"/>
      <c r="AP301" s="186"/>
      <c r="AQ301" s="186"/>
      <c r="AR301" s="186"/>
      <c r="AS301" s="186"/>
      <c r="AT301" s="186"/>
      <c r="AU301" s="186"/>
      <c r="AV301" s="186"/>
      <c r="AW301" s="186"/>
      <c r="AX301" s="186"/>
      <c r="AY301" s="186"/>
      <c r="AZ301" s="186"/>
      <c r="BA301" s="186"/>
      <c r="BB301" s="186"/>
      <c r="BC301" s="186"/>
      <c r="BD301" s="186"/>
      <c r="BE301" s="186"/>
      <c r="BF301" s="186"/>
      <c r="BG301" s="186"/>
      <c r="BH301" s="186"/>
      <c r="BI301" s="186"/>
      <c r="BJ301" s="186"/>
      <c r="BK301" s="186"/>
    </row>
    <row r="302" spans="1:63">
      <c r="A302" s="186"/>
      <c r="B302" s="186"/>
      <c r="C302" s="186"/>
      <c r="D302" s="186"/>
      <c r="E302" s="186"/>
      <c r="F302" s="186"/>
      <c r="G302" s="186"/>
      <c r="H302" s="186"/>
      <c r="I302" s="186"/>
      <c r="J302" s="186"/>
      <c r="K302" s="186"/>
      <c r="L302" s="186"/>
      <c r="M302" s="186"/>
      <c r="N302" s="186"/>
      <c r="O302" s="186"/>
      <c r="P302" s="186"/>
      <c r="Q302" s="186"/>
      <c r="R302" s="186"/>
      <c r="S302" s="186"/>
      <c r="T302" s="186"/>
      <c r="U302" s="186"/>
      <c r="V302" s="186"/>
      <c r="W302" s="186"/>
      <c r="X302" s="186"/>
      <c r="Y302" s="186"/>
      <c r="Z302" s="186"/>
      <c r="AA302" s="186"/>
      <c r="AB302" s="186"/>
      <c r="AC302" s="186"/>
      <c r="AD302" s="186"/>
      <c r="AE302" s="186"/>
      <c r="AF302" s="186"/>
      <c r="AG302" s="186"/>
      <c r="AH302" s="186"/>
      <c r="AI302" s="186"/>
      <c r="AJ302" s="186"/>
      <c r="AK302" s="186"/>
      <c r="AL302" s="186"/>
      <c r="AM302" s="186"/>
      <c r="AN302" s="186"/>
      <c r="AO302" s="186"/>
      <c r="AP302" s="186"/>
      <c r="AQ302" s="186"/>
      <c r="AR302" s="186"/>
      <c r="AS302" s="186"/>
      <c r="AT302" s="186"/>
      <c r="AU302" s="186"/>
      <c r="AV302" s="186"/>
      <c r="AW302" s="186"/>
      <c r="AX302" s="186"/>
      <c r="AY302" s="186"/>
      <c r="AZ302" s="186"/>
      <c r="BA302" s="186"/>
      <c r="BB302" s="186"/>
      <c r="BC302" s="186"/>
      <c r="BD302" s="186"/>
      <c r="BE302" s="186"/>
      <c r="BF302" s="186"/>
      <c r="BG302" s="186"/>
      <c r="BH302" s="186"/>
      <c r="BI302" s="186"/>
      <c r="BJ302" s="186"/>
      <c r="BK302" s="186"/>
    </row>
    <row r="303" spans="1:63">
      <c r="A303" s="186"/>
      <c r="B303" s="186"/>
      <c r="C303" s="186"/>
      <c r="D303" s="186"/>
      <c r="E303" s="186"/>
      <c r="F303" s="186"/>
      <c r="G303" s="186"/>
      <c r="H303" s="186"/>
      <c r="I303" s="186"/>
      <c r="J303" s="186"/>
      <c r="K303" s="186"/>
      <c r="L303" s="186"/>
      <c r="M303" s="186"/>
      <c r="N303" s="186"/>
      <c r="O303" s="186"/>
      <c r="P303" s="186"/>
      <c r="Q303" s="186"/>
      <c r="R303" s="186"/>
      <c r="S303" s="186"/>
      <c r="T303" s="186"/>
      <c r="U303" s="186"/>
      <c r="V303" s="186"/>
      <c r="W303" s="186"/>
      <c r="X303" s="186"/>
      <c r="Y303" s="186"/>
      <c r="Z303" s="186"/>
      <c r="AA303" s="186"/>
      <c r="AB303" s="186"/>
      <c r="AC303" s="186"/>
      <c r="AD303" s="186"/>
      <c r="AE303" s="186"/>
      <c r="AF303" s="186"/>
      <c r="AG303" s="186"/>
      <c r="AH303" s="186"/>
      <c r="AI303" s="186"/>
      <c r="AJ303" s="186"/>
      <c r="AK303" s="186"/>
      <c r="AL303" s="186"/>
      <c r="AM303" s="186"/>
      <c r="AN303" s="186"/>
      <c r="AO303" s="186"/>
      <c r="AP303" s="186"/>
      <c r="AQ303" s="186"/>
      <c r="AR303" s="186"/>
      <c r="AS303" s="186"/>
      <c r="AT303" s="186"/>
      <c r="AU303" s="186"/>
      <c r="AV303" s="186"/>
      <c r="AW303" s="186"/>
      <c r="AX303" s="186"/>
      <c r="AY303" s="186"/>
      <c r="AZ303" s="186"/>
      <c r="BA303" s="186"/>
      <c r="BB303" s="186"/>
      <c r="BC303" s="186"/>
      <c r="BD303" s="186"/>
      <c r="BE303" s="186"/>
      <c r="BF303" s="186"/>
      <c r="BG303" s="186"/>
      <c r="BH303" s="186"/>
      <c r="BI303" s="186"/>
      <c r="BJ303" s="186"/>
      <c r="BK303" s="186"/>
    </row>
    <row r="304" spans="1:63">
      <c r="A304" s="186"/>
      <c r="B304" s="186"/>
      <c r="C304" s="186"/>
      <c r="D304" s="186"/>
      <c r="E304" s="186"/>
      <c r="F304" s="186"/>
      <c r="G304" s="186"/>
      <c r="H304" s="186"/>
      <c r="I304" s="186"/>
      <c r="J304" s="186"/>
      <c r="K304" s="186"/>
      <c r="L304" s="186"/>
      <c r="M304" s="186"/>
      <c r="N304" s="186"/>
      <c r="O304" s="186"/>
      <c r="P304" s="186"/>
      <c r="Q304" s="186"/>
      <c r="R304" s="186"/>
      <c r="S304" s="186"/>
      <c r="T304" s="186"/>
      <c r="U304" s="186"/>
      <c r="V304" s="186"/>
      <c r="W304" s="186"/>
      <c r="X304" s="186"/>
      <c r="Y304" s="186"/>
      <c r="Z304" s="186"/>
      <c r="AA304" s="186"/>
      <c r="AB304" s="186"/>
      <c r="AC304" s="186"/>
      <c r="AD304" s="186"/>
      <c r="AE304" s="186"/>
      <c r="AF304" s="186"/>
      <c r="AG304" s="186"/>
      <c r="AH304" s="186"/>
      <c r="AI304" s="186"/>
      <c r="AJ304" s="186"/>
      <c r="AK304" s="186"/>
      <c r="AL304" s="186"/>
      <c r="AM304" s="186"/>
      <c r="AN304" s="186"/>
      <c r="AO304" s="186"/>
      <c r="AP304" s="186"/>
      <c r="AQ304" s="186"/>
      <c r="AR304" s="186"/>
      <c r="AS304" s="186"/>
      <c r="AT304" s="186"/>
      <c r="AU304" s="186"/>
      <c r="AV304" s="186"/>
      <c r="AW304" s="186"/>
      <c r="AX304" s="186"/>
      <c r="AY304" s="186"/>
      <c r="AZ304" s="186"/>
      <c r="BA304" s="186"/>
      <c r="BB304" s="186"/>
      <c r="BC304" s="186"/>
      <c r="BD304" s="186"/>
      <c r="BE304" s="186"/>
      <c r="BF304" s="186"/>
      <c r="BG304" s="186"/>
      <c r="BH304" s="186"/>
      <c r="BI304" s="186"/>
      <c r="BJ304" s="186"/>
      <c r="BK304" s="186"/>
    </row>
    <row r="305" spans="1:63">
      <c r="A305" s="186"/>
      <c r="B305" s="186"/>
      <c r="C305" s="186"/>
      <c r="D305" s="186"/>
      <c r="E305" s="186"/>
      <c r="F305" s="186"/>
      <c r="G305" s="186"/>
      <c r="H305" s="186"/>
      <c r="I305" s="186"/>
      <c r="J305" s="186"/>
      <c r="K305" s="186"/>
      <c r="L305" s="186"/>
      <c r="M305" s="186"/>
      <c r="N305" s="186"/>
      <c r="O305" s="186"/>
      <c r="P305" s="186"/>
      <c r="Q305" s="186"/>
      <c r="R305" s="186"/>
      <c r="S305" s="186"/>
      <c r="T305" s="186"/>
      <c r="U305" s="186"/>
      <c r="V305" s="186"/>
      <c r="W305" s="186"/>
      <c r="X305" s="186"/>
      <c r="Y305" s="186"/>
      <c r="Z305" s="186"/>
      <c r="AA305" s="186"/>
      <c r="AB305" s="186"/>
      <c r="AC305" s="186"/>
      <c r="AD305" s="186"/>
      <c r="AE305" s="186"/>
      <c r="AF305" s="186"/>
      <c r="AG305" s="186"/>
      <c r="AH305" s="186"/>
      <c r="AI305" s="186"/>
      <c r="AJ305" s="186"/>
      <c r="AK305" s="186"/>
      <c r="AL305" s="186"/>
      <c r="AM305" s="186"/>
      <c r="AN305" s="186"/>
      <c r="AO305" s="186"/>
      <c r="AP305" s="186"/>
      <c r="AQ305" s="186"/>
      <c r="AR305" s="186"/>
      <c r="AS305" s="186"/>
      <c r="AT305" s="186"/>
      <c r="AU305" s="186"/>
      <c r="AV305" s="186"/>
      <c r="AW305" s="186"/>
      <c r="AX305" s="186"/>
      <c r="AY305" s="186"/>
      <c r="AZ305" s="186"/>
      <c r="BA305" s="186"/>
      <c r="BB305" s="186"/>
      <c r="BC305" s="186"/>
      <c r="BD305" s="186"/>
      <c r="BE305" s="186"/>
      <c r="BF305" s="186"/>
      <c r="BG305" s="186"/>
      <c r="BH305" s="186"/>
      <c r="BI305" s="186"/>
      <c r="BJ305" s="186"/>
      <c r="BK305" s="186"/>
    </row>
    <row r="306" spans="1:63">
      <c r="A306" s="186"/>
      <c r="B306" s="186"/>
      <c r="C306" s="186"/>
      <c r="D306" s="186"/>
      <c r="E306" s="186"/>
      <c r="F306" s="186"/>
      <c r="G306" s="186"/>
      <c r="H306" s="186"/>
      <c r="I306" s="186"/>
      <c r="J306" s="186"/>
      <c r="K306" s="186"/>
      <c r="L306" s="186"/>
      <c r="M306" s="186"/>
      <c r="N306" s="186"/>
      <c r="O306" s="186"/>
      <c r="P306" s="186"/>
      <c r="Q306" s="186"/>
      <c r="R306" s="186"/>
      <c r="S306" s="186"/>
      <c r="T306" s="186"/>
      <c r="U306" s="186"/>
      <c r="V306" s="186"/>
      <c r="W306" s="186"/>
      <c r="X306" s="186"/>
      <c r="Y306" s="186"/>
      <c r="Z306" s="186"/>
      <c r="AA306" s="186"/>
      <c r="AB306" s="186"/>
      <c r="AC306" s="186"/>
      <c r="AD306" s="186"/>
      <c r="AE306" s="186"/>
      <c r="AF306" s="186"/>
      <c r="AG306" s="186"/>
      <c r="AH306" s="186"/>
      <c r="AI306" s="186"/>
      <c r="AJ306" s="186"/>
      <c r="AK306" s="186"/>
      <c r="AL306" s="186"/>
      <c r="AM306" s="186"/>
      <c r="AN306" s="186"/>
      <c r="AO306" s="186"/>
      <c r="AP306" s="186"/>
      <c r="AQ306" s="186"/>
      <c r="AR306" s="186"/>
      <c r="AS306" s="186"/>
      <c r="AT306" s="186"/>
      <c r="AU306" s="186"/>
      <c r="AV306" s="186"/>
      <c r="AW306" s="186"/>
      <c r="AX306" s="186"/>
      <c r="AY306" s="186"/>
      <c r="AZ306" s="186"/>
      <c r="BA306" s="186"/>
      <c r="BB306" s="186"/>
      <c r="BC306" s="186"/>
      <c r="BD306" s="186"/>
      <c r="BE306" s="186"/>
      <c r="BF306" s="186"/>
      <c r="BG306" s="186"/>
      <c r="BH306" s="186"/>
      <c r="BI306" s="186"/>
      <c r="BJ306" s="186"/>
      <c r="BK306" s="186"/>
    </row>
    <row r="307" spans="1:63">
      <c r="A307" s="186"/>
      <c r="B307" s="186"/>
      <c r="C307" s="186"/>
      <c r="D307" s="186"/>
      <c r="E307" s="186"/>
      <c r="F307" s="186"/>
      <c r="G307" s="186"/>
      <c r="H307" s="186"/>
      <c r="I307" s="186"/>
      <c r="J307" s="186"/>
      <c r="K307" s="186"/>
      <c r="L307" s="186"/>
      <c r="M307" s="186"/>
      <c r="N307" s="186"/>
      <c r="O307" s="186"/>
      <c r="P307" s="186"/>
      <c r="Q307" s="186"/>
      <c r="R307" s="186"/>
      <c r="S307" s="186"/>
      <c r="T307" s="186"/>
      <c r="U307" s="186"/>
      <c r="V307" s="186"/>
      <c r="W307" s="186"/>
      <c r="X307" s="186"/>
      <c r="Y307" s="186"/>
      <c r="Z307" s="186"/>
      <c r="AA307" s="186"/>
      <c r="AB307" s="186"/>
      <c r="AC307" s="186"/>
      <c r="AD307" s="186"/>
      <c r="AE307" s="186"/>
      <c r="AF307" s="186"/>
      <c r="AG307" s="186"/>
      <c r="AH307" s="186"/>
      <c r="AI307" s="186"/>
      <c r="AJ307" s="186"/>
      <c r="AK307" s="186"/>
      <c r="AL307" s="186"/>
      <c r="AM307" s="186"/>
      <c r="AN307" s="186"/>
      <c r="AO307" s="186"/>
      <c r="AP307" s="186"/>
      <c r="AQ307" s="186"/>
      <c r="AR307" s="186"/>
      <c r="AS307" s="186"/>
      <c r="AT307" s="186"/>
      <c r="AU307" s="186"/>
      <c r="AV307" s="186"/>
      <c r="AW307" s="186"/>
      <c r="AX307" s="186"/>
      <c r="AY307" s="186"/>
      <c r="AZ307" s="186"/>
      <c r="BA307" s="186"/>
      <c r="BB307" s="186"/>
      <c r="BC307" s="186"/>
      <c r="BD307" s="186"/>
      <c r="BE307" s="186"/>
      <c r="BF307" s="186"/>
      <c r="BG307" s="186"/>
      <c r="BH307" s="186"/>
      <c r="BI307" s="186"/>
      <c r="BJ307" s="186"/>
      <c r="BK307" s="186"/>
    </row>
    <row r="308" spans="1:63">
      <c r="A308" s="186"/>
      <c r="B308" s="186"/>
      <c r="C308" s="186"/>
      <c r="D308" s="186"/>
      <c r="E308" s="186"/>
      <c r="F308" s="186"/>
      <c r="G308" s="186"/>
      <c r="H308" s="186"/>
      <c r="I308" s="186"/>
      <c r="J308" s="186"/>
      <c r="K308" s="186"/>
      <c r="L308" s="186"/>
      <c r="M308" s="186"/>
      <c r="N308" s="186"/>
      <c r="O308" s="186"/>
      <c r="P308" s="186"/>
      <c r="Q308" s="186"/>
      <c r="R308" s="186"/>
      <c r="S308" s="186"/>
      <c r="T308" s="186"/>
      <c r="U308" s="186"/>
      <c r="V308" s="186"/>
      <c r="W308" s="186"/>
      <c r="X308" s="186"/>
      <c r="Y308" s="186"/>
      <c r="Z308" s="186"/>
      <c r="AA308" s="186"/>
      <c r="AB308" s="186"/>
      <c r="AC308" s="186"/>
      <c r="AD308" s="186"/>
      <c r="AE308" s="186"/>
      <c r="AF308" s="186"/>
      <c r="AG308" s="186"/>
      <c r="AH308" s="186"/>
      <c r="AI308" s="186"/>
      <c r="AJ308" s="186"/>
      <c r="AK308" s="186"/>
      <c r="AL308" s="186"/>
      <c r="AM308" s="186"/>
      <c r="AN308" s="186"/>
      <c r="AO308" s="186"/>
      <c r="AP308" s="186"/>
      <c r="AQ308" s="186"/>
      <c r="AR308" s="186"/>
      <c r="AS308" s="186"/>
      <c r="AT308" s="186"/>
      <c r="AU308" s="186"/>
      <c r="AV308" s="186"/>
      <c r="AW308" s="186"/>
      <c r="AX308" s="186"/>
      <c r="AY308" s="186"/>
      <c r="AZ308" s="186"/>
      <c r="BA308" s="186"/>
      <c r="BB308" s="186"/>
      <c r="BC308" s="186"/>
      <c r="BD308" s="186"/>
      <c r="BE308" s="186"/>
      <c r="BF308" s="186"/>
      <c r="BG308" s="186"/>
      <c r="BH308" s="186"/>
      <c r="BI308" s="186"/>
      <c r="BJ308" s="186"/>
      <c r="BK308" s="186"/>
    </row>
    <row r="309" spans="1:63">
      <c r="A309" s="186"/>
      <c r="B309" s="186"/>
      <c r="C309" s="186"/>
      <c r="D309" s="186"/>
      <c r="E309" s="186"/>
      <c r="F309" s="186"/>
      <c r="G309" s="186"/>
      <c r="H309" s="186"/>
      <c r="I309" s="186"/>
      <c r="J309" s="186"/>
      <c r="K309" s="186"/>
      <c r="L309" s="186"/>
      <c r="M309" s="186"/>
      <c r="N309" s="186"/>
      <c r="O309" s="186"/>
      <c r="P309" s="186"/>
      <c r="Q309" s="186"/>
      <c r="R309" s="186"/>
      <c r="S309" s="186"/>
      <c r="T309" s="186"/>
      <c r="U309" s="186"/>
      <c r="V309" s="186"/>
      <c r="W309" s="186"/>
      <c r="X309" s="186"/>
      <c r="Y309" s="186"/>
      <c r="Z309" s="186"/>
      <c r="AA309" s="186"/>
      <c r="AB309" s="186"/>
      <c r="AC309" s="186"/>
      <c r="AD309" s="186"/>
      <c r="AE309" s="186"/>
      <c r="AF309" s="186"/>
      <c r="AG309" s="186"/>
      <c r="AH309" s="186"/>
      <c r="AI309" s="186"/>
      <c r="AJ309" s="186"/>
      <c r="AK309" s="186"/>
      <c r="AL309" s="186"/>
      <c r="AM309" s="186"/>
      <c r="AN309" s="186"/>
      <c r="AO309" s="186"/>
      <c r="AP309" s="186"/>
      <c r="AQ309" s="186"/>
      <c r="AR309" s="186"/>
      <c r="AS309" s="186"/>
      <c r="AT309" s="186"/>
      <c r="AU309" s="186"/>
      <c r="AV309" s="186"/>
      <c r="AW309" s="186"/>
      <c r="AX309" s="186"/>
      <c r="AY309" s="186"/>
      <c r="AZ309" s="186"/>
      <c r="BA309" s="186"/>
      <c r="BB309" s="186"/>
      <c r="BC309" s="186"/>
      <c r="BD309" s="186"/>
      <c r="BE309" s="186"/>
      <c r="BF309" s="186"/>
      <c r="BG309" s="186"/>
      <c r="BH309" s="186"/>
      <c r="BI309" s="186"/>
      <c r="BJ309" s="186"/>
      <c r="BK309" s="186"/>
    </row>
    <row r="310" spans="1:63">
      <c r="A310" s="186"/>
      <c r="B310" s="186"/>
      <c r="C310" s="186"/>
      <c r="D310" s="186"/>
      <c r="E310" s="186"/>
      <c r="F310" s="186"/>
      <c r="G310" s="186"/>
      <c r="H310" s="186"/>
      <c r="I310" s="186"/>
      <c r="J310" s="186"/>
      <c r="K310" s="186"/>
      <c r="L310" s="186"/>
      <c r="M310" s="186"/>
      <c r="N310" s="186"/>
      <c r="O310" s="186"/>
      <c r="P310" s="186"/>
      <c r="Q310" s="186"/>
      <c r="R310" s="186"/>
      <c r="S310" s="186"/>
      <c r="T310" s="186"/>
      <c r="U310" s="186"/>
      <c r="V310" s="186"/>
      <c r="W310" s="186"/>
      <c r="X310" s="186"/>
      <c r="Y310" s="186"/>
      <c r="Z310" s="186"/>
      <c r="AA310" s="186"/>
      <c r="AB310" s="186"/>
      <c r="AC310" s="186"/>
      <c r="AD310" s="186"/>
      <c r="AE310" s="186"/>
      <c r="AF310" s="186"/>
      <c r="AG310" s="186"/>
      <c r="AH310" s="186"/>
      <c r="AI310" s="186"/>
      <c r="AJ310" s="186"/>
      <c r="AK310" s="186"/>
      <c r="AL310" s="186"/>
      <c r="AM310" s="186"/>
      <c r="AN310" s="186"/>
      <c r="AO310" s="186"/>
      <c r="AP310" s="186"/>
      <c r="AQ310" s="186"/>
      <c r="AR310" s="186"/>
      <c r="AS310" s="186"/>
      <c r="AT310" s="186"/>
      <c r="AU310" s="186"/>
      <c r="AV310" s="186"/>
      <c r="AW310" s="186"/>
      <c r="AX310" s="186"/>
      <c r="AY310" s="186"/>
      <c r="AZ310" s="186"/>
      <c r="BA310" s="186"/>
      <c r="BB310" s="186"/>
      <c r="BC310" s="186"/>
      <c r="BD310" s="186"/>
      <c r="BE310" s="186"/>
      <c r="BF310" s="186"/>
      <c r="BG310" s="186"/>
      <c r="BH310" s="186"/>
      <c r="BI310" s="186"/>
      <c r="BJ310" s="186"/>
      <c r="BK310" s="186"/>
    </row>
    <row r="311" spans="1:63">
      <c r="A311" s="186"/>
      <c r="B311" s="186"/>
      <c r="C311" s="186"/>
      <c r="D311" s="186"/>
      <c r="E311" s="186"/>
      <c r="F311" s="186"/>
      <c r="G311" s="186"/>
      <c r="H311" s="186"/>
      <c r="I311" s="186"/>
      <c r="J311" s="186"/>
      <c r="K311" s="186"/>
      <c r="L311" s="186"/>
      <c r="M311" s="186"/>
      <c r="N311" s="186"/>
      <c r="O311" s="186"/>
      <c r="P311" s="186"/>
      <c r="Q311" s="186"/>
      <c r="R311" s="186"/>
      <c r="S311" s="186"/>
      <c r="T311" s="186"/>
      <c r="U311" s="186"/>
      <c r="V311" s="186"/>
      <c r="W311" s="186"/>
      <c r="X311" s="186"/>
      <c r="Y311" s="186"/>
      <c r="Z311" s="186"/>
      <c r="AA311" s="186"/>
      <c r="AB311" s="186"/>
      <c r="AC311" s="186"/>
      <c r="AD311" s="186"/>
      <c r="AE311" s="186"/>
      <c r="AF311" s="186"/>
      <c r="AG311" s="186"/>
      <c r="AH311" s="186"/>
      <c r="AI311" s="186"/>
      <c r="AJ311" s="186"/>
      <c r="AK311" s="186"/>
      <c r="AL311" s="186"/>
      <c r="AM311" s="186"/>
      <c r="AN311" s="186"/>
      <c r="AO311" s="186"/>
      <c r="AP311" s="186"/>
      <c r="AQ311" s="186"/>
      <c r="AR311" s="186"/>
      <c r="AS311" s="186"/>
      <c r="AT311" s="186"/>
      <c r="AU311" s="186"/>
      <c r="AV311" s="186"/>
      <c r="AW311" s="186"/>
      <c r="AX311" s="186"/>
      <c r="AY311" s="186"/>
      <c r="AZ311" s="186"/>
      <c r="BA311" s="186"/>
      <c r="BB311" s="186"/>
      <c r="BC311" s="186"/>
      <c r="BD311" s="186"/>
      <c r="BE311" s="186"/>
      <c r="BF311" s="186"/>
      <c r="BG311" s="186"/>
      <c r="BH311" s="186"/>
      <c r="BI311" s="186"/>
      <c r="BJ311" s="186"/>
      <c r="BK311" s="186"/>
    </row>
    <row r="312" spans="1:63">
      <c r="A312" s="186"/>
      <c r="B312" s="186"/>
      <c r="C312" s="186"/>
      <c r="D312" s="186"/>
      <c r="E312" s="186"/>
      <c r="F312" s="186"/>
      <c r="G312" s="186"/>
      <c r="H312" s="186"/>
      <c r="I312" s="186"/>
      <c r="J312" s="186"/>
      <c r="K312" s="186"/>
      <c r="L312" s="186"/>
      <c r="M312" s="186"/>
      <c r="N312" s="186"/>
      <c r="O312" s="186"/>
      <c r="P312" s="186"/>
      <c r="Q312" s="186"/>
      <c r="R312" s="186"/>
      <c r="S312" s="186"/>
      <c r="T312" s="186"/>
      <c r="U312" s="186"/>
      <c r="V312" s="186"/>
      <c r="W312" s="186"/>
      <c r="X312" s="186"/>
      <c r="Y312" s="186"/>
      <c r="Z312" s="186"/>
      <c r="AA312" s="186"/>
      <c r="AB312" s="186"/>
      <c r="AC312" s="186"/>
      <c r="AD312" s="186"/>
      <c r="AE312" s="186"/>
      <c r="AF312" s="186"/>
      <c r="AG312" s="186"/>
      <c r="AH312" s="186"/>
      <c r="AI312" s="186"/>
      <c r="AJ312" s="186"/>
      <c r="AK312" s="186"/>
      <c r="AL312" s="186"/>
      <c r="AM312" s="186"/>
      <c r="AN312" s="186"/>
      <c r="AO312" s="186"/>
      <c r="AP312" s="186"/>
      <c r="AQ312" s="186"/>
      <c r="AR312" s="186"/>
      <c r="AS312" s="186"/>
      <c r="AT312" s="186"/>
      <c r="AU312" s="186"/>
      <c r="AV312" s="186"/>
      <c r="AW312" s="186"/>
      <c r="AX312" s="186"/>
      <c r="AY312" s="186"/>
      <c r="AZ312" s="186"/>
      <c r="BA312" s="186"/>
      <c r="BB312" s="186"/>
      <c r="BC312" s="186"/>
      <c r="BD312" s="186"/>
      <c r="BE312" s="186"/>
      <c r="BF312" s="186"/>
      <c r="BG312" s="186"/>
      <c r="BH312" s="186"/>
      <c r="BI312" s="186"/>
      <c r="BJ312" s="186"/>
      <c r="BK312" s="186"/>
    </row>
    <row r="313" spans="1:63">
      <c r="A313" s="186"/>
      <c r="B313" s="186"/>
      <c r="C313" s="186"/>
      <c r="D313" s="186"/>
      <c r="E313" s="186"/>
      <c r="F313" s="186"/>
      <c r="G313" s="186"/>
      <c r="H313" s="186"/>
      <c r="I313" s="186"/>
      <c r="J313" s="186"/>
      <c r="K313" s="186"/>
      <c r="L313" s="186"/>
      <c r="M313" s="186"/>
      <c r="N313" s="186"/>
      <c r="O313" s="186"/>
      <c r="P313" s="186"/>
      <c r="Q313" s="186"/>
      <c r="R313" s="186"/>
      <c r="S313" s="186"/>
      <c r="T313" s="186"/>
      <c r="U313" s="186"/>
      <c r="V313" s="186"/>
      <c r="W313" s="186"/>
      <c r="X313" s="186"/>
      <c r="Y313" s="186"/>
      <c r="Z313" s="186"/>
      <c r="AA313" s="186"/>
      <c r="AB313" s="186"/>
      <c r="AC313" s="186"/>
      <c r="AD313" s="186"/>
      <c r="AE313" s="186"/>
      <c r="AF313" s="186"/>
      <c r="AG313" s="186"/>
      <c r="AH313" s="186"/>
      <c r="AI313" s="186"/>
      <c r="AJ313" s="186"/>
      <c r="AK313" s="186"/>
      <c r="AL313" s="186"/>
      <c r="AM313" s="186"/>
      <c r="AN313" s="186"/>
      <c r="AO313" s="186"/>
      <c r="AP313" s="186"/>
      <c r="AQ313" s="186"/>
      <c r="AR313" s="186"/>
      <c r="AS313" s="186"/>
      <c r="AT313" s="186"/>
      <c r="AU313" s="186"/>
      <c r="AV313" s="186"/>
      <c r="AW313" s="186"/>
      <c r="AX313" s="186"/>
      <c r="AY313" s="186"/>
      <c r="AZ313" s="186"/>
      <c r="BA313" s="186"/>
      <c r="BB313" s="186"/>
      <c r="BC313" s="186"/>
      <c r="BD313" s="186"/>
      <c r="BE313" s="186"/>
      <c r="BF313" s="186"/>
      <c r="BG313" s="186"/>
      <c r="BH313" s="186"/>
      <c r="BI313" s="186"/>
      <c r="BJ313" s="186"/>
      <c r="BK313" s="186"/>
    </row>
    <row r="314" spans="1:63">
      <c r="A314" s="186"/>
      <c r="B314" s="186"/>
      <c r="C314" s="186"/>
      <c r="D314" s="186"/>
      <c r="E314" s="186"/>
      <c r="F314" s="186"/>
      <c r="G314" s="186"/>
      <c r="H314" s="186"/>
      <c r="I314" s="186"/>
      <c r="J314" s="186"/>
      <c r="K314" s="186"/>
      <c r="L314" s="186"/>
      <c r="M314" s="186"/>
      <c r="N314" s="186"/>
      <c r="O314" s="186"/>
      <c r="P314" s="186"/>
      <c r="Q314" s="186"/>
      <c r="R314" s="186"/>
      <c r="S314" s="186"/>
      <c r="T314" s="186"/>
      <c r="U314" s="186"/>
      <c r="V314" s="186"/>
      <c r="W314" s="186"/>
      <c r="X314" s="186"/>
      <c r="Y314" s="186"/>
      <c r="Z314" s="186"/>
      <c r="AA314" s="186"/>
      <c r="AB314" s="186"/>
      <c r="AC314" s="186"/>
      <c r="AD314" s="186"/>
      <c r="AE314" s="186"/>
      <c r="AF314" s="186"/>
      <c r="AG314" s="186"/>
      <c r="AH314" s="186"/>
      <c r="AI314" s="186"/>
      <c r="AJ314" s="186"/>
      <c r="AK314" s="186"/>
      <c r="AL314" s="186"/>
      <c r="AM314" s="186"/>
      <c r="AN314" s="186"/>
      <c r="AO314" s="186"/>
      <c r="AP314" s="186"/>
      <c r="AQ314" s="186"/>
      <c r="AR314" s="186"/>
      <c r="AS314" s="186"/>
      <c r="AT314" s="186"/>
      <c r="AU314" s="186"/>
      <c r="AV314" s="186"/>
      <c r="AW314" s="186"/>
      <c r="AX314" s="186"/>
      <c r="AY314" s="186"/>
      <c r="AZ314" s="186"/>
      <c r="BA314" s="186"/>
      <c r="BB314" s="186"/>
      <c r="BC314" s="186"/>
      <c r="BD314" s="186"/>
      <c r="BE314" s="186"/>
      <c r="BF314" s="186"/>
      <c r="BG314" s="186"/>
      <c r="BH314" s="186"/>
      <c r="BI314" s="186"/>
      <c r="BJ314" s="186"/>
      <c r="BK314" s="186"/>
    </row>
    <row r="315" spans="1:63">
      <c r="A315" s="186"/>
      <c r="B315" s="186"/>
      <c r="C315" s="186"/>
      <c r="D315" s="186"/>
      <c r="E315" s="186"/>
      <c r="F315" s="186"/>
      <c r="G315" s="186"/>
      <c r="H315" s="186"/>
      <c r="I315" s="186"/>
      <c r="J315" s="186"/>
      <c r="K315" s="186"/>
      <c r="L315" s="186"/>
      <c r="M315" s="186"/>
      <c r="N315" s="186"/>
      <c r="O315" s="186"/>
      <c r="P315" s="186"/>
      <c r="Q315" s="186"/>
      <c r="R315" s="186"/>
      <c r="S315" s="186"/>
      <c r="T315" s="186"/>
      <c r="U315" s="186"/>
      <c r="V315" s="186"/>
      <c r="W315" s="186"/>
      <c r="X315" s="186"/>
      <c r="Y315" s="186"/>
      <c r="Z315" s="186"/>
      <c r="AA315" s="186"/>
      <c r="AB315" s="186"/>
      <c r="AC315" s="186"/>
      <c r="AD315" s="186"/>
      <c r="AE315" s="186"/>
      <c r="AF315" s="186"/>
      <c r="AG315" s="186"/>
      <c r="AH315" s="186"/>
      <c r="AI315" s="186"/>
      <c r="AJ315" s="186"/>
      <c r="AK315" s="186"/>
      <c r="AL315" s="186"/>
      <c r="AM315" s="186"/>
      <c r="AN315" s="186"/>
      <c r="AO315" s="186"/>
      <c r="AP315" s="186"/>
      <c r="AQ315" s="186"/>
      <c r="AR315" s="186"/>
      <c r="AS315" s="186"/>
      <c r="AT315" s="186"/>
      <c r="AU315" s="186"/>
      <c r="AV315" s="186"/>
      <c r="AW315" s="186"/>
      <c r="AX315" s="186"/>
      <c r="AY315" s="186"/>
      <c r="AZ315" s="186"/>
      <c r="BA315" s="186"/>
      <c r="BB315" s="186"/>
      <c r="BC315" s="186"/>
      <c r="BD315" s="186"/>
      <c r="BE315" s="186"/>
      <c r="BF315" s="186"/>
      <c r="BG315" s="186"/>
      <c r="BH315" s="186"/>
      <c r="BI315" s="186"/>
      <c r="BJ315" s="186"/>
      <c r="BK315" s="186"/>
    </row>
    <row r="316" spans="1:63">
      <c r="A316" s="186"/>
      <c r="B316" s="186"/>
      <c r="C316" s="186"/>
      <c r="D316" s="186"/>
      <c r="E316" s="186"/>
      <c r="F316" s="186"/>
      <c r="G316" s="186"/>
      <c r="H316" s="186"/>
      <c r="I316" s="186"/>
      <c r="J316" s="186"/>
      <c r="K316" s="186"/>
      <c r="L316" s="186"/>
      <c r="M316" s="186"/>
      <c r="N316" s="186"/>
      <c r="O316" s="186"/>
      <c r="P316" s="186"/>
      <c r="Q316" s="186"/>
      <c r="R316" s="186"/>
      <c r="S316" s="186"/>
      <c r="T316" s="186"/>
      <c r="U316" s="186"/>
      <c r="V316" s="186"/>
      <c r="W316" s="186"/>
      <c r="X316" s="186"/>
      <c r="Y316" s="186"/>
      <c r="Z316" s="186"/>
      <c r="AA316" s="186"/>
      <c r="AB316" s="186"/>
      <c r="AC316" s="186"/>
      <c r="AD316" s="186"/>
      <c r="AE316" s="186"/>
      <c r="AF316" s="186"/>
      <c r="AG316" s="186"/>
      <c r="AH316" s="186"/>
      <c r="AI316" s="186"/>
      <c r="AJ316" s="186"/>
      <c r="AK316" s="186"/>
      <c r="AL316" s="186"/>
      <c r="AM316" s="186"/>
      <c r="AN316" s="186"/>
      <c r="AO316" s="186"/>
      <c r="AP316" s="186"/>
      <c r="AQ316" s="186"/>
      <c r="AR316" s="186"/>
      <c r="AS316" s="186"/>
      <c r="AT316" s="186"/>
      <c r="AU316" s="186"/>
      <c r="AV316" s="186"/>
      <c r="AW316" s="186"/>
      <c r="AX316" s="186"/>
      <c r="AY316" s="186"/>
      <c r="AZ316" s="186"/>
      <c r="BA316" s="186"/>
      <c r="BB316" s="186"/>
      <c r="BC316" s="186"/>
      <c r="BD316" s="186"/>
      <c r="BE316" s="186"/>
      <c r="BF316" s="186"/>
      <c r="BG316" s="186"/>
      <c r="BH316" s="186"/>
      <c r="BI316" s="186"/>
      <c r="BJ316" s="186"/>
      <c r="BK316" s="186"/>
    </row>
    <row r="317" spans="1:63">
      <c r="A317" s="186"/>
      <c r="B317" s="186"/>
      <c r="C317" s="186"/>
      <c r="D317" s="186"/>
      <c r="E317" s="186"/>
      <c r="F317" s="186"/>
      <c r="G317" s="186"/>
      <c r="H317" s="186"/>
      <c r="I317" s="186"/>
      <c r="J317" s="186"/>
      <c r="K317" s="186"/>
      <c r="L317" s="186"/>
      <c r="M317" s="186"/>
      <c r="N317" s="186"/>
      <c r="O317" s="186"/>
      <c r="P317" s="186"/>
      <c r="Q317" s="186"/>
      <c r="R317" s="186"/>
      <c r="S317" s="186"/>
      <c r="T317" s="186"/>
      <c r="U317" s="186"/>
      <c r="V317" s="186"/>
      <c r="W317" s="186"/>
      <c r="X317" s="186"/>
      <c r="Y317" s="186"/>
      <c r="Z317" s="186"/>
      <c r="AA317" s="186"/>
      <c r="AB317" s="186"/>
      <c r="AC317" s="186"/>
      <c r="AD317" s="186"/>
      <c r="AE317" s="186"/>
      <c r="AF317" s="186"/>
      <c r="AG317" s="186"/>
      <c r="AH317" s="186"/>
      <c r="AI317" s="186"/>
      <c r="AJ317" s="186"/>
      <c r="AK317" s="186"/>
      <c r="AL317" s="186"/>
      <c r="AM317" s="186"/>
      <c r="AN317" s="186"/>
      <c r="AO317" s="186"/>
      <c r="AP317" s="186"/>
      <c r="AQ317" s="186"/>
      <c r="AR317" s="186"/>
      <c r="AS317" s="186"/>
      <c r="AT317" s="186"/>
      <c r="AU317" s="186"/>
      <c r="AV317" s="186"/>
      <c r="AW317" s="186"/>
      <c r="AX317" s="186"/>
      <c r="AY317" s="186"/>
      <c r="AZ317" s="186"/>
      <c r="BA317" s="186"/>
      <c r="BB317" s="186"/>
      <c r="BC317" s="186"/>
      <c r="BD317" s="186"/>
      <c r="BE317" s="186"/>
      <c r="BF317" s="186"/>
      <c r="BG317" s="186"/>
      <c r="BH317" s="186"/>
      <c r="BI317" s="186"/>
      <c r="BJ317" s="186"/>
      <c r="BK317" s="186"/>
    </row>
    <row r="318" spans="1:63">
      <c r="A318" s="186"/>
      <c r="B318" s="186"/>
      <c r="C318" s="186"/>
      <c r="D318" s="186"/>
      <c r="E318" s="186"/>
      <c r="F318" s="186"/>
      <c r="G318" s="186"/>
      <c r="H318" s="186"/>
      <c r="I318" s="186"/>
      <c r="J318" s="186"/>
      <c r="K318" s="186"/>
      <c r="L318" s="186"/>
      <c r="M318" s="186"/>
      <c r="N318" s="186"/>
      <c r="O318" s="186"/>
      <c r="P318" s="186"/>
      <c r="Q318" s="186"/>
      <c r="R318" s="186"/>
      <c r="S318" s="186"/>
      <c r="T318" s="186"/>
      <c r="U318" s="186"/>
      <c r="V318" s="186"/>
      <c r="W318" s="186"/>
      <c r="X318" s="186"/>
      <c r="Y318" s="186"/>
      <c r="Z318" s="186"/>
      <c r="AA318" s="186"/>
      <c r="AB318" s="186"/>
      <c r="AC318" s="186"/>
      <c r="AD318" s="186"/>
      <c r="AE318" s="186"/>
      <c r="AF318" s="186"/>
      <c r="AG318" s="186"/>
      <c r="AH318" s="186"/>
      <c r="AI318" s="186"/>
      <c r="AJ318" s="186"/>
      <c r="AK318" s="186"/>
      <c r="AL318" s="186"/>
      <c r="AM318" s="186"/>
      <c r="AN318" s="186"/>
      <c r="AO318" s="186"/>
      <c r="AP318" s="186"/>
      <c r="AQ318" s="186"/>
      <c r="AR318" s="186"/>
      <c r="AS318" s="186"/>
      <c r="AT318" s="186"/>
      <c r="AU318" s="186"/>
      <c r="AV318" s="186"/>
      <c r="AW318" s="186"/>
      <c r="AX318" s="186"/>
      <c r="AY318" s="186"/>
      <c r="AZ318" s="186"/>
      <c r="BA318" s="186"/>
      <c r="BB318" s="186"/>
      <c r="BC318" s="186"/>
      <c r="BD318" s="186"/>
      <c r="BE318" s="186"/>
      <c r="BF318" s="186"/>
      <c r="BG318" s="186"/>
      <c r="BH318" s="186"/>
      <c r="BI318" s="186"/>
      <c r="BJ318" s="186"/>
      <c r="BK318" s="186"/>
    </row>
    <row r="319" spans="1:63">
      <c r="A319" s="186"/>
      <c r="B319" s="186"/>
      <c r="C319" s="186"/>
      <c r="D319" s="186"/>
      <c r="E319" s="186"/>
      <c r="F319" s="186"/>
      <c r="G319" s="186"/>
      <c r="H319" s="186"/>
      <c r="I319" s="186"/>
      <c r="J319" s="186"/>
      <c r="K319" s="186"/>
      <c r="L319" s="186"/>
      <c r="M319" s="186"/>
      <c r="N319" s="186"/>
      <c r="O319" s="186"/>
      <c r="P319" s="186"/>
      <c r="Q319" s="186"/>
      <c r="R319" s="186"/>
      <c r="S319" s="186"/>
      <c r="T319" s="186"/>
      <c r="U319" s="186"/>
      <c r="V319" s="186"/>
      <c r="W319" s="186"/>
      <c r="X319" s="186"/>
      <c r="Y319" s="186"/>
      <c r="Z319" s="186"/>
      <c r="AA319" s="186"/>
      <c r="AB319" s="186"/>
      <c r="AC319" s="186"/>
      <c r="AD319" s="186"/>
      <c r="AE319" s="186"/>
      <c r="AF319" s="186"/>
      <c r="AG319" s="186"/>
      <c r="AH319" s="186"/>
      <c r="AI319" s="186"/>
      <c r="AJ319" s="186"/>
      <c r="AK319" s="186"/>
      <c r="AL319" s="186"/>
      <c r="AM319" s="186"/>
      <c r="AN319" s="186"/>
      <c r="AO319" s="186"/>
      <c r="AP319" s="186"/>
      <c r="AQ319" s="186"/>
      <c r="AR319" s="186"/>
      <c r="AS319" s="186"/>
      <c r="AT319" s="186"/>
      <c r="AU319" s="186"/>
      <c r="AV319" s="186"/>
      <c r="AW319" s="186"/>
      <c r="AX319" s="186"/>
      <c r="AY319" s="186"/>
      <c r="AZ319" s="186"/>
      <c r="BA319" s="186"/>
      <c r="BB319" s="186"/>
      <c r="BC319" s="186"/>
      <c r="BD319" s="186"/>
      <c r="BE319" s="186"/>
      <c r="BF319" s="186"/>
      <c r="BG319" s="186"/>
      <c r="BH319" s="186"/>
      <c r="BI319" s="186"/>
      <c r="BJ319" s="186"/>
      <c r="BK319" s="186"/>
    </row>
    <row r="320" spans="1:63">
      <c r="A320" s="186"/>
      <c r="B320" s="186"/>
      <c r="C320" s="186"/>
      <c r="D320" s="186"/>
      <c r="E320" s="186"/>
      <c r="F320" s="186"/>
      <c r="G320" s="186"/>
      <c r="H320" s="186"/>
      <c r="I320" s="186"/>
      <c r="J320" s="186"/>
      <c r="K320" s="186"/>
      <c r="L320" s="186"/>
      <c r="M320" s="186"/>
      <c r="N320" s="186"/>
      <c r="O320" s="186"/>
      <c r="P320" s="186"/>
      <c r="Q320" s="186"/>
      <c r="R320" s="186"/>
      <c r="S320" s="186"/>
      <c r="T320" s="186"/>
      <c r="U320" s="186"/>
      <c r="V320" s="186"/>
      <c r="W320" s="186"/>
      <c r="X320" s="186"/>
      <c r="Y320" s="186"/>
      <c r="Z320" s="186"/>
      <c r="AA320" s="186"/>
      <c r="AB320" s="186"/>
      <c r="AC320" s="186"/>
      <c r="AD320" s="186"/>
      <c r="AE320" s="186"/>
      <c r="AF320" s="186"/>
      <c r="AG320" s="186"/>
      <c r="AH320" s="186"/>
      <c r="AI320" s="186"/>
      <c r="AJ320" s="186"/>
      <c r="AK320" s="186"/>
      <c r="AL320" s="186"/>
      <c r="AM320" s="186"/>
      <c r="AN320" s="186"/>
      <c r="AO320" s="186"/>
      <c r="AP320" s="186"/>
      <c r="AQ320" s="186"/>
      <c r="AR320" s="186"/>
      <c r="AS320" s="186"/>
      <c r="AT320" s="186"/>
      <c r="AU320" s="186"/>
      <c r="AV320" s="186"/>
      <c r="AW320" s="186"/>
      <c r="AX320" s="186"/>
      <c r="AY320" s="186"/>
      <c r="AZ320" s="186"/>
      <c r="BA320" s="186"/>
      <c r="BB320" s="186"/>
      <c r="BC320" s="186"/>
      <c r="BD320" s="186"/>
      <c r="BE320" s="186"/>
      <c r="BF320" s="186"/>
      <c r="BG320" s="186"/>
      <c r="BH320" s="186"/>
      <c r="BI320" s="186"/>
      <c r="BJ320" s="186"/>
      <c r="BK320" s="186"/>
    </row>
    <row r="321" spans="1:63">
      <c r="A321" s="186"/>
      <c r="B321" s="186"/>
      <c r="C321" s="186"/>
      <c r="D321" s="186"/>
      <c r="E321" s="186"/>
      <c r="F321" s="186"/>
      <c r="G321" s="186"/>
      <c r="H321" s="186"/>
      <c r="I321" s="186"/>
      <c r="J321" s="186"/>
      <c r="K321" s="186"/>
      <c r="L321" s="186"/>
      <c r="M321" s="186"/>
      <c r="N321" s="186"/>
      <c r="O321" s="186"/>
      <c r="P321" s="186"/>
      <c r="Q321" s="186"/>
      <c r="R321" s="186"/>
      <c r="S321" s="186"/>
      <c r="T321" s="186"/>
      <c r="U321" s="186"/>
      <c r="V321" s="186"/>
      <c r="W321" s="186"/>
      <c r="X321" s="186"/>
      <c r="Y321" s="186"/>
      <c r="Z321" s="186"/>
      <c r="AA321" s="186"/>
      <c r="AB321" s="186"/>
      <c r="AC321" s="186"/>
      <c r="AD321" s="186"/>
      <c r="AE321" s="186"/>
      <c r="AF321" s="186"/>
      <c r="AG321" s="186"/>
      <c r="AH321" s="186"/>
      <c r="AI321" s="186"/>
      <c r="AJ321" s="186"/>
      <c r="AK321" s="186"/>
      <c r="AL321" s="186"/>
      <c r="AM321" s="186"/>
      <c r="AN321" s="186"/>
      <c r="AO321" s="186"/>
      <c r="AP321" s="186"/>
      <c r="AQ321" s="186"/>
      <c r="AR321" s="186"/>
      <c r="AS321" s="186"/>
      <c r="AT321" s="186"/>
      <c r="AU321" s="186"/>
      <c r="AV321" s="186"/>
      <c r="AW321" s="186"/>
      <c r="AX321" s="186"/>
      <c r="AY321" s="186"/>
      <c r="AZ321" s="186"/>
      <c r="BA321" s="186"/>
      <c r="BB321" s="186"/>
      <c r="BC321" s="186"/>
      <c r="BD321" s="186"/>
      <c r="BE321" s="186"/>
      <c r="BF321" s="186"/>
      <c r="BG321" s="186"/>
      <c r="BH321" s="186"/>
      <c r="BI321" s="186"/>
      <c r="BJ321" s="186"/>
      <c r="BK321" s="186"/>
    </row>
    <row r="322" spans="1:63">
      <c r="A322" s="186"/>
      <c r="B322" s="186"/>
      <c r="C322" s="186"/>
      <c r="D322" s="186"/>
      <c r="E322" s="186"/>
      <c r="F322" s="186"/>
      <c r="G322" s="186"/>
      <c r="H322" s="186"/>
      <c r="I322" s="186"/>
      <c r="J322" s="186"/>
      <c r="K322" s="186"/>
      <c r="L322" s="186"/>
      <c r="M322" s="186"/>
      <c r="N322" s="186"/>
      <c r="O322" s="186"/>
      <c r="P322" s="186"/>
      <c r="Q322" s="186"/>
      <c r="R322" s="186"/>
      <c r="S322" s="186"/>
      <c r="T322" s="186"/>
      <c r="U322" s="186"/>
      <c r="V322" s="186"/>
      <c r="W322" s="186"/>
      <c r="X322" s="186"/>
      <c r="Y322" s="186"/>
      <c r="Z322" s="186"/>
      <c r="AA322" s="186"/>
      <c r="AB322" s="186"/>
      <c r="AC322" s="186"/>
      <c r="AD322" s="186"/>
      <c r="AE322" s="186"/>
      <c r="AF322" s="186"/>
      <c r="AG322" s="186"/>
      <c r="AH322" s="186"/>
      <c r="AI322" s="186"/>
      <c r="AJ322" s="186"/>
      <c r="AK322" s="186"/>
      <c r="AL322" s="186"/>
      <c r="AM322" s="186"/>
      <c r="AN322" s="186"/>
      <c r="AO322" s="186"/>
      <c r="AP322" s="186"/>
      <c r="AQ322" s="186"/>
      <c r="AR322" s="186"/>
      <c r="AS322" s="186"/>
      <c r="AT322" s="186"/>
      <c r="AU322" s="186"/>
      <c r="AV322" s="186"/>
      <c r="AW322" s="186"/>
      <c r="AX322" s="186"/>
      <c r="AY322" s="186"/>
      <c r="AZ322" s="186"/>
      <c r="BA322" s="186"/>
      <c r="BB322" s="186"/>
      <c r="BC322" s="186"/>
      <c r="BD322" s="186"/>
      <c r="BE322" s="186"/>
      <c r="BF322" s="186"/>
      <c r="BG322" s="186"/>
      <c r="BH322" s="186"/>
      <c r="BI322" s="186"/>
      <c r="BJ322" s="186"/>
      <c r="BK322" s="186"/>
    </row>
    <row r="323" spans="1:63">
      <c r="A323" s="186"/>
      <c r="B323" s="186"/>
      <c r="C323" s="186"/>
      <c r="D323" s="186"/>
      <c r="E323" s="186"/>
      <c r="F323" s="186"/>
      <c r="G323" s="186"/>
      <c r="H323" s="186"/>
      <c r="I323" s="186"/>
      <c r="J323" s="186"/>
      <c r="K323" s="186"/>
      <c r="L323" s="186"/>
      <c r="M323" s="186"/>
      <c r="N323" s="186"/>
      <c r="O323" s="186"/>
      <c r="P323" s="186"/>
      <c r="Q323" s="186"/>
      <c r="R323" s="186"/>
      <c r="S323" s="186"/>
      <c r="T323" s="186"/>
      <c r="U323" s="186"/>
      <c r="V323" s="186"/>
      <c r="W323" s="186"/>
      <c r="X323" s="186"/>
      <c r="Y323" s="186"/>
      <c r="Z323" s="186"/>
      <c r="AA323" s="186"/>
      <c r="AB323" s="186"/>
      <c r="AC323" s="186"/>
      <c r="AD323" s="186"/>
      <c r="AE323" s="186"/>
      <c r="AF323" s="186"/>
      <c r="AG323" s="186"/>
      <c r="AH323" s="186"/>
      <c r="AI323" s="186"/>
      <c r="AJ323" s="186"/>
      <c r="AK323" s="186"/>
      <c r="AL323" s="186"/>
      <c r="AM323" s="186"/>
      <c r="AN323" s="186"/>
      <c r="AO323" s="186"/>
      <c r="AP323" s="186"/>
      <c r="AQ323" s="186"/>
      <c r="AR323" s="186"/>
      <c r="AS323" s="186"/>
      <c r="AT323" s="186"/>
      <c r="AU323" s="186"/>
      <c r="AV323" s="186"/>
      <c r="AW323" s="186"/>
      <c r="AX323" s="186"/>
      <c r="AY323" s="186"/>
      <c r="AZ323" s="186"/>
      <c r="BA323" s="186"/>
      <c r="BB323" s="186"/>
      <c r="BC323" s="186"/>
      <c r="BD323" s="186"/>
      <c r="BE323" s="186"/>
      <c r="BF323" s="186"/>
      <c r="BG323" s="186"/>
      <c r="BH323" s="186"/>
      <c r="BI323" s="186"/>
      <c r="BJ323" s="186"/>
      <c r="BK323" s="186"/>
    </row>
    <row r="324" spans="1:63">
      <c r="A324" s="186"/>
      <c r="B324" s="186"/>
      <c r="C324" s="186"/>
      <c r="D324" s="186"/>
      <c r="E324" s="186"/>
      <c r="F324" s="186"/>
      <c r="G324" s="186"/>
      <c r="H324" s="186"/>
      <c r="I324" s="186"/>
      <c r="J324" s="186"/>
      <c r="K324" s="186"/>
      <c r="L324" s="186"/>
      <c r="M324" s="186"/>
      <c r="N324" s="186"/>
      <c r="O324" s="186"/>
      <c r="P324" s="186"/>
      <c r="Q324" s="186"/>
      <c r="R324" s="186"/>
      <c r="S324" s="186"/>
      <c r="T324" s="186"/>
      <c r="U324" s="186"/>
      <c r="V324" s="186"/>
      <c r="W324" s="186"/>
      <c r="X324" s="186"/>
      <c r="Y324" s="186"/>
      <c r="Z324" s="186"/>
      <c r="AA324" s="186"/>
      <c r="AB324" s="186"/>
      <c r="AC324" s="186"/>
      <c r="AD324" s="186"/>
      <c r="AE324" s="186"/>
      <c r="AF324" s="186"/>
      <c r="AG324" s="186"/>
      <c r="AH324" s="186"/>
      <c r="AI324" s="186"/>
      <c r="AJ324" s="186"/>
      <c r="AK324" s="186"/>
      <c r="AL324" s="186"/>
      <c r="AM324" s="186"/>
      <c r="AN324" s="186"/>
      <c r="AO324" s="186"/>
      <c r="AP324" s="186"/>
      <c r="AQ324" s="186"/>
      <c r="AR324" s="186"/>
      <c r="AS324" s="186"/>
      <c r="AT324" s="186"/>
      <c r="AU324" s="186"/>
      <c r="AV324" s="186"/>
      <c r="AW324" s="186"/>
      <c r="AX324" s="186"/>
      <c r="AY324" s="186"/>
      <c r="AZ324" s="186"/>
      <c r="BA324" s="186"/>
      <c r="BB324" s="186"/>
      <c r="BC324" s="186"/>
      <c r="BD324" s="186"/>
      <c r="BE324" s="186"/>
      <c r="BF324" s="186"/>
      <c r="BG324" s="186"/>
      <c r="BH324" s="186"/>
      <c r="BI324" s="186"/>
      <c r="BJ324" s="186"/>
      <c r="BK324" s="186"/>
    </row>
    <row r="325" spans="1:63">
      <c r="A325" s="186"/>
      <c r="B325" s="186"/>
      <c r="C325" s="186"/>
      <c r="D325" s="186"/>
      <c r="E325" s="186"/>
      <c r="F325" s="186"/>
      <c r="G325" s="186"/>
      <c r="H325" s="186"/>
      <c r="I325" s="186"/>
      <c r="J325" s="186"/>
      <c r="K325" s="186"/>
      <c r="L325" s="186"/>
      <c r="M325" s="186"/>
      <c r="N325" s="186"/>
      <c r="O325" s="186"/>
      <c r="P325" s="186"/>
      <c r="Q325" s="186"/>
      <c r="R325" s="186"/>
      <c r="S325" s="186"/>
      <c r="T325" s="186"/>
      <c r="U325" s="186"/>
      <c r="V325" s="186"/>
      <c r="W325" s="186"/>
      <c r="X325" s="186"/>
      <c r="Y325" s="186"/>
      <c r="Z325" s="186"/>
      <c r="AA325" s="186"/>
      <c r="AB325" s="186"/>
      <c r="AC325" s="186"/>
      <c r="AD325" s="186"/>
      <c r="AE325" s="186"/>
      <c r="AF325" s="186"/>
      <c r="AG325" s="186"/>
      <c r="AH325" s="186"/>
      <c r="AI325" s="186"/>
      <c r="AJ325" s="186"/>
      <c r="AK325" s="186"/>
      <c r="AL325" s="186"/>
      <c r="AM325" s="186"/>
      <c r="AN325" s="186"/>
      <c r="AO325" s="186"/>
      <c r="AP325" s="186"/>
      <c r="AQ325" s="186"/>
      <c r="AR325" s="186"/>
      <c r="AS325" s="186"/>
      <c r="AT325" s="186"/>
      <c r="AU325" s="186"/>
      <c r="AV325" s="186"/>
      <c r="AW325" s="186"/>
      <c r="AX325" s="186"/>
      <c r="AY325" s="186"/>
      <c r="AZ325" s="186"/>
      <c r="BA325" s="186"/>
      <c r="BB325" s="186"/>
      <c r="BC325" s="186"/>
      <c r="BD325" s="186"/>
      <c r="BE325" s="186"/>
      <c r="BF325" s="186"/>
      <c r="BG325" s="186"/>
      <c r="BH325" s="186"/>
      <c r="BI325" s="186"/>
      <c r="BJ325" s="186"/>
      <c r="BK325" s="186"/>
    </row>
    <row r="326" spans="1:63">
      <c r="A326" s="186"/>
      <c r="B326" s="186"/>
      <c r="C326" s="186"/>
      <c r="D326" s="186"/>
      <c r="E326" s="186"/>
      <c r="F326" s="186"/>
      <c r="G326" s="186"/>
      <c r="H326" s="186"/>
      <c r="I326" s="186"/>
      <c r="J326" s="186"/>
      <c r="K326" s="186"/>
      <c r="L326" s="186"/>
      <c r="M326" s="186"/>
      <c r="N326" s="186"/>
      <c r="O326" s="186"/>
      <c r="P326" s="186"/>
      <c r="Q326" s="186"/>
      <c r="R326" s="186"/>
      <c r="S326" s="186"/>
      <c r="T326" s="186"/>
      <c r="U326" s="186"/>
      <c r="V326" s="186"/>
      <c r="W326" s="186"/>
      <c r="X326" s="186"/>
      <c r="Y326" s="186"/>
      <c r="Z326" s="186"/>
      <c r="AA326" s="186"/>
      <c r="AB326" s="186"/>
      <c r="AC326" s="186"/>
      <c r="AD326" s="186"/>
      <c r="AE326" s="186"/>
      <c r="AF326" s="186"/>
      <c r="AG326" s="186"/>
      <c r="AH326" s="186"/>
      <c r="AI326" s="186"/>
      <c r="AJ326" s="186"/>
      <c r="AK326" s="186"/>
      <c r="AL326" s="186"/>
      <c r="AM326" s="186"/>
      <c r="AN326" s="186"/>
      <c r="AO326" s="186"/>
      <c r="AP326" s="186"/>
      <c r="AQ326" s="186"/>
      <c r="AR326" s="186"/>
      <c r="AS326" s="186"/>
      <c r="AT326" s="186"/>
      <c r="AU326" s="186"/>
      <c r="AV326" s="186"/>
      <c r="AW326" s="186"/>
      <c r="AX326" s="186"/>
      <c r="AY326" s="186"/>
      <c r="AZ326" s="186"/>
      <c r="BA326" s="186"/>
      <c r="BB326" s="186"/>
      <c r="BC326" s="186"/>
      <c r="BD326" s="186"/>
      <c r="BE326" s="186"/>
      <c r="BF326" s="186"/>
      <c r="BG326" s="186"/>
      <c r="BH326" s="186"/>
      <c r="BI326" s="186"/>
      <c r="BJ326" s="186"/>
      <c r="BK326" s="186"/>
    </row>
    <row r="327" spans="1:63">
      <c r="A327" s="186"/>
      <c r="B327" s="186"/>
      <c r="C327" s="186"/>
      <c r="D327" s="186"/>
      <c r="E327" s="186"/>
      <c r="F327" s="186"/>
      <c r="G327" s="186"/>
      <c r="H327" s="186"/>
      <c r="I327" s="186"/>
      <c r="J327" s="186"/>
      <c r="K327" s="186"/>
      <c r="L327" s="186"/>
      <c r="M327" s="186"/>
      <c r="N327" s="186"/>
      <c r="O327" s="186"/>
      <c r="P327" s="186"/>
      <c r="Q327" s="186"/>
      <c r="R327" s="186"/>
      <c r="S327" s="186"/>
      <c r="T327" s="186"/>
      <c r="U327" s="186"/>
      <c r="V327" s="186"/>
      <c r="W327" s="186"/>
      <c r="X327" s="186"/>
      <c r="Y327" s="186"/>
      <c r="Z327" s="186"/>
      <c r="AA327" s="186"/>
      <c r="AB327" s="186"/>
      <c r="AC327" s="186"/>
      <c r="AD327" s="186"/>
      <c r="AE327" s="186"/>
      <c r="AF327" s="186"/>
      <c r="AG327" s="186"/>
      <c r="AH327" s="186"/>
      <c r="AI327" s="186"/>
      <c r="AJ327" s="186"/>
      <c r="AK327" s="186"/>
      <c r="AL327" s="186"/>
      <c r="AM327" s="186"/>
      <c r="AN327" s="186"/>
      <c r="AO327" s="186"/>
      <c r="AP327" s="186"/>
      <c r="AQ327" s="186"/>
      <c r="AR327" s="186"/>
      <c r="AS327" s="186"/>
      <c r="AT327" s="186"/>
      <c r="AU327" s="186"/>
      <c r="AV327" s="186"/>
      <c r="AW327" s="186"/>
      <c r="AX327" s="186"/>
      <c r="AY327" s="186"/>
      <c r="AZ327" s="186"/>
      <c r="BA327" s="186"/>
      <c r="BB327" s="186"/>
      <c r="BC327" s="186"/>
      <c r="BD327" s="186"/>
      <c r="BE327" s="186"/>
      <c r="BF327" s="186"/>
      <c r="BG327" s="186"/>
      <c r="BH327" s="186"/>
      <c r="BI327" s="186"/>
      <c r="BJ327" s="186"/>
      <c r="BK327" s="186"/>
    </row>
    <row r="328" spans="1:63">
      <c r="A328" s="186"/>
      <c r="B328" s="186"/>
      <c r="C328" s="186"/>
      <c r="D328" s="186"/>
      <c r="E328" s="186"/>
      <c r="F328" s="186"/>
      <c r="G328" s="186"/>
      <c r="H328" s="186"/>
      <c r="I328" s="186"/>
      <c r="J328" s="186"/>
      <c r="K328" s="186"/>
      <c r="L328" s="186"/>
      <c r="M328" s="186"/>
      <c r="N328" s="186"/>
      <c r="O328" s="186"/>
      <c r="P328" s="186"/>
      <c r="Q328" s="186"/>
      <c r="R328" s="186"/>
      <c r="S328" s="186"/>
      <c r="T328" s="186"/>
      <c r="U328" s="186"/>
      <c r="V328" s="186"/>
      <c r="W328" s="186"/>
      <c r="X328" s="186"/>
      <c r="Y328" s="186"/>
      <c r="Z328" s="186"/>
      <c r="AA328" s="186"/>
      <c r="AB328" s="186"/>
      <c r="AC328" s="186"/>
      <c r="AD328" s="186"/>
      <c r="AE328" s="186"/>
      <c r="AF328" s="186"/>
      <c r="AG328" s="186"/>
      <c r="AH328" s="186"/>
      <c r="AI328" s="186"/>
      <c r="AJ328" s="186"/>
      <c r="AK328" s="186"/>
      <c r="AL328" s="186"/>
      <c r="AM328" s="186"/>
      <c r="AN328" s="186"/>
      <c r="AO328" s="186"/>
      <c r="AP328" s="186"/>
      <c r="AQ328" s="186"/>
      <c r="AR328" s="186"/>
      <c r="AS328" s="186"/>
      <c r="AT328" s="186"/>
      <c r="AU328" s="186"/>
      <c r="AV328" s="186"/>
      <c r="AW328" s="186"/>
      <c r="AX328" s="186"/>
      <c r="AY328" s="186"/>
      <c r="AZ328" s="186"/>
      <c r="BA328" s="186"/>
      <c r="BB328" s="186"/>
      <c r="BC328" s="186"/>
      <c r="BD328" s="186"/>
      <c r="BE328" s="186"/>
      <c r="BF328" s="186"/>
      <c r="BG328" s="186"/>
      <c r="BH328" s="186"/>
      <c r="BI328" s="186"/>
      <c r="BJ328" s="186"/>
      <c r="BK328" s="186"/>
    </row>
    <row r="329" spans="1:63">
      <c r="A329" s="186"/>
      <c r="B329" s="186"/>
      <c r="C329" s="186"/>
      <c r="D329" s="186"/>
      <c r="E329" s="186"/>
      <c r="F329" s="186"/>
      <c r="G329" s="186"/>
      <c r="H329" s="186"/>
      <c r="I329" s="186"/>
      <c r="J329" s="186"/>
      <c r="K329" s="186"/>
      <c r="L329" s="186"/>
      <c r="M329" s="186"/>
      <c r="N329" s="186"/>
      <c r="O329" s="186"/>
      <c r="P329" s="186"/>
      <c r="Q329" s="186"/>
      <c r="R329" s="186"/>
      <c r="S329" s="186"/>
      <c r="T329" s="186"/>
      <c r="U329" s="186"/>
      <c r="V329" s="186"/>
      <c r="W329" s="186"/>
      <c r="X329" s="186"/>
      <c r="Y329" s="186"/>
      <c r="Z329" s="186"/>
      <c r="AA329" s="186"/>
      <c r="AB329" s="186"/>
      <c r="AC329" s="186"/>
      <c r="AD329" s="186"/>
      <c r="AE329" s="186"/>
      <c r="AF329" s="186"/>
      <c r="AG329" s="186"/>
      <c r="AH329" s="186"/>
      <c r="AI329" s="186"/>
      <c r="AJ329" s="186"/>
      <c r="AK329" s="186"/>
      <c r="AL329" s="186"/>
      <c r="AM329" s="186"/>
      <c r="AN329" s="186"/>
      <c r="AO329" s="186"/>
      <c r="AP329" s="186"/>
      <c r="AQ329" s="186"/>
      <c r="AR329" s="186"/>
      <c r="AS329" s="186"/>
      <c r="AT329" s="186"/>
      <c r="AU329" s="186"/>
      <c r="AV329" s="186"/>
      <c r="AW329" s="186"/>
      <c r="AX329" s="186"/>
      <c r="AY329" s="186"/>
      <c r="AZ329" s="186"/>
      <c r="BA329" s="186"/>
      <c r="BB329" s="186"/>
      <c r="BC329" s="186"/>
      <c r="BD329" s="186"/>
      <c r="BE329" s="186"/>
      <c r="BF329" s="186"/>
      <c r="BG329" s="186"/>
      <c r="BH329" s="186"/>
      <c r="BI329" s="186"/>
      <c r="BJ329" s="186"/>
      <c r="BK329" s="186"/>
    </row>
    <row r="330" spans="1:63">
      <c r="A330" s="186"/>
      <c r="B330" s="186"/>
      <c r="C330" s="186"/>
      <c r="D330" s="186"/>
      <c r="E330" s="186"/>
      <c r="F330" s="186"/>
      <c r="G330" s="186"/>
      <c r="H330" s="186"/>
      <c r="I330" s="186"/>
      <c r="J330" s="186"/>
      <c r="K330" s="186"/>
      <c r="L330" s="186"/>
      <c r="M330" s="186"/>
      <c r="N330" s="186"/>
      <c r="O330" s="186"/>
      <c r="P330" s="186"/>
      <c r="Q330" s="186"/>
      <c r="R330" s="186"/>
      <c r="S330" s="186"/>
      <c r="T330" s="186"/>
      <c r="U330" s="186"/>
      <c r="V330" s="186"/>
      <c r="W330" s="186"/>
      <c r="X330" s="186"/>
      <c r="Y330" s="186"/>
      <c r="Z330" s="186"/>
      <c r="AA330" s="186"/>
      <c r="AB330" s="186"/>
      <c r="AC330" s="186"/>
      <c r="AD330" s="186"/>
      <c r="AE330" s="186"/>
      <c r="AF330" s="186"/>
      <c r="AG330" s="186"/>
      <c r="AH330" s="186"/>
      <c r="AI330" s="186"/>
      <c r="AJ330" s="186"/>
      <c r="AK330" s="186"/>
      <c r="AL330" s="186"/>
      <c r="AM330" s="186"/>
      <c r="AN330" s="186"/>
      <c r="AO330" s="186"/>
      <c r="AP330" s="186"/>
      <c r="AQ330" s="186"/>
      <c r="AR330" s="186"/>
      <c r="AS330" s="186"/>
      <c r="AT330" s="186"/>
      <c r="AU330" s="186"/>
      <c r="AV330" s="186"/>
      <c r="AW330" s="186"/>
      <c r="AX330" s="186"/>
      <c r="AY330" s="186"/>
      <c r="AZ330" s="186"/>
      <c r="BA330" s="186"/>
      <c r="BB330" s="186"/>
      <c r="BC330" s="186"/>
      <c r="BD330" s="186"/>
      <c r="BE330" s="186"/>
      <c r="BF330" s="186"/>
      <c r="BG330" s="186"/>
      <c r="BH330" s="186"/>
      <c r="BI330" s="186"/>
      <c r="BJ330" s="186"/>
      <c r="BK330" s="186"/>
    </row>
    <row r="331" spans="1:63">
      <c r="A331" s="186"/>
      <c r="B331" s="186"/>
      <c r="C331" s="186"/>
      <c r="D331" s="186"/>
      <c r="E331" s="186"/>
      <c r="F331" s="186"/>
      <c r="G331" s="186"/>
      <c r="H331" s="186"/>
      <c r="I331" s="186"/>
      <c r="J331" s="186"/>
      <c r="K331" s="186"/>
      <c r="L331" s="186"/>
      <c r="M331" s="186"/>
      <c r="N331" s="186"/>
      <c r="O331" s="186"/>
      <c r="P331" s="186"/>
      <c r="Q331" s="186"/>
      <c r="R331" s="186"/>
      <c r="S331" s="186"/>
      <c r="T331" s="186"/>
      <c r="U331" s="186"/>
      <c r="V331" s="186"/>
      <c r="W331" s="186"/>
      <c r="X331" s="186"/>
      <c r="Y331" s="186"/>
      <c r="Z331" s="186"/>
      <c r="AA331" s="186"/>
      <c r="AB331" s="186"/>
      <c r="AC331" s="186"/>
      <c r="AD331" s="186"/>
      <c r="AE331" s="186"/>
      <c r="AF331" s="186"/>
      <c r="AG331" s="186"/>
      <c r="AH331" s="186"/>
      <c r="AI331" s="186"/>
      <c r="AJ331" s="186"/>
      <c r="AK331" s="186"/>
      <c r="AL331" s="186"/>
      <c r="AM331" s="186"/>
      <c r="AN331" s="186"/>
      <c r="AO331" s="186"/>
      <c r="AP331" s="186"/>
      <c r="AQ331" s="186"/>
      <c r="AR331" s="186"/>
      <c r="AS331" s="186"/>
      <c r="AT331" s="186"/>
      <c r="AU331" s="186"/>
      <c r="AV331" s="186"/>
      <c r="AW331" s="186"/>
      <c r="AX331" s="186"/>
      <c r="AY331" s="186"/>
      <c r="AZ331" s="186"/>
      <c r="BA331" s="186"/>
      <c r="BB331" s="186"/>
      <c r="BC331" s="186"/>
      <c r="BD331" s="186"/>
      <c r="BE331" s="186"/>
      <c r="BF331" s="186"/>
      <c r="BG331" s="186"/>
      <c r="BH331" s="186"/>
      <c r="BI331" s="186"/>
      <c r="BJ331" s="186"/>
      <c r="BK331" s="186"/>
    </row>
    <row r="332" spans="1:63">
      <c r="A332" s="186"/>
      <c r="B332" s="186"/>
      <c r="C332" s="186"/>
      <c r="D332" s="186"/>
      <c r="E332" s="186"/>
      <c r="F332" s="186"/>
      <c r="G332" s="186"/>
      <c r="H332" s="186"/>
      <c r="I332" s="186"/>
      <c r="J332" s="186"/>
      <c r="K332" s="186"/>
      <c r="L332" s="186"/>
      <c r="M332" s="186"/>
      <c r="N332" s="186"/>
      <c r="O332" s="186"/>
      <c r="P332" s="186"/>
      <c r="Q332" s="186"/>
      <c r="R332" s="186"/>
      <c r="S332" s="186"/>
      <c r="T332" s="186"/>
      <c r="U332" s="186"/>
      <c r="V332" s="186"/>
      <c r="W332" s="186"/>
      <c r="X332" s="186"/>
      <c r="Y332" s="186"/>
      <c r="Z332" s="186"/>
      <c r="AA332" s="186"/>
      <c r="AB332" s="186"/>
      <c r="AC332" s="186"/>
      <c r="AD332" s="186"/>
      <c r="AE332" s="186"/>
      <c r="AF332" s="186"/>
      <c r="AG332" s="186"/>
      <c r="AH332" s="186"/>
      <c r="AI332" s="186"/>
      <c r="AJ332" s="186"/>
      <c r="AK332" s="186"/>
      <c r="AL332" s="186"/>
      <c r="AM332" s="186"/>
      <c r="AN332" s="186"/>
      <c r="AO332" s="186"/>
      <c r="AP332" s="186"/>
      <c r="AQ332" s="186"/>
      <c r="AR332" s="186"/>
      <c r="AS332" s="186"/>
      <c r="AT332" s="186"/>
      <c r="AU332" s="186"/>
      <c r="AV332" s="186"/>
      <c r="AW332" s="186"/>
      <c r="AX332" s="186"/>
      <c r="AY332" s="186"/>
      <c r="AZ332" s="186"/>
      <c r="BA332" s="186"/>
      <c r="BB332" s="186"/>
      <c r="BC332" s="186"/>
      <c r="BD332" s="186"/>
      <c r="BE332" s="186"/>
      <c r="BF332" s="186"/>
      <c r="BG332" s="186"/>
      <c r="BH332" s="186"/>
      <c r="BI332" s="186"/>
      <c r="BJ332" s="186"/>
      <c r="BK332" s="186"/>
    </row>
    <row r="333" spans="1:63">
      <c r="A333" s="186"/>
      <c r="B333" s="186"/>
      <c r="C333" s="186"/>
      <c r="D333" s="186"/>
      <c r="E333" s="186"/>
      <c r="F333" s="186"/>
      <c r="G333" s="186"/>
      <c r="H333" s="186"/>
      <c r="I333" s="186"/>
      <c r="J333" s="186"/>
      <c r="K333" s="186"/>
      <c r="L333" s="186"/>
      <c r="M333" s="186"/>
      <c r="N333" s="186"/>
      <c r="O333" s="186"/>
      <c r="P333" s="186"/>
      <c r="Q333" s="186"/>
      <c r="R333" s="186"/>
      <c r="S333" s="186"/>
      <c r="T333" s="186"/>
      <c r="U333" s="186"/>
      <c r="V333" s="186"/>
      <c r="W333" s="186"/>
      <c r="X333" s="186"/>
      <c r="Y333" s="186"/>
      <c r="Z333" s="186"/>
      <c r="AA333" s="186"/>
      <c r="AB333" s="186"/>
      <c r="AC333" s="186"/>
      <c r="AD333" s="186"/>
      <c r="AE333" s="186"/>
      <c r="AF333" s="186"/>
      <c r="AG333" s="186"/>
      <c r="AH333" s="186"/>
      <c r="AI333" s="186"/>
      <c r="AJ333" s="186"/>
      <c r="AK333" s="186"/>
      <c r="AL333" s="186"/>
      <c r="AM333" s="186"/>
      <c r="AN333" s="186"/>
      <c r="AO333" s="186"/>
      <c r="AP333" s="186"/>
      <c r="AQ333" s="186"/>
      <c r="AR333" s="186"/>
      <c r="AS333" s="186"/>
      <c r="AT333" s="186"/>
      <c r="AU333" s="186"/>
      <c r="AV333" s="186"/>
      <c r="AW333" s="186"/>
      <c r="AX333" s="186"/>
      <c r="AY333" s="186"/>
      <c r="AZ333" s="186"/>
      <c r="BA333" s="186"/>
      <c r="BB333" s="186"/>
      <c r="BC333" s="186"/>
      <c r="BD333" s="186"/>
      <c r="BE333" s="186"/>
      <c r="BF333" s="186"/>
      <c r="BG333" s="186"/>
      <c r="BH333" s="186"/>
      <c r="BI333" s="186"/>
      <c r="BJ333" s="186"/>
      <c r="BK333" s="186"/>
    </row>
    <row r="334" spans="1:63">
      <c r="A334" s="186"/>
      <c r="B334" s="186"/>
      <c r="C334" s="186"/>
      <c r="D334" s="186"/>
      <c r="E334" s="186"/>
      <c r="F334" s="186"/>
      <c r="G334" s="186"/>
      <c r="H334" s="186"/>
      <c r="I334" s="186"/>
      <c r="J334" s="186"/>
      <c r="K334" s="186"/>
      <c r="L334" s="186"/>
      <c r="M334" s="186"/>
      <c r="N334" s="186"/>
      <c r="O334" s="186"/>
      <c r="P334" s="186"/>
      <c r="Q334" s="186"/>
      <c r="R334" s="186"/>
      <c r="S334" s="186"/>
      <c r="T334" s="186"/>
      <c r="U334" s="186"/>
      <c r="V334" s="186"/>
      <c r="W334" s="186"/>
      <c r="X334" s="186"/>
      <c r="Y334" s="186"/>
      <c r="Z334" s="186"/>
      <c r="AA334" s="186"/>
      <c r="AB334" s="186"/>
      <c r="AC334" s="186"/>
      <c r="AD334" s="186"/>
      <c r="AE334" s="186"/>
      <c r="AF334" s="186"/>
      <c r="AG334" s="186"/>
      <c r="AH334" s="186"/>
      <c r="AI334" s="186"/>
      <c r="AJ334" s="186"/>
      <c r="AK334" s="186"/>
      <c r="AL334" s="186"/>
      <c r="AM334" s="186"/>
      <c r="AN334" s="186"/>
      <c r="AO334" s="186"/>
      <c r="AP334" s="186"/>
      <c r="AQ334" s="186"/>
      <c r="AR334" s="186"/>
      <c r="AS334" s="186"/>
      <c r="AT334" s="186"/>
      <c r="AU334" s="186"/>
      <c r="AV334" s="186"/>
      <c r="AW334" s="186"/>
      <c r="AX334" s="186"/>
      <c r="AY334" s="186"/>
      <c r="AZ334" s="186"/>
      <c r="BA334" s="186"/>
      <c r="BB334" s="186"/>
      <c r="BC334" s="186"/>
      <c r="BD334" s="186"/>
      <c r="BE334" s="186"/>
      <c r="BF334" s="186"/>
      <c r="BG334" s="186"/>
      <c r="BH334" s="186"/>
      <c r="BI334" s="186"/>
      <c r="BJ334" s="186"/>
      <c r="BK334" s="186"/>
    </row>
    <row r="335" spans="1:63">
      <c r="A335" s="186"/>
      <c r="B335" s="186"/>
      <c r="C335" s="186"/>
      <c r="D335" s="186"/>
      <c r="E335" s="186"/>
      <c r="F335" s="186"/>
      <c r="G335" s="186"/>
      <c r="H335" s="186"/>
      <c r="I335" s="186"/>
      <c r="J335" s="186"/>
      <c r="K335" s="186"/>
      <c r="L335" s="186"/>
      <c r="M335" s="186"/>
      <c r="N335" s="186"/>
      <c r="O335" s="186"/>
      <c r="P335" s="186"/>
      <c r="Q335" s="186"/>
      <c r="R335" s="186"/>
      <c r="S335" s="186"/>
      <c r="T335" s="186"/>
      <c r="U335" s="186"/>
      <c r="V335" s="186"/>
      <c r="W335" s="186"/>
      <c r="X335" s="186"/>
      <c r="Y335" s="186"/>
      <c r="Z335" s="186"/>
      <c r="AA335" s="186"/>
      <c r="AB335" s="186"/>
      <c r="AC335" s="186"/>
      <c r="AD335" s="186"/>
      <c r="AE335" s="186"/>
      <c r="AF335" s="186"/>
      <c r="AG335" s="186"/>
      <c r="AH335" s="186"/>
      <c r="AI335" s="186"/>
      <c r="AJ335" s="186"/>
      <c r="AK335" s="186"/>
      <c r="AL335" s="186"/>
      <c r="AM335" s="186"/>
      <c r="AN335" s="186"/>
      <c r="AO335" s="186"/>
      <c r="AP335" s="186"/>
      <c r="AQ335" s="186"/>
      <c r="AR335" s="186"/>
      <c r="AS335" s="186"/>
      <c r="AT335" s="186"/>
      <c r="AU335" s="186"/>
      <c r="AV335" s="186"/>
      <c r="AW335" s="186"/>
      <c r="AX335" s="186"/>
      <c r="AY335" s="186"/>
      <c r="AZ335" s="186"/>
      <c r="BA335" s="186"/>
      <c r="BB335" s="186"/>
      <c r="BC335" s="186"/>
      <c r="BD335" s="186"/>
      <c r="BE335" s="186"/>
      <c r="BF335" s="186"/>
      <c r="BG335" s="186"/>
      <c r="BH335" s="186"/>
      <c r="BI335" s="186"/>
      <c r="BJ335" s="186"/>
      <c r="BK335" s="186"/>
    </row>
    <row r="336" spans="1:63">
      <c r="A336" s="186"/>
      <c r="B336" s="186"/>
      <c r="C336" s="186"/>
      <c r="D336" s="186"/>
      <c r="E336" s="186"/>
      <c r="F336" s="186"/>
      <c r="G336" s="186"/>
      <c r="H336" s="186"/>
      <c r="I336" s="186"/>
      <c r="J336" s="186"/>
      <c r="K336" s="186"/>
      <c r="L336" s="186"/>
      <c r="M336" s="186"/>
      <c r="N336" s="186"/>
      <c r="O336" s="186"/>
      <c r="P336" s="186"/>
      <c r="Q336" s="186"/>
      <c r="R336" s="186"/>
      <c r="S336" s="186"/>
      <c r="T336" s="186"/>
      <c r="U336" s="186"/>
      <c r="V336" s="186"/>
      <c r="W336" s="186"/>
      <c r="X336" s="186"/>
      <c r="Y336" s="186"/>
      <c r="Z336" s="186"/>
      <c r="AA336" s="186"/>
      <c r="AB336" s="186"/>
      <c r="AC336" s="186"/>
      <c r="AD336" s="186"/>
      <c r="AE336" s="186"/>
      <c r="AF336" s="186"/>
      <c r="AG336" s="186"/>
      <c r="AH336" s="186"/>
      <c r="AI336" s="186"/>
      <c r="AJ336" s="186"/>
      <c r="AK336" s="186"/>
      <c r="AL336" s="186"/>
      <c r="AM336" s="186"/>
      <c r="AN336" s="186"/>
      <c r="AO336" s="186"/>
      <c r="AP336" s="186"/>
      <c r="AQ336" s="186"/>
      <c r="AR336" s="186"/>
      <c r="AS336" s="186"/>
      <c r="AT336" s="186"/>
      <c r="AU336" s="186"/>
      <c r="AV336" s="186"/>
      <c r="AW336" s="186"/>
      <c r="AX336" s="186"/>
      <c r="AY336" s="186"/>
      <c r="AZ336" s="186"/>
      <c r="BA336" s="186"/>
      <c r="BB336" s="186"/>
      <c r="BC336" s="186"/>
      <c r="BD336" s="186"/>
      <c r="BE336" s="186"/>
      <c r="BF336" s="186"/>
      <c r="BG336" s="186"/>
      <c r="BH336" s="186"/>
      <c r="BI336" s="186"/>
      <c r="BJ336" s="186"/>
      <c r="BK336" s="186"/>
    </row>
    <row r="337" spans="1:63">
      <c r="A337" s="186"/>
      <c r="B337" s="186"/>
      <c r="C337" s="186"/>
      <c r="D337" s="186"/>
      <c r="E337" s="186"/>
      <c r="F337" s="186"/>
      <c r="G337" s="186"/>
      <c r="H337" s="186"/>
      <c r="I337" s="186"/>
      <c r="J337" s="186"/>
      <c r="K337" s="186"/>
      <c r="L337" s="186"/>
      <c r="M337" s="186"/>
      <c r="N337" s="186"/>
      <c r="O337" s="186"/>
      <c r="P337" s="186"/>
      <c r="Q337" s="186"/>
      <c r="R337" s="186"/>
      <c r="S337" s="186"/>
      <c r="T337" s="186"/>
      <c r="U337" s="186"/>
      <c r="V337" s="186"/>
      <c r="W337" s="186"/>
      <c r="X337" s="186"/>
      <c r="Y337" s="186"/>
      <c r="Z337" s="186"/>
      <c r="AA337" s="186"/>
      <c r="AB337" s="186"/>
      <c r="AC337" s="186"/>
      <c r="AD337" s="186"/>
      <c r="AE337" s="186"/>
      <c r="AF337" s="186"/>
      <c r="AG337" s="186"/>
      <c r="AH337" s="186"/>
      <c r="AI337" s="186"/>
      <c r="AJ337" s="186"/>
      <c r="AK337" s="186"/>
      <c r="AL337" s="186"/>
      <c r="AM337" s="186"/>
      <c r="AN337" s="186"/>
      <c r="AO337" s="186"/>
      <c r="AP337" s="186"/>
      <c r="AQ337" s="186"/>
      <c r="AR337" s="186"/>
      <c r="AS337" s="186"/>
      <c r="AT337" s="186"/>
      <c r="AU337" s="186"/>
      <c r="AV337" s="186"/>
      <c r="AW337" s="186"/>
      <c r="AX337" s="186"/>
      <c r="AY337" s="186"/>
      <c r="AZ337" s="186"/>
      <c r="BA337" s="186"/>
      <c r="BB337" s="186"/>
      <c r="BC337" s="186"/>
      <c r="BD337" s="186"/>
      <c r="BE337" s="186"/>
      <c r="BF337" s="186"/>
      <c r="BG337" s="186"/>
      <c r="BH337" s="186"/>
      <c r="BI337" s="186"/>
      <c r="BJ337" s="186"/>
      <c r="BK337" s="186"/>
    </row>
    <row r="338" spans="1:63">
      <c r="A338" s="186"/>
      <c r="B338" s="186"/>
      <c r="C338" s="186"/>
      <c r="D338" s="186"/>
      <c r="E338" s="186"/>
      <c r="F338" s="186"/>
      <c r="G338" s="186"/>
      <c r="H338" s="186"/>
      <c r="I338" s="186"/>
      <c r="J338" s="186"/>
      <c r="K338" s="186"/>
      <c r="L338" s="186"/>
      <c r="M338" s="186"/>
      <c r="N338" s="186"/>
      <c r="O338" s="186"/>
      <c r="P338" s="186"/>
      <c r="Q338" s="186"/>
      <c r="R338" s="186"/>
      <c r="S338" s="186"/>
      <c r="T338" s="186"/>
      <c r="U338" s="186"/>
      <c r="V338" s="186"/>
      <c r="W338" s="186"/>
      <c r="X338" s="186"/>
      <c r="Y338" s="186"/>
      <c r="Z338" s="186"/>
      <c r="AA338" s="186"/>
      <c r="AB338" s="186"/>
      <c r="AC338" s="186"/>
      <c r="AD338" s="186"/>
      <c r="AE338" s="186"/>
      <c r="AF338" s="186"/>
      <c r="AG338" s="186"/>
      <c r="AH338" s="186"/>
      <c r="AI338" s="186"/>
      <c r="AJ338" s="186"/>
      <c r="AK338" s="186"/>
      <c r="AL338" s="186"/>
      <c r="AM338" s="186"/>
      <c r="AN338" s="186"/>
      <c r="AO338" s="186"/>
      <c r="AP338" s="186"/>
      <c r="AQ338" s="186"/>
      <c r="AR338" s="186"/>
      <c r="AS338" s="186"/>
      <c r="AT338" s="186"/>
      <c r="AU338" s="186"/>
      <c r="AV338" s="186"/>
      <c r="AW338" s="186"/>
      <c r="AX338" s="186"/>
      <c r="AY338" s="186"/>
      <c r="AZ338" s="186"/>
      <c r="BA338" s="186"/>
      <c r="BB338" s="186"/>
      <c r="BC338" s="186"/>
      <c r="BD338" s="186"/>
      <c r="BE338" s="186"/>
      <c r="BF338" s="186"/>
      <c r="BG338" s="186"/>
      <c r="BH338" s="186"/>
      <c r="BI338" s="186"/>
      <c r="BJ338" s="186"/>
      <c r="BK338" s="186"/>
    </row>
    <row r="339" spans="1:63">
      <c r="A339" s="186"/>
      <c r="B339" s="186"/>
      <c r="C339" s="186"/>
      <c r="D339" s="186"/>
      <c r="E339" s="186"/>
      <c r="F339" s="186"/>
      <c r="G339" s="186"/>
      <c r="H339" s="186"/>
      <c r="I339" s="186"/>
      <c r="J339" s="186"/>
      <c r="K339" s="186"/>
      <c r="L339" s="186"/>
      <c r="M339" s="186"/>
      <c r="N339" s="186"/>
      <c r="O339" s="186"/>
      <c r="P339" s="186"/>
      <c r="Q339" s="186"/>
      <c r="R339" s="186"/>
      <c r="S339" s="186"/>
      <c r="T339" s="186"/>
      <c r="U339" s="186"/>
      <c r="V339" s="186"/>
      <c r="W339" s="186"/>
      <c r="X339" s="186"/>
      <c r="Y339" s="186"/>
      <c r="Z339" s="186"/>
      <c r="AA339" s="186"/>
      <c r="AB339" s="186"/>
      <c r="AC339" s="186"/>
      <c r="AD339" s="186"/>
      <c r="AE339" s="186"/>
      <c r="AF339" s="186"/>
      <c r="AG339" s="186"/>
      <c r="AH339" s="186"/>
      <c r="AI339" s="186"/>
      <c r="AJ339" s="186"/>
      <c r="AK339" s="186"/>
      <c r="AL339" s="186"/>
      <c r="AM339" s="186"/>
      <c r="AN339" s="186"/>
      <c r="AO339" s="186"/>
      <c r="AP339" s="186"/>
      <c r="AQ339" s="186"/>
      <c r="AR339" s="186"/>
      <c r="AS339" s="186"/>
      <c r="AT339" s="186"/>
      <c r="AU339" s="186"/>
      <c r="AV339" s="186"/>
      <c r="AW339" s="186"/>
      <c r="AX339" s="186"/>
      <c r="AY339" s="186"/>
      <c r="AZ339" s="186"/>
      <c r="BA339" s="186"/>
      <c r="BB339" s="186"/>
      <c r="BC339" s="186"/>
      <c r="BD339" s="186"/>
      <c r="BE339" s="186"/>
      <c r="BF339" s="186"/>
      <c r="BG339" s="186"/>
      <c r="BH339" s="186"/>
      <c r="BI339" s="186"/>
      <c r="BJ339" s="186"/>
      <c r="BK339" s="186"/>
    </row>
    <row r="340" spans="1:63">
      <c r="A340" s="186"/>
      <c r="B340" s="186"/>
      <c r="C340" s="186"/>
      <c r="D340" s="186"/>
      <c r="E340" s="186"/>
      <c r="F340" s="186"/>
      <c r="G340" s="186"/>
      <c r="H340" s="186"/>
      <c r="I340" s="186"/>
      <c r="J340" s="186"/>
      <c r="K340" s="186"/>
      <c r="L340" s="186"/>
      <c r="M340" s="186"/>
      <c r="N340" s="186"/>
      <c r="O340" s="186"/>
      <c r="P340" s="186"/>
      <c r="Q340" s="186"/>
      <c r="R340" s="186"/>
      <c r="S340" s="186"/>
      <c r="T340" s="186"/>
      <c r="U340" s="186"/>
      <c r="V340" s="186"/>
      <c r="W340" s="186"/>
      <c r="X340" s="186"/>
      <c r="Y340" s="186"/>
      <c r="Z340" s="186"/>
      <c r="AA340" s="186"/>
      <c r="AB340" s="186"/>
      <c r="AC340" s="186"/>
      <c r="AD340" s="186"/>
      <c r="AE340" s="186"/>
      <c r="AF340" s="186"/>
      <c r="AG340" s="186"/>
      <c r="AH340" s="186"/>
      <c r="AI340" s="186"/>
      <c r="AJ340" s="186"/>
      <c r="AK340" s="186"/>
      <c r="AL340" s="186"/>
      <c r="AM340" s="186"/>
      <c r="AN340" s="186"/>
      <c r="AO340" s="186"/>
      <c r="AP340" s="186"/>
      <c r="AQ340" s="186"/>
      <c r="AR340" s="186"/>
      <c r="AS340" s="186"/>
      <c r="AT340" s="186"/>
      <c r="AU340" s="186"/>
      <c r="AV340" s="186"/>
      <c r="AW340" s="186"/>
      <c r="AX340" s="186"/>
      <c r="AY340" s="186"/>
      <c r="AZ340" s="186"/>
      <c r="BA340" s="186"/>
      <c r="BB340" s="186"/>
      <c r="BC340" s="186"/>
      <c r="BD340" s="186"/>
      <c r="BE340" s="186"/>
      <c r="BF340" s="186"/>
      <c r="BG340" s="186"/>
      <c r="BH340" s="186"/>
      <c r="BI340" s="186"/>
      <c r="BJ340" s="186"/>
      <c r="BK340" s="186"/>
    </row>
    <row r="341" spans="1:63">
      <c r="A341" s="186"/>
      <c r="B341" s="186"/>
      <c r="C341" s="186"/>
      <c r="D341" s="186"/>
      <c r="E341" s="186"/>
      <c r="F341" s="186"/>
      <c r="G341" s="186"/>
      <c r="H341" s="186"/>
      <c r="I341" s="186"/>
      <c r="J341" s="186"/>
      <c r="K341" s="186"/>
      <c r="L341" s="186"/>
      <c r="M341" s="186"/>
      <c r="N341" s="186"/>
      <c r="O341" s="186"/>
      <c r="P341" s="186"/>
      <c r="Q341" s="186"/>
      <c r="R341" s="186"/>
      <c r="S341" s="186"/>
      <c r="T341" s="186"/>
      <c r="U341" s="186"/>
      <c r="V341" s="186"/>
      <c r="W341" s="186"/>
      <c r="X341" s="186"/>
      <c r="Y341" s="186"/>
      <c r="Z341" s="186"/>
      <c r="AA341" s="186"/>
      <c r="AB341" s="186"/>
      <c r="AC341" s="186"/>
      <c r="AD341" s="186"/>
      <c r="AE341" s="186"/>
      <c r="AF341" s="186"/>
      <c r="AG341" s="186"/>
      <c r="AH341" s="186"/>
      <c r="AI341" s="186"/>
      <c r="AJ341" s="186"/>
      <c r="AK341" s="186"/>
      <c r="AL341" s="186"/>
      <c r="AM341" s="186"/>
      <c r="AN341" s="186"/>
      <c r="AO341" s="186"/>
      <c r="AP341" s="186"/>
      <c r="AQ341" s="186"/>
      <c r="AR341" s="186"/>
      <c r="AS341" s="186"/>
      <c r="AT341" s="186"/>
      <c r="AU341" s="186"/>
      <c r="AV341" s="186"/>
      <c r="AW341" s="186"/>
      <c r="AX341" s="186"/>
      <c r="AY341" s="186"/>
      <c r="AZ341" s="186"/>
      <c r="BA341" s="186"/>
      <c r="BB341" s="186"/>
      <c r="BC341" s="186"/>
      <c r="BD341" s="186"/>
      <c r="BE341" s="186"/>
      <c r="BF341" s="186"/>
      <c r="BG341" s="186"/>
      <c r="BH341" s="186"/>
      <c r="BI341" s="186"/>
      <c r="BJ341" s="186"/>
      <c r="BK341" s="186"/>
    </row>
    <row r="342" spans="1:63">
      <c r="A342" s="186"/>
      <c r="B342" s="186"/>
      <c r="C342" s="186"/>
      <c r="D342" s="186"/>
      <c r="E342" s="186"/>
      <c r="F342" s="186"/>
      <c r="G342" s="186"/>
      <c r="H342" s="186"/>
      <c r="I342" s="186"/>
      <c r="J342" s="186"/>
      <c r="K342" s="186"/>
      <c r="L342" s="186"/>
      <c r="M342" s="186"/>
      <c r="N342" s="186"/>
      <c r="O342" s="186"/>
      <c r="P342" s="186"/>
      <c r="Q342" s="186"/>
      <c r="R342" s="186"/>
      <c r="S342" s="186"/>
      <c r="T342" s="186"/>
      <c r="U342" s="186"/>
      <c r="V342" s="186"/>
      <c r="W342" s="186"/>
      <c r="X342" s="186"/>
      <c r="Y342" s="186"/>
      <c r="Z342" s="186"/>
      <c r="AA342" s="186"/>
      <c r="AB342" s="186"/>
      <c r="AC342" s="186"/>
      <c r="AD342" s="186"/>
      <c r="AE342" s="186"/>
      <c r="AF342" s="186"/>
      <c r="AG342" s="186"/>
      <c r="AH342" s="186"/>
      <c r="AI342" s="186"/>
      <c r="AJ342" s="186"/>
      <c r="AK342" s="186"/>
      <c r="AL342" s="186"/>
      <c r="AM342" s="186"/>
      <c r="AN342" s="186"/>
      <c r="AO342" s="186"/>
      <c r="AP342" s="186"/>
      <c r="AQ342" s="186"/>
      <c r="AR342" s="186"/>
      <c r="AS342" s="186"/>
      <c r="AT342" s="186"/>
      <c r="AU342" s="186"/>
      <c r="AV342" s="186"/>
      <c r="AW342" s="186"/>
      <c r="AX342" s="186"/>
      <c r="AY342" s="186"/>
      <c r="AZ342" s="186"/>
      <c r="BA342" s="186"/>
      <c r="BB342" s="186"/>
      <c r="BC342" s="186"/>
      <c r="BD342" s="186"/>
      <c r="BE342" s="186"/>
      <c r="BF342" s="186"/>
      <c r="BG342" s="186"/>
      <c r="BH342" s="186"/>
      <c r="BI342" s="186"/>
      <c r="BJ342" s="186"/>
      <c r="BK342" s="186"/>
    </row>
    <row r="343" spans="1:63">
      <c r="A343" s="186"/>
      <c r="B343" s="186"/>
      <c r="C343" s="186"/>
      <c r="D343" s="186"/>
      <c r="E343" s="186"/>
      <c r="F343" s="186"/>
      <c r="G343" s="186"/>
      <c r="H343" s="186"/>
      <c r="I343" s="186"/>
      <c r="J343" s="186"/>
      <c r="K343" s="186"/>
      <c r="L343" s="186"/>
      <c r="M343" s="186"/>
      <c r="N343" s="186"/>
      <c r="O343" s="186"/>
      <c r="P343" s="186"/>
      <c r="Q343" s="186"/>
      <c r="R343" s="186"/>
      <c r="S343" s="186"/>
      <c r="T343" s="186"/>
      <c r="U343" s="186"/>
      <c r="V343" s="186"/>
      <c r="W343" s="186"/>
      <c r="X343" s="186"/>
      <c r="Y343" s="186"/>
      <c r="Z343" s="186"/>
      <c r="AA343" s="186"/>
      <c r="AB343" s="186"/>
      <c r="AC343" s="186"/>
      <c r="AD343" s="186"/>
      <c r="AE343" s="186"/>
      <c r="AF343" s="186"/>
      <c r="AG343" s="186"/>
      <c r="AH343" s="186"/>
      <c r="AI343" s="186"/>
      <c r="AJ343" s="186"/>
      <c r="AK343" s="186"/>
      <c r="AL343" s="186"/>
      <c r="AM343" s="186"/>
      <c r="AN343" s="186"/>
      <c r="AO343" s="186"/>
      <c r="AP343" s="186"/>
      <c r="AQ343" s="186"/>
      <c r="AR343" s="186"/>
      <c r="AS343" s="186"/>
      <c r="AT343" s="186"/>
      <c r="AU343" s="186"/>
      <c r="AV343" s="186"/>
      <c r="AW343" s="186"/>
      <c r="AX343" s="186"/>
      <c r="AY343" s="186"/>
      <c r="AZ343" s="186"/>
      <c r="BA343" s="186"/>
      <c r="BB343" s="186"/>
      <c r="BC343" s="186"/>
      <c r="BD343" s="186"/>
      <c r="BE343" s="186"/>
      <c r="BF343" s="186"/>
      <c r="BG343" s="186"/>
      <c r="BH343" s="186"/>
      <c r="BI343" s="186"/>
      <c r="BJ343" s="186"/>
      <c r="BK343" s="186"/>
    </row>
    <row r="344" spans="1:63">
      <c r="A344" s="186"/>
      <c r="B344" s="186"/>
      <c r="C344" s="186"/>
      <c r="D344" s="186"/>
      <c r="E344" s="186"/>
      <c r="F344" s="186"/>
      <c r="G344" s="186"/>
      <c r="H344" s="186"/>
      <c r="I344" s="186"/>
      <c r="J344" s="186"/>
      <c r="K344" s="186"/>
      <c r="L344" s="186"/>
      <c r="M344" s="186"/>
      <c r="N344" s="186"/>
      <c r="O344" s="186"/>
      <c r="P344" s="186"/>
      <c r="Q344" s="186"/>
      <c r="R344" s="186"/>
      <c r="S344" s="186"/>
      <c r="T344" s="186"/>
      <c r="U344" s="186"/>
      <c r="V344" s="186"/>
      <c r="W344" s="186"/>
      <c r="X344" s="186"/>
      <c r="Y344" s="186"/>
      <c r="Z344" s="186"/>
      <c r="AA344" s="186"/>
      <c r="AB344" s="186"/>
      <c r="AC344" s="186"/>
      <c r="AD344" s="186"/>
      <c r="AE344" s="186"/>
      <c r="AF344" s="186"/>
      <c r="AG344" s="186"/>
      <c r="AH344" s="186"/>
      <c r="AI344" s="186"/>
      <c r="AJ344" s="186"/>
      <c r="AK344" s="186"/>
      <c r="AL344" s="186"/>
      <c r="AM344" s="186"/>
      <c r="AN344" s="186"/>
      <c r="AO344" s="186"/>
      <c r="AP344" s="186"/>
      <c r="AQ344" s="186"/>
      <c r="AR344" s="186"/>
      <c r="AS344" s="186"/>
      <c r="AT344" s="186"/>
      <c r="AU344" s="186"/>
      <c r="AV344" s="186"/>
      <c r="AW344" s="186"/>
      <c r="AX344" s="186"/>
      <c r="AY344" s="186"/>
      <c r="AZ344" s="186"/>
      <c r="BA344" s="186"/>
      <c r="BB344" s="186"/>
      <c r="BC344" s="186"/>
      <c r="BD344" s="186"/>
      <c r="BE344" s="186"/>
      <c r="BF344" s="186"/>
      <c r="BG344" s="186"/>
      <c r="BH344" s="186"/>
      <c r="BI344" s="186"/>
      <c r="BJ344" s="186"/>
      <c r="BK344" s="186"/>
    </row>
    <row r="345" spans="1:63">
      <c r="A345" s="186"/>
      <c r="B345" s="186"/>
      <c r="C345" s="186"/>
      <c r="D345" s="186"/>
      <c r="E345" s="186"/>
      <c r="F345" s="186"/>
      <c r="G345" s="186"/>
      <c r="H345" s="186"/>
      <c r="I345" s="186"/>
      <c r="J345" s="186"/>
      <c r="K345" s="186"/>
      <c r="L345" s="186"/>
      <c r="M345" s="186"/>
      <c r="N345" s="186"/>
      <c r="O345" s="186"/>
      <c r="P345" s="186"/>
      <c r="Q345" s="186"/>
      <c r="R345" s="186"/>
      <c r="S345" s="186"/>
      <c r="T345" s="186"/>
      <c r="U345" s="186"/>
      <c r="V345" s="186"/>
      <c r="W345" s="186"/>
      <c r="X345" s="186"/>
      <c r="Y345" s="186"/>
      <c r="Z345" s="186"/>
      <c r="AA345" s="186"/>
      <c r="AB345" s="186"/>
      <c r="AC345" s="186"/>
      <c r="AD345" s="186"/>
      <c r="AE345" s="186"/>
      <c r="AF345" s="186"/>
      <c r="AG345" s="186"/>
      <c r="AH345" s="186"/>
      <c r="AI345" s="186"/>
      <c r="AJ345" s="186"/>
      <c r="AK345" s="186"/>
      <c r="AL345" s="186"/>
      <c r="AM345" s="186"/>
      <c r="AN345" s="186"/>
      <c r="AO345" s="186"/>
      <c r="AP345" s="186"/>
      <c r="AQ345" s="186"/>
      <c r="AR345" s="186"/>
      <c r="AS345" s="186"/>
      <c r="AT345" s="186"/>
      <c r="AU345" s="186"/>
      <c r="AV345" s="186"/>
      <c r="AW345" s="186"/>
      <c r="AX345" s="186"/>
      <c r="AY345" s="186"/>
      <c r="AZ345" s="186"/>
      <c r="BA345" s="186"/>
      <c r="BB345" s="186"/>
      <c r="BC345" s="186"/>
      <c r="BD345" s="186"/>
      <c r="BE345" s="186"/>
      <c r="BF345" s="186"/>
      <c r="BG345" s="186"/>
      <c r="BH345" s="186"/>
      <c r="BI345" s="186"/>
      <c r="BJ345" s="186"/>
      <c r="BK345" s="186"/>
    </row>
    <row r="346" spans="1:63">
      <c r="A346" s="186"/>
      <c r="B346" s="186"/>
      <c r="C346" s="186"/>
      <c r="D346" s="186"/>
      <c r="E346" s="186"/>
      <c r="F346" s="186"/>
      <c r="G346" s="186"/>
      <c r="H346" s="186"/>
      <c r="I346" s="186"/>
      <c r="J346" s="186"/>
      <c r="K346" s="186"/>
      <c r="L346" s="186"/>
      <c r="M346" s="186"/>
      <c r="N346" s="186"/>
      <c r="O346" s="186"/>
      <c r="P346" s="186"/>
      <c r="Q346" s="186"/>
      <c r="R346" s="186"/>
      <c r="S346" s="186"/>
      <c r="T346" s="186"/>
      <c r="U346" s="186"/>
      <c r="V346" s="186"/>
      <c r="W346" s="186"/>
      <c r="X346" s="186"/>
      <c r="Y346" s="186"/>
      <c r="Z346" s="186"/>
      <c r="AA346" s="186"/>
      <c r="AB346" s="186"/>
      <c r="AC346" s="186"/>
      <c r="AD346" s="186"/>
      <c r="AE346" s="186"/>
      <c r="AF346" s="186"/>
      <c r="AG346" s="186"/>
      <c r="AH346" s="186"/>
      <c r="AI346" s="186"/>
      <c r="AJ346" s="186"/>
      <c r="AK346" s="186"/>
      <c r="AL346" s="186"/>
      <c r="AM346" s="186"/>
      <c r="AN346" s="186"/>
      <c r="AO346" s="186"/>
      <c r="AP346" s="186"/>
      <c r="AQ346" s="186"/>
      <c r="AR346" s="186"/>
      <c r="AS346" s="186"/>
      <c r="AT346" s="186"/>
      <c r="AU346" s="186"/>
      <c r="AV346" s="186"/>
      <c r="AW346" s="186"/>
      <c r="AX346" s="186"/>
      <c r="AY346" s="186"/>
      <c r="AZ346" s="186"/>
      <c r="BA346" s="186"/>
      <c r="BB346" s="186"/>
      <c r="BC346" s="186"/>
      <c r="BD346" s="186"/>
      <c r="BE346" s="186"/>
      <c r="BF346" s="186"/>
      <c r="BG346" s="186"/>
      <c r="BH346" s="186"/>
      <c r="BI346" s="186"/>
      <c r="BJ346" s="186"/>
      <c r="BK346" s="186"/>
    </row>
    <row r="347" spans="1:63">
      <c r="A347" s="186"/>
      <c r="B347" s="186"/>
      <c r="C347" s="186"/>
      <c r="D347" s="186"/>
      <c r="E347" s="186"/>
      <c r="F347" s="186"/>
      <c r="G347" s="186"/>
      <c r="H347" s="186"/>
      <c r="I347" s="186"/>
      <c r="J347" s="186"/>
      <c r="K347" s="186"/>
      <c r="L347" s="186"/>
      <c r="M347" s="186"/>
      <c r="N347" s="186"/>
      <c r="O347" s="186"/>
      <c r="P347" s="186"/>
      <c r="Q347" s="186"/>
      <c r="R347" s="186"/>
      <c r="S347" s="186"/>
      <c r="T347" s="186"/>
      <c r="U347" s="186"/>
      <c r="V347" s="186"/>
      <c r="W347" s="186"/>
      <c r="X347" s="186"/>
      <c r="Y347" s="186"/>
      <c r="Z347" s="186"/>
      <c r="AA347" s="186"/>
      <c r="AB347" s="186"/>
      <c r="AC347" s="186"/>
      <c r="AD347" s="186"/>
      <c r="AE347" s="186"/>
      <c r="AF347" s="186"/>
      <c r="AG347" s="186"/>
      <c r="AH347" s="186"/>
      <c r="AI347" s="186"/>
      <c r="AJ347" s="186"/>
      <c r="AK347" s="186"/>
      <c r="AL347" s="186"/>
      <c r="AM347" s="186"/>
      <c r="AN347" s="186"/>
      <c r="AO347" s="186"/>
      <c r="AP347" s="186"/>
      <c r="AQ347" s="186"/>
      <c r="AR347" s="186"/>
      <c r="AS347" s="186"/>
      <c r="AT347" s="186"/>
      <c r="AU347" s="186"/>
      <c r="AV347" s="186"/>
      <c r="AW347" s="186"/>
      <c r="AX347" s="186"/>
      <c r="AY347" s="186"/>
      <c r="AZ347" s="186"/>
      <c r="BA347" s="186"/>
      <c r="BB347" s="186"/>
      <c r="BC347" s="186"/>
      <c r="BD347" s="186"/>
      <c r="BE347" s="186"/>
      <c r="BF347" s="186"/>
      <c r="BG347" s="186"/>
      <c r="BH347" s="186"/>
      <c r="BI347" s="186"/>
      <c r="BJ347" s="186"/>
      <c r="BK347" s="186"/>
    </row>
    <row r="348" spans="1:63">
      <c r="A348" s="186"/>
      <c r="B348" s="186"/>
      <c r="C348" s="186"/>
      <c r="D348" s="186"/>
      <c r="E348" s="186"/>
      <c r="F348" s="186"/>
      <c r="G348" s="186"/>
      <c r="H348" s="186"/>
      <c r="I348" s="186"/>
      <c r="J348" s="186"/>
      <c r="K348" s="186"/>
      <c r="L348" s="186"/>
      <c r="M348" s="186"/>
      <c r="N348" s="186"/>
      <c r="O348" s="186"/>
      <c r="P348" s="186"/>
      <c r="Q348" s="186"/>
      <c r="R348" s="186"/>
      <c r="S348" s="186"/>
      <c r="T348" s="186"/>
      <c r="U348" s="186"/>
      <c r="V348" s="186"/>
      <c r="W348" s="186"/>
      <c r="X348" s="186"/>
      <c r="Y348" s="186"/>
      <c r="Z348" s="186"/>
      <c r="AA348" s="186"/>
      <c r="AB348" s="186"/>
      <c r="AC348" s="186"/>
      <c r="AD348" s="186"/>
      <c r="AE348" s="186"/>
      <c r="AF348" s="186"/>
      <c r="AG348" s="186"/>
      <c r="AH348" s="186"/>
      <c r="AI348" s="186"/>
      <c r="AJ348" s="186"/>
      <c r="AK348" s="186"/>
      <c r="AL348" s="186"/>
      <c r="AM348" s="186"/>
      <c r="AN348" s="186"/>
      <c r="AO348" s="186"/>
      <c r="AP348" s="186"/>
      <c r="AQ348" s="186"/>
      <c r="AR348" s="186"/>
      <c r="AS348" s="186"/>
      <c r="AT348" s="186"/>
      <c r="AU348" s="186"/>
      <c r="AV348" s="186"/>
      <c r="AW348" s="186"/>
      <c r="AX348" s="186"/>
      <c r="AY348" s="186"/>
      <c r="AZ348" s="186"/>
      <c r="BA348" s="186"/>
      <c r="BB348" s="186"/>
      <c r="BC348" s="186"/>
      <c r="BD348" s="186"/>
      <c r="BE348" s="186"/>
      <c r="BF348" s="186"/>
      <c r="BG348" s="186"/>
      <c r="BH348" s="186"/>
      <c r="BI348" s="186"/>
      <c r="BJ348" s="186"/>
      <c r="BK348" s="186"/>
    </row>
    <row r="349" spans="1:63">
      <c r="A349" s="186"/>
      <c r="B349" s="186"/>
      <c r="C349" s="186"/>
      <c r="D349" s="186"/>
      <c r="E349" s="186"/>
      <c r="F349" s="186"/>
      <c r="G349" s="186"/>
      <c r="H349" s="186"/>
      <c r="I349" s="186"/>
      <c r="J349" s="186"/>
      <c r="K349" s="186"/>
      <c r="L349" s="186"/>
      <c r="M349" s="186"/>
      <c r="N349" s="186"/>
      <c r="O349" s="186"/>
      <c r="P349" s="186"/>
      <c r="Q349" s="186"/>
      <c r="R349" s="186"/>
      <c r="S349" s="186"/>
      <c r="T349" s="186"/>
      <c r="U349" s="186"/>
      <c r="V349" s="186"/>
      <c r="W349" s="186"/>
      <c r="X349" s="186"/>
      <c r="Y349" s="186"/>
      <c r="Z349" s="186"/>
      <c r="AA349" s="186"/>
      <c r="AB349" s="186"/>
      <c r="AC349" s="186"/>
      <c r="AD349" s="186"/>
      <c r="AE349" s="186"/>
      <c r="AF349" s="186"/>
      <c r="AG349" s="186"/>
      <c r="AH349" s="186"/>
      <c r="AI349" s="186"/>
      <c r="AJ349" s="186"/>
      <c r="AK349" s="186"/>
      <c r="AL349" s="186"/>
      <c r="AM349" s="186"/>
      <c r="AN349" s="186"/>
      <c r="AO349" s="186"/>
      <c r="AP349" s="186"/>
      <c r="AQ349" s="186"/>
      <c r="AR349" s="186"/>
      <c r="AS349" s="186"/>
      <c r="AT349" s="186"/>
      <c r="AU349" s="186"/>
      <c r="AV349" s="186"/>
      <c r="AW349" s="186"/>
      <c r="AX349" s="186"/>
      <c r="AY349" s="186"/>
      <c r="AZ349" s="186"/>
      <c r="BA349" s="186"/>
      <c r="BB349" s="186"/>
      <c r="BC349" s="186"/>
      <c r="BD349" s="186"/>
      <c r="BE349" s="186"/>
      <c r="BF349" s="186"/>
      <c r="BG349" s="186"/>
      <c r="BH349" s="186"/>
      <c r="BI349" s="186"/>
      <c r="BJ349" s="186"/>
      <c r="BK349" s="186"/>
    </row>
    <row r="350" spans="1:63">
      <c r="A350" s="186"/>
      <c r="B350" s="186"/>
      <c r="C350" s="186"/>
      <c r="D350" s="186"/>
      <c r="E350" s="186"/>
      <c r="F350" s="186"/>
      <c r="G350" s="186"/>
      <c r="H350" s="186"/>
      <c r="I350" s="186"/>
      <c r="J350" s="186"/>
      <c r="K350" s="186"/>
      <c r="L350" s="186"/>
      <c r="M350" s="186"/>
      <c r="N350" s="186"/>
      <c r="O350" s="186"/>
      <c r="P350" s="186"/>
      <c r="Q350" s="186"/>
      <c r="R350" s="186"/>
      <c r="S350" s="186"/>
      <c r="T350" s="186"/>
      <c r="U350" s="186"/>
      <c r="V350" s="186"/>
      <c r="W350" s="186"/>
      <c r="X350" s="186"/>
      <c r="Y350" s="186"/>
      <c r="Z350" s="186"/>
      <c r="AA350" s="186"/>
      <c r="AB350" s="186"/>
      <c r="AC350" s="186"/>
      <c r="AD350" s="186"/>
      <c r="AE350" s="186"/>
      <c r="AF350" s="186"/>
      <c r="AG350" s="186"/>
      <c r="AH350" s="186"/>
      <c r="AI350" s="186"/>
      <c r="AJ350" s="186"/>
      <c r="AK350" s="186"/>
      <c r="AL350" s="186"/>
      <c r="AM350" s="186"/>
      <c r="AN350" s="186"/>
      <c r="AO350" s="186"/>
      <c r="AP350" s="186"/>
      <c r="AQ350" s="186"/>
      <c r="AR350" s="186"/>
      <c r="AS350" s="186"/>
      <c r="AT350" s="186"/>
      <c r="AU350" s="186"/>
      <c r="AV350" s="186"/>
      <c r="AW350" s="186"/>
      <c r="AX350" s="186"/>
      <c r="AY350" s="186"/>
      <c r="AZ350" s="186"/>
      <c r="BA350" s="186"/>
      <c r="BB350" s="186"/>
      <c r="BC350" s="186"/>
      <c r="BD350" s="186"/>
      <c r="BE350" s="186"/>
      <c r="BF350" s="186"/>
      <c r="BG350" s="186"/>
      <c r="BH350" s="186"/>
      <c r="BI350" s="186"/>
      <c r="BJ350" s="186"/>
      <c r="BK350" s="186"/>
    </row>
    <row r="351" spans="1:63">
      <c r="A351" s="186"/>
      <c r="B351" s="186"/>
      <c r="C351" s="186"/>
      <c r="D351" s="186"/>
      <c r="E351" s="186"/>
      <c r="F351" s="186"/>
      <c r="G351" s="186"/>
      <c r="H351" s="186"/>
      <c r="I351" s="186"/>
      <c r="J351" s="186"/>
      <c r="K351" s="186"/>
      <c r="L351" s="186"/>
      <c r="M351" s="186"/>
      <c r="N351" s="186"/>
      <c r="O351" s="186"/>
      <c r="P351" s="186"/>
      <c r="Q351" s="186"/>
      <c r="R351" s="186"/>
      <c r="S351" s="186"/>
      <c r="T351" s="186"/>
      <c r="U351" s="186"/>
      <c r="V351" s="186"/>
      <c r="W351" s="186"/>
      <c r="X351" s="186"/>
      <c r="Y351" s="186"/>
      <c r="Z351" s="186"/>
      <c r="AA351" s="186"/>
      <c r="AB351" s="186"/>
      <c r="AC351" s="186"/>
      <c r="AD351" s="186"/>
      <c r="AE351" s="186"/>
      <c r="AF351" s="186"/>
      <c r="AG351" s="186"/>
      <c r="AH351" s="186"/>
      <c r="AI351" s="186"/>
      <c r="AJ351" s="186"/>
      <c r="AK351" s="186"/>
      <c r="AL351" s="186"/>
      <c r="AM351" s="186"/>
      <c r="AN351" s="186"/>
      <c r="AO351" s="186"/>
      <c r="AP351" s="186"/>
      <c r="AQ351" s="186"/>
      <c r="AR351" s="186"/>
      <c r="AS351" s="186"/>
      <c r="AT351" s="186"/>
      <c r="AU351" s="186"/>
      <c r="AV351" s="186"/>
      <c r="AW351" s="186"/>
      <c r="AX351" s="186"/>
      <c r="AY351" s="186"/>
      <c r="AZ351" s="186"/>
      <c r="BA351" s="186"/>
      <c r="BB351" s="186"/>
      <c r="BC351" s="186"/>
      <c r="BD351" s="186"/>
      <c r="BE351" s="186"/>
      <c r="BF351" s="186"/>
      <c r="BG351" s="186"/>
      <c r="BH351" s="186"/>
      <c r="BI351" s="186"/>
      <c r="BJ351" s="186"/>
      <c r="BK351" s="186"/>
    </row>
    <row r="352" spans="1:63">
      <c r="A352" s="186"/>
      <c r="B352" s="186"/>
      <c r="C352" s="186"/>
      <c r="D352" s="186"/>
      <c r="E352" s="186"/>
      <c r="F352" s="186"/>
      <c r="G352" s="186"/>
      <c r="H352" s="186"/>
      <c r="I352" s="186"/>
      <c r="J352" s="186"/>
      <c r="K352" s="186"/>
      <c r="L352" s="186"/>
      <c r="M352" s="186"/>
      <c r="N352" s="186"/>
      <c r="O352" s="186"/>
      <c r="P352" s="186"/>
      <c r="Q352" s="186"/>
      <c r="R352" s="186"/>
      <c r="S352" s="186"/>
      <c r="T352" s="186"/>
      <c r="U352" s="186"/>
      <c r="V352" s="186"/>
      <c r="W352" s="186"/>
      <c r="X352" s="186"/>
      <c r="Y352" s="186"/>
      <c r="Z352" s="186"/>
      <c r="AA352" s="186"/>
      <c r="AB352" s="186"/>
      <c r="AC352" s="186"/>
      <c r="AD352" s="186"/>
      <c r="AE352" s="186"/>
      <c r="AF352" s="186"/>
      <c r="AG352" s="186"/>
      <c r="AH352" s="186"/>
      <c r="AI352" s="186"/>
      <c r="AJ352" s="186"/>
      <c r="AK352" s="186"/>
      <c r="AL352" s="186"/>
      <c r="AM352" s="186"/>
      <c r="AN352" s="186"/>
      <c r="AO352" s="186"/>
      <c r="AP352" s="186"/>
      <c r="AQ352" s="186"/>
      <c r="AR352" s="186"/>
      <c r="AS352" s="186"/>
      <c r="AT352" s="186"/>
      <c r="AU352" s="186"/>
      <c r="AV352" s="186"/>
      <c r="AW352" s="186"/>
      <c r="AX352" s="186"/>
      <c r="AY352" s="186"/>
      <c r="AZ352" s="186"/>
      <c r="BA352" s="186"/>
      <c r="BB352" s="186"/>
      <c r="BC352" s="186"/>
      <c r="BD352" s="186"/>
      <c r="BE352" s="186"/>
      <c r="BF352" s="186"/>
      <c r="BG352" s="186"/>
      <c r="BH352" s="186"/>
      <c r="BI352" s="186"/>
      <c r="BJ352" s="186"/>
      <c r="BK352" s="186"/>
    </row>
    <row r="353" spans="1:63">
      <c r="A353" s="186"/>
      <c r="B353" s="186"/>
      <c r="C353" s="186"/>
      <c r="D353" s="186"/>
      <c r="E353" s="186"/>
      <c r="F353" s="186"/>
      <c r="G353" s="186"/>
      <c r="H353" s="186"/>
      <c r="I353" s="186"/>
      <c r="J353" s="186"/>
      <c r="K353" s="186"/>
      <c r="L353" s="186"/>
      <c r="M353" s="186"/>
      <c r="N353" s="186"/>
      <c r="O353" s="186"/>
      <c r="P353" s="186"/>
      <c r="Q353" s="186"/>
      <c r="R353" s="186"/>
      <c r="S353" s="186"/>
      <c r="T353" s="186"/>
      <c r="U353" s="186"/>
      <c r="V353" s="186"/>
      <c r="W353" s="186"/>
      <c r="X353" s="186"/>
      <c r="Y353" s="186"/>
      <c r="Z353" s="186"/>
      <c r="AA353" s="186"/>
      <c r="AB353" s="186"/>
      <c r="AC353" s="186"/>
      <c r="AD353" s="186"/>
      <c r="AE353" s="186"/>
      <c r="AF353" s="186"/>
      <c r="AG353" s="186"/>
      <c r="AH353" s="186"/>
      <c r="AI353" s="186"/>
      <c r="AJ353" s="186"/>
      <c r="AK353" s="186"/>
      <c r="AL353" s="186"/>
      <c r="AM353" s="186"/>
      <c r="AN353" s="186"/>
      <c r="AO353" s="186"/>
      <c r="AP353" s="186"/>
      <c r="AQ353" s="186"/>
      <c r="AR353" s="186"/>
      <c r="AS353" s="186"/>
      <c r="AT353" s="186"/>
      <c r="AU353" s="186"/>
      <c r="AV353" s="186"/>
      <c r="AW353" s="186"/>
      <c r="AX353" s="186"/>
      <c r="AY353" s="186"/>
      <c r="AZ353" s="186"/>
      <c r="BA353" s="186"/>
      <c r="BB353" s="186"/>
      <c r="BC353" s="186"/>
      <c r="BD353" s="186"/>
      <c r="BE353" s="186"/>
      <c r="BF353" s="186"/>
      <c r="BG353" s="186"/>
      <c r="BH353" s="186"/>
      <c r="BI353" s="186"/>
      <c r="BJ353" s="186"/>
      <c r="BK353" s="186"/>
    </row>
    <row r="354" spans="1:63">
      <c r="A354" s="186"/>
      <c r="B354" s="186"/>
      <c r="C354" s="186"/>
      <c r="D354" s="186"/>
      <c r="E354" s="186"/>
      <c r="F354" s="186"/>
      <c r="G354" s="186"/>
      <c r="H354" s="186"/>
      <c r="I354" s="186"/>
      <c r="J354" s="186"/>
      <c r="K354" s="186"/>
      <c r="L354" s="186"/>
      <c r="M354" s="186"/>
      <c r="N354" s="186"/>
      <c r="O354" s="186"/>
      <c r="P354" s="186"/>
      <c r="Q354" s="186"/>
      <c r="R354" s="186"/>
      <c r="S354" s="186"/>
      <c r="T354" s="186"/>
      <c r="U354" s="186"/>
      <c r="V354" s="186"/>
      <c r="W354" s="186"/>
      <c r="X354" s="186"/>
      <c r="Y354" s="186"/>
      <c r="Z354" s="186"/>
      <c r="AA354" s="186"/>
      <c r="AB354" s="186"/>
      <c r="AC354" s="186"/>
      <c r="AD354" s="186"/>
      <c r="AE354" s="186"/>
      <c r="AF354" s="186"/>
      <c r="AG354" s="186"/>
      <c r="AH354" s="186"/>
      <c r="AI354" s="186"/>
      <c r="AJ354" s="186"/>
      <c r="AK354" s="186"/>
      <c r="AL354" s="186"/>
      <c r="AM354" s="186"/>
      <c r="AN354" s="186"/>
      <c r="AO354" s="186"/>
      <c r="AP354" s="186"/>
      <c r="AQ354" s="186"/>
      <c r="AR354" s="186"/>
      <c r="AS354" s="186"/>
      <c r="AT354" s="186"/>
      <c r="AU354" s="186"/>
      <c r="AV354" s="186"/>
      <c r="AW354" s="186"/>
      <c r="AX354" s="186"/>
      <c r="AY354" s="186"/>
      <c r="AZ354" s="186"/>
      <c r="BA354" s="186"/>
      <c r="BB354" s="186"/>
      <c r="BC354" s="186"/>
      <c r="BD354" s="186"/>
      <c r="BE354" s="186"/>
      <c r="BF354" s="186"/>
      <c r="BG354" s="186"/>
      <c r="BH354" s="186"/>
      <c r="BI354" s="186"/>
      <c r="BJ354" s="186"/>
      <c r="BK354" s="186"/>
    </row>
    <row r="355" spans="1:63">
      <c r="A355" s="186"/>
      <c r="B355" s="186"/>
      <c r="C355" s="186"/>
      <c r="D355" s="186"/>
      <c r="E355" s="186"/>
      <c r="F355" s="186"/>
      <c r="G355" s="186"/>
      <c r="H355" s="186"/>
      <c r="I355" s="186"/>
      <c r="J355" s="186"/>
      <c r="K355" s="186"/>
      <c r="L355" s="186"/>
      <c r="M355" s="186"/>
      <c r="N355" s="186"/>
      <c r="O355" s="186"/>
      <c r="P355" s="186"/>
      <c r="Q355" s="186"/>
      <c r="R355" s="186"/>
      <c r="S355" s="186"/>
      <c r="T355" s="186"/>
      <c r="U355" s="186"/>
      <c r="V355" s="186"/>
      <c r="W355" s="186"/>
      <c r="X355" s="186"/>
      <c r="Y355" s="186"/>
      <c r="Z355" s="186"/>
      <c r="AA355" s="186"/>
      <c r="AB355" s="186"/>
      <c r="AC355" s="186"/>
      <c r="AD355" s="186"/>
      <c r="AE355" s="186"/>
      <c r="AF355" s="186"/>
      <c r="AG355" s="186"/>
      <c r="AH355" s="186"/>
      <c r="AI355" s="186"/>
      <c r="AJ355" s="186"/>
      <c r="AK355" s="186"/>
      <c r="AL355" s="186"/>
      <c r="AM355" s="186"/>
      <c r="AN355" s="186"/>
      <c r="AO355" s="186"/>
      <c r="AP355" s="186"/>
      <c r="AQ355" s="186"/>
      <c r="AR355" s="186"/>
      <c r="AS355" s="186"/>
      <c r="AT355" s="186"/>
      <c r="AU355" s="186"/>
      <c r="AV355" s="186"/>
      <c r="AW355" s="186"/>
      <c r="AX355" s="186"/>
      <c r="AY355" s="186"/>
      <c r="AZ355" s="186"/>
      <c r="BA355" s="186"/>
      <c r="BB355" s="186"/>
      <c r="BC355" s="186"/>
      <c r="BD355" s="186"/>
      <c r="BE355" s="186"/>
      <c r="BF355" s="186"/>
      <c r="BG355" s="186"/>
      <c r="BH355" s="186"/>
      <c r="BI355" s="186"/>
      <c r="BJ355" s="186"/>
      <c r="BK355" s="186"/>
    </row>
    <row r="356" spans="1:63">
      <c r="A356" s="186"/>
      <c r="B356" s="186"/>
      <c r="C356" s="186"/>
      <c r="D356" s="186"/>
      <c r="E356" s="186"/>
      <c r="F356" s="186"/>
      <c r="G356" s="186"/>
      <c r="H356" s="186"/>
      <c r="I356" s="186"/>
      <c r="J356" s="186"/>
      <c r="K356" s="186"/>
      <c r="L356" s="186"/>
      <c r="M356" s="186"/>
      <c r="N356" s="186"/>
      <c r="O356" s="186"/>
      <c r="P356" s="186"/>
      <c r="Q356" s="186"/>
      <c r="R356" s="186"/>
      <c r="S356" s="186"/>
      <c r="T356" s="186"/>
      <c r="U356" s="186"/>
      <c r="V356" s="186"/>
      <c r="W356" s="186"/>
      <c r="X356" s="186"/>
      <c r="Y356" s="186"/>
      <c r="Z356" s="186"/>
      <c r="AA356" s="186"/>
      <c r="AB356" s="186"/>
      <c r="AC356" s="186"/>
      <c r="AD356" s="186"/>
      <c r="AE356" s="186"/>
      <c r="AF356" s="186"/>
      <c r="AG356" s="186"/>
      <c r="AH356" s="186"/>
      <c r="AI356" s="186"/>
      <c r="AJ356" s="186"/>
      <c r="AK356" s="186"/>
      <c r="AL356" s="186"/>
      <c r="AM356" s="186"/>
      <c r="AN356" s="186"/>
      <c r="AO356" s="186"/>
      <c r="AP356" s="186"/>
      <c r="AQ356" s="186"/>
      <c r="AR356" s="186"/>
      <c r="AS356" s="186"/>
      <c r="AT356" s="186"/>
      <c r="AU356" s="186"/>
      <c r="AV356" s="186"/>
      <c r="AW356" s="186"/>
      <c r="AX356" s="186"/>
      <c r="AY356" s="186"/>
      <c r="AZ356" s="186"/>
      <c r="BA356" s="186"/>
      <c r="BB356" s="186"/>
      <c r="BC356" s="186"/>
      <c r="BD356" s="186"/>
      <c r="BE356" s="186"/>
      <c r="BF356" s="186"/>
      <c r="BG356" s="186"/>
      <c r="BH356" s="186"/>
      <c r="BI356" s="186"/>
      <c r="BJ356" s="186"/>
      <c r="BK356" s="186"/>
    </row>
    <row r="357" spans="1:63">
      <c r="A357" s="186"/>
      <c r="B357" s="186"/>
      <c r="C357" s="186"/>
      <c r="D357" s="186"/>
      <c r="E357" s="186"/>
      <c r="F357" s="186"/>
      <c r="G357" s="186"/>
      <c r="H357" s="186"/>
      <c r="I357" s="186"/>
      <c r="J357" s="186"/>
      <c r="K357" s="186"/>
      <c r="L357" s="186"/>
      <c r="M357" s="186"/>
      <c r="N357" s="186"/>
      <c r="O357" s="186"/>
      <c r="P357" s="186"/>
      <c r="Q357" s="186"/>
      <c r="R357" s="186"/>
      <c r="S357" s="186"/>
      <c r="T357" s="186"/>
      <c r="U357" s="186"/>
      <c r="V357" s="186"/>
      <c r="W357" s="186"/>
      <c r="X357" s="186"/>
      <c r="Y357" s="186"/>
      <c r="Z357" s="186"/>
      <c r="AA357" s="186"/>
      <c r="AB357" s="186"/>
      <c r="AC357" s="186"/>
      <c r="AD357" s="186"/>
      <c r="AE357" s="186"/>
      <c r="AF357" s="186"/>
      <c r="AG357" s="186"/>
      <c r="AH357" s="186"/>
      <c r="AI357" s="186"/>
      <c r="AJ357" s="186"/>
      <c r="AK357" s="186"/>
      <c r="AL357" s="186"/>
      <c r="AM357" s="186"/>
      <c r="AN357" s="186"/>
      <c r="AO357" s="186"/>
      <c r="AP357" s="186"/>
      <c r="AQ357" s="186"/>
      <c r="AR357" s="186"/>
      <c r="AS357" s="186"/>
      <c r="AT357" s="186"/>
      <c r="AU357" s="186"/>
      <c r="AV357" s="186"/>
      <c r="AW357" s="186"/>
      <c r="AX357" s="186"/>
      <c r="AY357" s="186"/>
      <c r="AZ357" s="186"/>
      <c r="BA357" s="186"/>
      <c r="BB357" s="186"/>
      <c r="BC357" s="186"/>
      <c r="BD357" s="186"/>
      <c r="BE357" s="186"/>
      <c r="BF357" s="186"/>
      <c r="BG357" s="186"/>
      <c r="BH357" s="186"/>
      <c r="BI357" s="186"/>
      <c r="BJ357" s="186"/>
      <c r="BK357" s="186"/>
    </row>
    <row r="358" spans="1:63">
      <c r="A358" s="186"/>
      <c r="B358" s="186"/>
      <c r="C358" s="186"/>
      <c r="D358" s="186"/>
      <c r="E358" s="186"/>
      <c r="F358" s="186"/>
      <c r="G358" s="186"/>
      <c r="H358" s="186"/>
      <c r="I358" s="186"/>
      <c r="J358" s="186"/>
      <c r="K358" s="186"/>
      <c r="L358" s="186"/>
      <c r="M358" s="186"/>
      <c r="N358" s="186"/>
      <c r="O358" s="186"/>
      <c r="P358" s="186"/>
      <c r="Q358" s="186"/>
      <c r="R358" s="186"/>
      <c r="S358" s="186"/>
      <c r="T358" s="186"/>
      <c r="U358" s="186"/>
      <c r="V358" s="186"/>
      <c r="W358" s="186"/>
      <c r="X358" s="186"/>
      <c r="Y358" s="186"/>
      <c r="Z358" s="186"/>
      <c r="AA358" s="186"/>
      <c r="AB358" s="186"/>
      <c r="AC358" s="186"/>
      <c r="AD358" s="186"/>
      <c r="AE358" s="186"/>
      <c r="AF358" s="186"/>
      <c r="AG358" s="186"/>
      <c r="AH358" s="186"/>
      <c r="AI358" s="186"/>
      <c r="AJ358" s="186"/>
      <c r="AK358" s="186"/>
      <c r="AL358" s="186"/>
      <c r="AM358" s="186"/>
      <c r="AN358" s="186"/>
      <c r="AO358" s="186"/>
      <c r="AP358" s="186"/>
      <c r="AQ358" s="186"/>
      <c r="AR358" s="186"/>
      <c r="AS358" s="186"/>
      <c r="AT358" s="186"/>
      <c r="AU358" s="186"/>
      <c r="AV358" s="186"/>
      <c r="AW358" s="186"/>
      <c r="AX358" s="186"/>
      <c r="AY358" s="186"/>
      <c r="AZ358" s="186"/>
      <c r="BA358" s="186"/>
      <c r="BB358" s="186"/>
      <c r="BC358" s="186"/>
      <c r="BD358" s="186"/>
      <c r="BE358" s="186"/>
      <c r="BF358" s="186"/>
      <c r="BG358" s="186"/>
      <c r="BH358" s="186"/>
      <c r="BI358" s="186"/>
      <c r="BJ358" s="186"/>
      <c r="BK358" s="186"/>
    </row>
    <row r="359" spans="1:63">
      <c r="A359" s="186"/>
      <c r="B359" s="186"/>
      <c r="C359" s="186"/>
      <c r="D359" s="186"/>
      <c r="E359" s="186"/>
      <c r="F359" s="186"/>
      <c r="G359" s="186"/>
      <c r="H359" s="186"/>
      <c r="I359" s="186"/>
      <c r="J359" s="186"/>
      <c r="K359" s="186"/>
      <c r="L359" s="186"/>
      <c r="M359" s="186"/>
      <c r="N359" s="186"/>
      <c r="O359" s="186"/>
      <c r="P359" s="186"/>
      <c r="Q359" s="186"/>
      <c r="R359" s="186"/>
      <c r="S359" s="186"/>
      <c r="T359" s="186"/>
      <c r="U359" s="186"/>
      <c r="V359" s="186"/>
      <c r="W359" s="186"/>
      <c r="X359" s="186"/>
      <c r="Y359" s="186"/>
      <c r="Z359" s="186"/>
      <c r="AA359" s="186"/>
      <c r="AB359" s="186"/>
      <c r="AC359" s="186"/>
      <c r="AD359" s="186"/>
      <c r="AE359" s="186"/>
      <c r="AF359" s="186"/>
      <c r="AG359" s="186"/>
      <c r="AH359" s="186"/>
      <c r="AI359" s="186"/>
      <c r="AJ359" s="186"/>
      <c r="AK359" s="186"/>
      <c r="AL359" s="186"/>
      <c r="AM359" s="186"/>
      <c r="AN359" s="186"/>
      <c r="AO359" s="186"/>
      <c r="AP359" s="186"/>
      <c r="AQ359" s="186"/>
      <c r="AR359" s="186"/>
      <c r="AS359" s="186"/>
      <c r="AT359" s="186"/>
      <c r="AU359" s="186"/>
      <c r="AV359" s="186"/>
      <c r="AW359" s="186"/>
      <c r="AX359" s="186"/>
      <c r="AY359" s="186"/>
      <c r="AZ359" s="186"/>
      <c r="BA359" s="186"/>
      <c r="BB359" s="186"/>
      <c r="BC359" s="186"/>
      <c r="BD359" s="186"/>
      <c r="BE359" s="186"/>
      <c r="BF359" s="186"/>
      <c r="BG359" s="186"/>
      <c r="BH359" s="186"/>
      <c r="BI359" s="186"/>
      <c r="BJ359" s="186"/>
      <c r="BK359" s="186"/>
    </row>
    <row r="360" spans="1:63">
      <c r="A360" s="186"/>
      <c r="B360" s="186"/>
      <c r="C360" s="186"/>
      <c r="D360" s="186"/>
      <c r="E360" s="186"/>
      <c r="F360" s="186"/>
      <c r="G360" s="186"/>
      <c r="H360" s="186"/>
      <c r="I360" s="186"/>
      <c r="J360" s="186"/>
      <c r="K360" s="186"/>
      <c r="L360" s="186"/>
      <c r="M360" s="186"/>
      <c r="N360" s="186"/>
      <c r="O360" s="186"/>
      <c r="P360" s="186"/>
      <c r="Q360" s="186"/>
      <c r="R360" s="186"/>
      <c r="S360" s="186"/>
      <c r="T360" s="186"/>
      <c r="U360" s="186"/>
      <c r="V360" s="186"/>
      <c r="W360" s="186"/>
      <c r="X360" s="186"/>
      <c r="Y360" s="186"/>
      <c r="Z360" s="186"/>
      <c r="AA360" s="186"/>
      <c r="AB360" s="186"/>
      <c r="AC360" s="186"/>
      <c r="AD360" s="186"/>
      <c r="AE360" s="186"/>
      <c r="AF360" s="186"/>
      <c r="AG360" s="186"/>
      <c r="AH360" s="186"/>
      <c r="AI360" s="186"/>
      <c r="AJ360" s="186"/>
      <c r="AK360" s="186"/>
      <c r="AL360" s="186"/>
      <c r="AM360" s="186"/>
      <c r="AN360" s="186"/>
      <c r="AO360" s="186"/>
      <c r="AP360" s="186"/>
      <c r="AQ360" s="186"/>
      <c r="AR360" s="186"/>
      <c r="AS360" s="186"/>
      <c r="AT360" s="186"/>
      <c r="AU360" s="186"/>
      <c r="AV360" s="186"/>
      <c r="AW360" s="186"/>
      <c r="AX360" s="186"/>
      <c r="AY360" s="186"/>
      <c r="AZ360" s="186"/>
      <c r="BA360" s="186"/>
      <c r="BB360" s="186"/>
      <c r="BC360" s="186"/>
      <c r="BD360" s="186"/>
      <c r="BE360" s="186"/>
      <c r="BF360" s="186"/>
      <c r="BG360" s="186"/>
      <c r="BH360" s="186"/>
      <c r="BI360" s="186"/>
      <c r="BJ360" s="186"/>
      <c r="BK360" s="186"/>
    </row>
    <row r="361" spans="1:63">
      <c r="A361" s="186"/>
      <c r="B361" s="186"/>
      <c r="C361" s="186"/>
      <c r="D361" s="186"/>
      <c r="E361" s="186"/>
      <c r="F361" s="186"/>
      <c r="G361" s="186"/>
      <c r="H361" s="186"/>
      <c r="I361" s="186"/>
      <c r="J361" s="186"/>
      <c r="K361" s="186"/>
      <c r="L361" s="186"/>
      <c r="M361" s="186"/>
      <c r="N361" s="186"/>
      <c r="O361" s="186"/>
      <c r="P361" s="186"/>
      <c r="Q361" s="186"/>
      <c r="R361" s="186"/>
      <c r="S361" s="186"/>
      <c r="T361" s="186"/>
      <c r="U361" s="186"/>
      <c r="V361" s="186"/>
      <c r="W361" s="186"/>
      <c r="X361" s="186"/>
      <c r="Y361" s="186"/>
      <c r="Z361" s="186"/>
      <c r="AA361" s="186"/>
      <c r="AB361" s="186"/>
      <c r="AC361" s="186"/>
      <c r="AD361" s="186"/>
      <c r="AE361" s="186"/>
      <c r="AF361" s="186"/>
      <c r="AG361" s="186"/>
      <c r="AH361" s="186"/>
      <c r="AI361" s="186"/>
      <c r="AJ361" s="186"/>
      <c r="AK361" s="186"/>
      <c r="AL361" s="186"/>
      <c r="AM361" s="186"/>
      <c r="AN361" s="186"/>
      <c r="AO361" s="186"/>
      <c r="AP361" s="186"/>
      <c r="AQ361" s="186"/>
      <c r="AR361" s="186"/>
      <c r="AS361" s="186"/>
      <c r="AT361" s="186"/>
      <c r="AU361" s="186"/>
      <c r="AV361" s="186"/>
      <c r="AW361" s="186"/>
      <c r="AX361" s="186"/>
      <c r="AY361" s="186"/>
      <c r="AZ361" s="186"/>
      <c r="BA361" s="186"/>
      <c r="BB361" s="186"/>
      <c r="BC361" s="186"/>
      <c r="BD361" s="186"/>
      <c r="BE361" s="186"/>
      <c r="BF361" s="186"/>
      <c r="BG361" s="186"/>
      <c r="BH361" s="186"/>
      <c r="BI361" s="186"/>
      <c r="BJ361" s="186"/>
      <c r="BK361" s="186"/>
    </row>
    <row r="362" spans="1:63">
      <c r="A362" s="186"/>
      <c r="B362" s="186"/>
      <c r="C362" s="186"/>
      <c r="D362" s="186"/>
      <c r="E362" s="186"/>
      <c r="F362" s="186"/>
      <c r="G362" s="186"/>
      <c r="H362" s="186"/>
      <c r="I362" s="186"/>
      <c r="J362" s="186"/>
      <c r="K362" s="186"/>
      <c r="L362" s="186"/>
      <c r="M362" s="186"/>
      <c r="N362" s="186"/>
      <c r="O362" s="186"/>
      <c r="P362" s="186"/>
      <c r="Q362" s="186"/>
      <c r="R362" s="186"/>
      <c r="S362" s="186"/>
      <c r="T362" s="186"/>
      <c r="U362" s="186"/>
      <c r="V362" s="186"/>
      <c r="W362" s="186"/>
      <c r="X362" s="186"/>
      <c r="Y362" s="186"/>
      <c r="Z362" s="186"/>
      <c r="AA362" s="186"/>
      <c r="AB362" s="186"/>
      <c r="AC362" s="186"/>
      <c r="AD362" s="186"/>
      <c r="AE362" s="186"/>
      <c r="AF362" s="186"/>
      <c r="AG362" s="186"/>
      <c r="AH362" s="186"/>
      <c r="AI362" s="186"/>
      <c r="AJ362" s="186"/>
      <c r="AK362" s="186"/>
      <c r="AL362" s="186"/>
      <c r="AM362" s="186"/>
      <c r="AN362" s="186"/>
      <c r="AO362" s="186"/>
      <c r="AP362" s="186"/>
      <c r="AQ362" s="186"/>
      <c r="AR362" s="186"/>
      <c r="AS362" s="186"/>
      <c r="AT362" s="186"/>
      <c r="AU362" s="186"/>
      <c r="AV362" s="186"/>
      <c r="AW362" s="186"/>
      <c r="AX362" s="186"/>
      <c r="AY362" s="186"/>
      <c r="AZ362" s="186"/>
      <c r="BA362" s="186"/>
      <c r="BB362" s="186"/>
      <c r="BC362" s="186"/>
      <c r="BD362" s="186"/>
      <c r="BE362" s="186"/>
      <c r="BF362" s="186"/>
      <c r="BG362" s="186"/>
      <c r="BH362" s="186"/>
      <c r="BI362" s="186"/>
      <c r="BJ362" s="186"/>
      <c r="BK362" s="186"/>
    </row>
    <row r="363" spans="1:63">
      <c r="A363" s="186"/>
      <c r="B363" s="186"/>
      <c r="C363" s="186"/>
      <c r="D363" s="186"/>
      <c r="E363" s="186"/>
      <c r="F363" s="186"/>
      <c r="G363" s="186"/>
      <c r="H363" s="186"/>
      <c r="I363" s="186"/>
      <c r="J363" s="186"/>
      <c r="K363" s="186"/>
      <c r="L363" s="186"/>
      <c r="M363" s="186"/>
      <c r="N363" s="186"/>
      <c r="O363" s="186"/>
      <c r="P363" s="186"/>
      <c r="Q363" s="186"/>
      <c r="R363" s="186"/>
      <c r="S363" s="186"/>
      <c r="T363" s="186"/>
      <c r="U363" s="186"/>
      <c r="V363" s="186"/>
      <c r="W363" s="186"/>
      <c r="X363" s="186"/>
      <c r="Y363" s="186"/>
      <c r="Z363" s="186"/>
      <c r="AA363" s="186"/>
      <c r="AB363" s="186"/>
      <c r="AC363" s="186"/>
      <c r="AD363" s="186"/>
      <c r="AE363" s="186"/>
      <c r="AF363" s="186"/>
      <c r="AG363" s="186"/>
      <c r="AH363" s="186"/>
      <c r="AI363" s="186"/>
      <c r="AJ363" s="186"/>
      <c r="AK363" s="186"/>
      <c r="AL363" s="186"/>
      <c r="AM363" s="186"/>
      <c r="AN363" s="186"/>
      <c r="AO363" s="186"/>
      <c r="AP363" s="186"/>
      <c r="AQ363" s="186"/>
      <c r="AR363" s="186"/>
      <c r="AS363" s="186"/>
      <c r="AT363" s="186"/>
      <c r="AU363" s="186"/>
      <c r="AV363" s="186"/>
      <c r="AW363" s="186"/>
      <c r="AX363" s="186"/>
      <c r="AY363" s="186"/>
      <c r="AZ363" s="186"/>
      <c r="BA363" s="186"/>
      <c r="BB363" s="186"/>
      <c r="BC363" s="186"/>
      <c r="BD363" s="186"/>
      <c r="BE363" s="186"/>
      <c r="BF363" s="186"/>
      <c r="BG363" s="186"/>
      <c r="BH363" s="186"/>
      <c r="BI363" s="186"/>
      <c r="BJ363" s="186"/>
      <c r="BK363" s="186"/>
    </row>
    <row r="364" spans="1:63">
      <c r="A364" s="186"/>
      <c r="B364" s="186"/>
      <c r="C364" s="186"/>
      <c r="D364" s="186"/>
      <c r="E364" s="186"/>
      <c r="F364" s="186"/>
      <c r="G364" s="186"/>
      <c r="H364" s="186"/>
      <c r="I364" s="186"/>
      <c r="J364" s="186"/>
      <c r="K364" s="186"/>
      <c r="L364" s="186"/>
      <c r="M364" s="186"/>
      <c r="N364" s="186"/>
      <c r="O364" s="186"/>
      <c r="P364" s="186"/>
      <c r="Q364" s="186"/>
      <c r="R364" s="186"/>
      <c r="S364" s="186"/>
      <c r="T364" s="186"/>
      <c r="U364" s="186"/>
      <c r="V364" s="186"/>
      <c r="W364" s="186"/>
      <c r="X364" s="186"/>
      <c r="Y364" s="186"/>
      <c r="Z364" s="186"/>
      <c r="AA364" s="186"/>
      <c r="AB364" s="186"/>
      <c r="AC364" s="186"/>
      <c r="AD364" s="186"/>
      <c r="AE364" s="186"/>
      <c r="AF364" s="186"/>
      <c r="AG364" s="186"/>
      <c r="AH364" s="186"/>
      <c r="AI364" s="186"/>
      <c r="AJ364" s="186"/>
      <c r="AK364" s="186"/>
      <c r="AL364" s="186"/>
      <c r="AM364" s="186"/>
      <c r="AN364" s="186"/>
      <c r="AO364" s="186"/>
      <c r="AP364" s="186"/>
      <c r="AQ364" s="186"/>
      <c r="AR364" s="186"/>
      <c r="AS364" s="186"/>
      <c r="AT364" s="186"/>
      <c r="AU364" s="186"/>
      <c r="AV364" s="186"/>
      <c r="AW364" s="186"/>
      <c r="AX364" s="186"/>
      <c r="AY364" s="186"/>
      <c r="AZ364" s="186"/>
      <c r="BA364" s="186"/>
      <c r="BB364" s="186"/>
      <c r="BC364" s="186"/>
      <c r="BD364" s="186"/>
      <c r="BE364" s="186"/>
      <c r="BF364" s="186"/>
      <c r="BG364" s="186"/>
      <c r="BH364" s="186"/>
      <c r="BI364" s="186"/>
      <c r="BJ364" s="186"/>
      <c r="BK364" s="186"/>
    </row>
    <row r="365" spans="1:63">
      <c r="A365" s="186"/>
      <c r="B365" s="186"/>
      <c r="C365" s="186"/>
      <c r="D365" s="186"/>
      <c r="E365" s="186"/>
      <c r="F365" s="186"/>
      <c r="G365" s="186"/>
      <c r="H365" s="186"/>
      <c r="I365" s="186"/>
      <c r="J365" s="186"/>
      <c r="K365" s="186"/>
      <c r="L365" s="186"/>
      <c r="M365" s="186"/>
      <c r="N365" s="186"/>
      <c r="O365" s="186"/>
      <c r="P365" s="186"/>
      <c r="Q365" s="186"/>
      <c r="R365" s="186"/>
      <c r="S365" s="186"/>
      <c r="T365" s="186"/>
      <c r="U365" s="186"/>
      <c r="V365" s="186"/>
      <c r="W365" s="186"/>
      <c r="X365" s="186"/>
      <c r="Y365" s="186"/>
      <c r="Z365" s="186"/>
      <c r="AA365" s="186"/>
      <c r="AB365" s="186"/>
      <c r="AC365" s="186"/>
      <c r="AD365" s="186"/>
      <c r="AE365" s="186"/>
      <c r="AF365" s="186"/>
      <c r="AG365" s="186"/>
      <c r="AH365" s="186"/>
      <c r="AI365" s="186"/>
      <c r="AJ365" s="186"/>
      <c r="AK365" s="186"/>
      <c r="AL365" s="186"/>
      <c r="AM365" s="186"/>
      <c r="AN365" s="186"/>
      <c r="AO365" s="186"/>
      <c r="AP365" s="186"/>
      <c r="AQ365" s="186"/>
      <c r="AR365" s="186"/>
      <c r="AS365" s="186"/>
      <c r="AT365" s="186"/>
      <c r="AU365" s="186"/>
      <c r="AV365" s="186"/>
      <c r="AW365" s="186"/>
      <c r="AX365" s="186"/>
      <c r="AY365" s="186"/>
      <c r="AZ365" s="186"/>
      <c r="BA365" s="186"/>
      <c r="BB365" s="186"/>
      <c r="BC365" s="186"/>
      <c r="BD365" s="186"/>
      <c r="BE365" s="186"/>
      <c r="BF365" s="186"/>
      <c r="BG365" s="186"/>
      <c r="BH365" s="186"/>
      <c r="BI365" s="186"/>
      <c r="BJ365" s="186"/>
      <c r="BK365" s="186"/>
    </row>
    <row r="366" spans="1:63">
      <c r="A366" s="186"/>
      <c r="B366" s="186"/>
      <c r="C366" s="186"/>
      <c r="D366" s="186"/>
      <c r="E366" s="186"/>
      <c r="F366" s="186"/>
      <c r="G366" s="186"/>
      <c r="H366" s="186"/>
      <c r="I366" s="186"/>
      <c r="J366" s="186"/>
      <c r="K366" s="186"/>
      <c r="L366" s="186"/>
      <c r="M366" s="186"/>
      <c r="N366" s="186"/>
      <c r="O366" s="186"/>
      <c r="P366" s="186"/>
      <c r="Q366" s="186"/>
      <c r="R366" s="186"/>
      <c r="S366" s="186"/>
      <c r="T366" s="186"/>
      <c r="U366" s="186"/>
      <c r="V366" s="186"/>
      <c r="W366" s="186"/>
      <c r="X366" s="186"/>
      <c r="Y366" s="186"/>
      <c r="Z366" s="186"/>
      <c r="AA366" s="186"/>
      <c r="AB366" s="186"/>
      <c r="AC366" s="186"/>
      <c r="AD366" s="186"/>
      <c r="AE366" s="186"/>
      <c r="AF366" s="186"/>
      <c r="AG366" s="186"/>
      <c r="AH366" s="186"/>
      <c r="AI366" s="186"/>
      <c r="AJ366" s="186"/>
      <c r="AK366" s="186"/>
      <c r="AL366" s="186"/>
      <c r="AM366" s="186"/>
      <c r="AN366" s="186"/>
      <c r="AO366" s="186"/>
      <c r="AP366" s="186"/>
      <c r="AQ366" s="186"/>
      <c r="AR366" s="186"/>
      <c r="AS366" s="186"/>
      <c r="AT366" s="186"/>
      <c r="AU366" s="186"/>
      <c r="AV366" s="186"/>
      <c r="AW366" s="186"/>
      <c r="AX366" s="186"/>
      <c r="AY366" s="186"/>
      <c r="AZ366" s="186"/>
      <c r="BA366" s="186"/>
      <c r="BB366" s="186"/>
      <c r="BC366" s="186"/>
      <c r="BD366" s="186"/>
      <c r="BE366" s="186"/>
      <c r="BF366" s="186"/>
      <c r="BG366" s="186"/>
      <c r="BH366" s="186"/>
      <c r="BI366" s="186"/>
      <c r="BJ366" s="186"/>
      <c r="BK366" s="186"/>
    </row>
    <row r="367" spans="1:63">
      <c r="A367" s="186"/>
      <c r="B367" s="186"/>
      <c r="C367" s="186"/>
      <c r="D367" s="186"/>
      <c r="E367" s="186"/>
      <c r="F367" s="186"/>
      <c r="G367" s="186"/>
      <c r="H367" s="186"/>
      <c r="I367" s="186"/>
      <c r="J367" s="186"/>
      <c r="K367" s="186"/>
      <c r="L367" s="186"/>
      <c r="M367" s="186"/>
      <c r="N367" s="186"/>
      <c r="O367" s="186"/>
      <c r="P367" s="186"/>
      <c r="Q367" s="186"/>
      <c r="R367" s="186"/>
      <c r="S367" s="186"/>
      <c r="T367" s="186"/>
      <c r="U367" s="186"/>
      <c r="V367" s="186"/>
      <c r="W367" s="186"/>
      <c r="X367" s="186"/>
      <c r="Y367" s="186"/>
      <c r="Z367" s="186"/>
      <c r="AA367" s="186"/>
      <c r="AB367" s="186"/>
      <c r="AC367" s="186"/>
      <c r="AD367" s="186"/>
      <c r="AE367" s="186"/>
      <c r="AF367" s="186"/>
      <c r="AG367" s="186"/>
      <c r="AH367" s="186"/>
      <c r="AI367" s="186"/>
      <c r="AJ367" s="186"/>
      <c r="AK367" s="186"/>
      <c r="AL367" s="186"/>
      <c r="AM367" s="186"/>
      <c r="AN367" s="186"/>
      <c r="AO367" s="186"/>
      <c r="AP367" s="186"/>
      <c r="AQ367" s="186"/>
      <c r="AR367" s="186"/>
      <c r="AS367" s="186"/>
      <c r="AT367" s="186"/>
      <c r="AU367" s="186"/>
      <c r="AV367" s="186"/>
      <c r="AW367" s="186"/>
      <c r="AX367" s="186"/>
      <c r="AY367" s="186"/>
      <c r="AZ367" s="186"/>
      <c r="BA367" s="186"/>
      <c r="BB367" s="186"/>
      <c r="BC367" s="186"/>
      <c r="BD367" s="186"/>
      <c r="BE367" s="186"/>
      <c r="BF367" s="186"/>
      <c r="BG367" s="186"/>
      <c r="BH367" s="186"/>
      <c r="BI367" s="186"/>
      <c r="BJ367" s="186"/>
      <c r="BK367" s="186"/>
    </row>
    <row r="368" spans="1:63">
      <c r="A368" s="186"/>
      <c r="B368" s="186"/>
      <c r="C368" s="186"/>
      <c r="D368" s="186"/>
      <c r="E368" s="186"/>
      <c r="F368" s="186"/>
      <c r="G368" s="186"/>
      <c r="H368" s="186"/>
      <c r="I368" s="186"/>
      <c r="J368" s="186"/>
      <c r="K368" s="186"/>
      <c r="L368" s="186"/>
      <c r="M368" s="186"/>
      <c r="N368" s="186"/>
      <c r="O368" s="186"/>
      <c r="P368" s="186"/>
      <c r="Q368" s="186"/>
      <c r="R368" s="186"/>
      <c r="S368" s="186"/>
      <c r="T368" s="186"/>
      <c r="U368" s="186"/>
      <c r="V368" s="186"/>
      <c r="W368" s="186"/>
      <c r="X368" s="186"/>
      <c r="Y368" s="186"/>
      <c r="Z368" s="186"/>
      <c r="AA368" s="186"/>
      <c r="AB368" s="186"/>
      <c r="AC368" s="186"/>
      <c r="AD368" s="186"/>
      <c r="AE368" s="186"/>
      <c r="AF368" s="186"/>
      <c r="AG368" s="186"/>
      <c r="AH368" s="186"/>
      <c r="AI368" s="186"/>
      <c r="AJ368" s="186"/>
      <c r="AK368" s="186"/>
      <c r="AL368" s="186"/>
      <c r="AM368" s="186"/>
      <c r="AN368" s="186"/>
      <c r="AO368" s="186"/>
      <c r="AP368" s="186"/>
      <c r="AQ368" s="186"/>
      <c r="AR368" s="186"/>
      <c r="AS368" s="186"/>
      <c r="AT368" s="186"/>
      <c r="AU368" s="186"/>
      <c r="AV368" s="186"/>
      <c r="AW368" s="186"/>
      <c r="AX368" s="186"/>
      <c r="AY368" s="186"/>
      <c r="AZ368" s="186"/>
      <c r="BA368" s="186"/>
      <c r="BB368" s="186"/>
      <c r="BC368" s="186"/>
      <c r="BD368" s="186"/>
      <c r="BE368" s="186"/>
      <c r="BF368" s="186"/>
      <c r="BG368" s="186"/>
      <c r="BH368" s="186"/>
      <c r="BI368" s="186"/>
      <c r="BJ368" s="186"/>
      <c r="BK368" s="186"/>
    </row>
    <row r="369" spans="1:63">
      <c r="A369" s="186"/>
      <c r="B369" s="186"/>
      <c r="C369" s="186"/>
      <c r="D369" s="186"/>
      <c r="E369" s="186"/>
      <c r="F369" s="186"/>
      <c r="G369" s="186"/>
      <c r="H369" s="186"/>
      <c r="I369" s="186"/>
      <c r="J369" s="186"/>
      <c r="K369" s="186"/>
      <c r="L369" s="186"/>
      <c r="M369" s="186"/>
      <c r="N369" s="186"/>
      <c r="O369" s="186"/>
      <c r="P369" s="186"/>
      <c r="Q369" s="186"/>
      <c r="R369" s="186"/>
      <c r="S369" s="186"/>
      <c r="T369" s="186"/>
      <c r="U369" s="186"/>
      <c r="V369" s="186"/>
      <c r="W369" s="186"/>
      <c r="X369" s="186"/>
      <c r="Y369" s="186"/>
      <c r="Z369" s="186"/>
      <c r="AA369" s="186"/>
      <c r="AB369" s="186"/>
      <c r="AC369" s="186"/>
      <c r="AD369" s="186"/>
      <c r="AE369" s="186"/>
      <c r="AF369" s="186"/>
      <c r="AG369" s="186"/>
      <c r="AH369" s="186"/>
      <c r="AI369" s="186"/>
      <c r="AJ369" s="186"/>
      <c r="AK369" s="186"/>
      <c r="AL369" s="186"/>
      <c r="AM369" s="186"/>
      <c r="AN369" s="186"/>
      <c r="AO369" s="186"/>
      <c r="AP369" s="186"/>
      <c r="AQ369" s="186"/>
      <c r="AR369" s="186"/>
      <c r="AS369" s="186"/>
      <c r="AT369" s="186"/>
      <c r="AU369" s="186"/>
      <c r="AV369" s="186"/>
      <c r="AW369" s="186"/>
      <c r="AX369" s="186"/>
      <c r="AY369" s="186"/>
      <c r="AZ369" s="186"/>
      <c r="BA369" s="186"/>
      <c r="BB369" s="186"/>
      <c r="BC369" s="186"/>
      <c r="BD369" s="186"/>
      <c r="BE369" s="186"/>
      <c r="BF369" s="186"/>
      <c r="BG369" s="186"/>
      <c r="BH369" s="186"/>
      <c r="BI369" s="186"/>
      <c r="BJ369" s="186"/>
      <c r="BK369" s="186"/>
    </row>
    <row r="370" spans="1:63">
      <c r="A370" s="186"/>
      <c r="B370" s="186"/>
      <c r="C370" s="186"/>
      <c r="D370" s="186"/>
      <c r="E370" s="186"/>
      <c r="F370" s="186"/>
      <c r="G370" s="186"/>
      <c r="H370" s="186"/>
      <c r="I370" s="186"/>
      <c r="J370" s="186"/>
      <c r="K370" s="186"/>
      <c r="L370" s="186"/>
      <c r="M370" s="186"/>
      <c r="N370" s="186"/>
      <c r="O370" s="186"/>
      <c r="P370" s="186"/>
      <c r="Q370" s="186"/>
      <c r="R370" s="186"/>
      <c r="S370" s="186"/>
      <c r="T370" s="186"/>
      <c r="U370" s="186"/>
      <c r="V370" s="186"/>
      <c r="W370" s="186"/>
      <c r="X370" s="186"/>
      <c r="Y370" s="186"/>
      <c r="Z370" s="186"/>
      <c r="AA370" s="186"/>
      <c r="AB370" s="186"/>
      <c r="AC370" s="186"/>
      <c r="AD370" s="186"/>
      <c r="AE370" s="186"/>
      <c r="AF370" s="186"/>
      <c r="AG370" s="186"/>
      <c r="AH370" s="186"/>
      <c r="AI370" s="186"/>
      <c r="AJ370" s="186"/>
      <c r="AK370" s="186"/>
      <c r="AL370" s="186"/>
      <c r="AM370" s="186"/>
      <c r="AN370" s="186"/>
      <c r="AO370" s="186"/>
      <c r="AP370" s="186"/>
      <c r="AQ370" s="186"/>
      <c r="AR370" s="186"/>
      <c r="AS370" s="186"/>
      <c r="AT370" s="186"/>
      <c r="AU370" s="186"/>
      <c r="AV370" s="186"/>
      <c r="AW370" s="186"/>
      <c r="AX370" s="186"/>
      <c r="AY370" s="186"/>
      <c r="AZ370" s="186"/>
      <c r="BA370" s="186"/>
      <c r="BB370" s="186"/>
      <c r="BC370" s="186"/>
      <c r="BD370" s="186"/>
      <c r="BE370" s="186"/>
      <c r="BF370" s="186"/>
      <c r="BG370" s="186"/>
      <c r="BH370" s="186"/>
      <c r="BI370" s="186"/>
      <c r="BJ370" s="186"/>
      <c r="BK370" s="186"/>
    </row>
    <row r="371" spans="1:63">
      <c r="A371" s="186"/>
      <c r="B371" s="186"/>
      <c r="C371" s="186"/>
      <c r="D371" s="186"/>
      <c r="E371" s="186"/>
      <c r="F371" s="186"/>
      <c r="G371" s="186"/>
      <c r="H371" s="186"/>
      <c r="I371" s="186"/>
      <c r="J371" s="186"/>
      <c r="K371" s="186"/>
      <c r="L371" s="186"/>
      <c r="M371" s="186"/>
      <c r="N371" s="186"/>
      <c r="O371" s="186"/>
      <c r="P371" s="186"/>
      <c r="Q371" s="186"/>
      <c r="R371" s="186"/>
      <c r="S371" s="186"/>
      <c r="T371" s="186"/>
      <c r="U371" s="186"/>
      <c r="V371" s="186"/>
      <c r="W371" s="186"/>
      <c r="X371" s="186"/>
      <c r="Y371" s="186"/>
      <c r="Z371" s="186"/>
      <c r="AA371" s="186"/>
      <c r="AB371" s="186"/>
      <c r="AC371" s="186"/>
      <c r="AD371" s="186"/>
      <c r="AE371" s="186"/>
      <c r="AF371" s="186"/>
      <c r="AG371" s="186"/>
      <c r="AH371" s="186"/>
      <c r="AI371" s="186"/>
      <c r="AJ371" s="186"/>
      <c r="AK371" s="186"/>
      <c r="AL371" s="186"/>
      <c r="AM371" s="186"/>
      <c r="AN371" s="186"/>
      <c r="AO371" s="186"/>
      <c r="AP371" s="186"/>
      <c r="AQ371" s="186"/>
      <c r="AR371" s="186"/>
      <c r="AS371" s="186"/>
      <c r="AT371" s="186"/>
      <c r="AU371" s="186"/>
      <c r="AV371" s="186"/>
      <c r="AW371" s="186"/>
      <c r="AX371" s="186"/>
      <c r="AY371" s="186"/>
      <c r="AZ371" s="186"/>
      <c r="BA371" s="186"/>
      <c r="BB371" s="186"/>
      <c r="BC371" s="186"/>
      <c r="BD371" s="186"/>
      <c r="BE371" s="186"/>
      <c r="BF371" s="186"/>
      <c r="BG371" s="186"/>
      <c r="BH371" s="186"/>
      <c r="BI371" s="186"/>
      <c r="BJ371" s="186"/>
      <c r="BK371" s="186"/>
    </row>
  </sheetData>
  <pageMargins left="0.25" right="0.25" top="0.75" bottom="0.75" header="0.3" footer="0.3"/>
  <pageSetup scale="58" fitToWidth="3" orientation="portrait" r:id="rId1"/>
  <colBreaks count="2" manualBreakCount="2">
    <brk id="13" max="56" man="1"/>
    <brk id="33" max="56"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BK371"/>
  <sheetViews>
    <sheetView showGridLines="0" view="pageBreakPreview" zoomScaleNormal="100" zoomScaleSheetLayoutView="100" workbookViewId="0">
      <selection activeCell="J34" sqref="J34"/>
    </sheetView>
  </sheetViews>
  <sheetFormatPr defaultRowHeight="15"/>
  <cols>
    <col min="1" max="1" width="1.7109375" customWidth="1"/>
    <col min="2" max="2" width="6.5703125" customWidth="1"/>
    <col min="3" max="4" width="12.140625" customWidth="1"/>
    <col min="5" max="5" width="14.5703125" customWidth="1"/>
    <col min="6" max="6" width="17" customWidth="1"/>
    <col min="7" max="10" width="12.140625" customWidth="1"/>
    <col min="11" max="11" width="7" customWidth="1"/>
    <col min="12" max="13" width="1.42578125" customWidth="1"/>
    <col min="15" max="15" width="5.85546875" customWidth="1"/>
    <col min="16" max="16" width="1.85546875" customWidth="1"/>
    <col min="17" max="29" width="8.28515625" customWidth="1"/>
    <col min="30" max="30" width="9.28515625" customWidth="1"/>
    <col min="31" max="32" width="9.140625" customWidth="1"/>
    <col min="33" max="33" width="2" customWidth="1"/>
    <col min="34" max="34" width="2.42578125" customWidth="1"/>
    <col min="35" max="35" width="9.7109375" customWidth="1"/>
    <col min="36" max="44" width="10.85546875" customWidth="1"/>
  </cols>
  <sheetData>
    <row r="1" spans="1:63" s="289" customFormat="1" ht="14.25">
      <c r="A1" s="866"/>
      <c r="B1" s="881"/>
      <c r="C1" s="866"/>
      <c r="D1" s="866"/>
      <c r="E1" s="866"/>
      <c r="F1" s="866"/>
      <c r="G1" s="866"/>
      <c r="H1" s="866"/>
      <c r="I1" s="866"/>
      <c r="J1" s="866"/>
      <c r="K1" s="866"/>
      <c r="L1" s="866"/>
      <c r="M1" s="866"/>
      <c r="N1" s="866"/>
      <c r="O1" s="866"/>
      <c r="P1" s="866"/>
      <c r="Q1" s="866"/>
      <c r="R1" s="866"/>
      <c r="S1" s="866"/>
      <c r="T1" s="866"/>
      <c r="U1" s="866"/>
      <c r="V1" s="866"/>
      <c r="W1" s="866"/>
      <c r="X1" s="866"/>
      <c r="Y1" s="866"/>
      <c r="Z1" s="866"/>
      <c r="AA1" s="866"/>
      <c r="AB1" s="866"/>
      <c r="AC1" s="866"/>
      <c r="AD1" s="866"/>
      <c r="AE1" s="866"/>
      <c r="AF1" s="866"/>
      <c r="AG1" s="866"/>
      <c r="AH1" s="866"/>
      <c r="AI1" s="866"/>
      <c r="AJ1" s="866"/>
      <c r="AK1" s="866"/>
      <c r="AL1" s="866"/>
      <c r="AM1" s="866"/>
      <c r="AN1" s="866"/>
      <c r="AO1" s="866"/>
      <c r="AP1" s="866"/>
      <c r="AQ1" s="866"/>
      <c r="AR1" s="866"/>
      <c r="AS1" s="866"/>
      <c r="AT1" s="866"/>
      <c r="AU1" s="866"/>
      <c r="AV1" s="866"/>
      <c r="AW1" s="866"/>
      <c r="AX1" s="866"/>
      <c r="AY1" s="866"/>
      <c r="AZ1" s="866"/>
      <c r="BA1" s="866"/>
      <c r="BB1" s="866"/>
      <c r="BC1" s="866"/>
      <c r="BD1" s="866"/>
      <c r="BE1" s="866"/>
      <c r="BF1" s="866"/>
      <c r="BG1" s="866"/>
      <c r="BH1" s="866"/>
      <c r="BI1" s="866"/>
      <c r="BJ1" s="866"/>
      <c r="BK1" s="916"/>
    </row>
    <row r="2" spans="1:63" s="289" customFormat="1" ht="14.25">
      <c r="A2" s="866"/>
      <c r="B2" s="866"/>
      <c r="C2" s="866"/>
      <c r="D2" s="866"/>
      <c r="E2" s="866"/>
      <c r="F2" s="866"/>
      <c r="G2" s="866"/>
      <c r="H2" s="866"/>
      <c r="I2" s="866"/>
      <c r="J2" s="866"/>
      <c r="K2" s="868"/>
      <c r="L2" s="868"/>
      <c r="M2" s="868"/>
      <c r="N2" s="868"/>
      <c r="O2" s="868"/>
      <c r="P2" s="868"/>
      <c r="Q2" s="868"/>
      <c r="R2" s="868"/>
      <c r="S2" s="868"/>
      <c r="T2" s="868"/>
      <c r="U2" s="868"/>
      <c r="V2" s="868"/>
      <c r="W2" s="868"/>
      <c r="X2" s="868"/>
      <c r="Y2" s="868"/>
      <c r="Z2" s="868"/>
      <c r="AA2" s="868"/>
      <c r="AB2" s="868"/>
      <c r="AC2" s="868"/>
      <c r="AD2" s="868"/>
      <c r="AE2" s="917" t="s">
        <v>345</v>
      </c>
      <c r="AF2" s="917" t="s">
        <v>346</v>
      </c>
      <c r="AG2" s="868"/>
      <c r="AH2" s="868"/>
      <c r="AI2" s="868" t="s">
        <v>347</v>
      </c>
      <c r="AJ2" s="868"/>
      <c r="AK2" s="868"/>
      <c r="AL2" s="868"/>
      <c r="AM2" s="868"/>
      <c r="AN2" s="868"/>
      <c r="AO2" s="868"/>
      <c r="AP2" s="868"/>
      <c r="AQ2" s="868"/>
      <c r="AR2" s="868"/>
      <c r="AS2" s="866"/>
      <c r="AT2" s="866"/>
      <c r="AU2" s="866"/>
      <c r="AV2" s="866"/>
      <c r="AW2" s="866"/>
      <c r="AX2" s="866"/>
      <c r="AY2" s="866"/>
      <c r="AZ2" s="866"/>
      <c r="BA2" s="866"/>
      <c r="BB2" s="866"/>
      <c r="BC2" s="866"/>
      <c r="BD2" s="866"/>
      <c r="BE2" s="866"/>
      <c r="BF2" s="866"/>
      <c r="BG2" s="866"/>
      <c r="BH2" s="866"/>
      <c r="BI2" s="866"/>
      <c r="BJ2" s="866"/>
      <c r="BK2" s="916"/>
    </row>
    <row r="3" spans="1:63" s="289" customFormat="1" ht="14.25">
      <c r="A3" s="866"/>
      <c r="B3" s="868" t="s">
        <v>409</v>
      </c>
      <c r="C3" s="866"/>
      <c r="D3" s="866"/>
      <c r="E3" s="866"/>
      <c r="F3" s="866"/>
      <c r="G3" s="866"/>
      <c r="H3" s="866"/>
      <c r="I3" s="866"/>
      <c r="J3" s="866"/>
      <c r="K3" s="868"/>
      <c r="L3" s="868"/>
      <c r="M3" s="868"/>
      <c r="N3" s="868"/>
      <c r="O3" s="868"/>
      <c r="P3" s="868"/>
      <c r="Q3" s="868"/>
      <c r="R3" s="868"/>
      <c r="S3" s="868"/>
      <c r="T3" s="868"/>
      <c r="U3" s="868"/>
      <c r="V3" s="868"/>
      <c r="W3" s="868"/>
      <c r="X3" s="868"/>
      <c r="Y3" s="868"/>
      <c r="Z3" s="868"/>
      <c r="AA3" s="868"/>
      <c r="AB3" s="868"/>
      <c r="AC3" s="868"/>
      <c r="AD3" s="868"/>
      <c r="AE3" s="917"/>
      <c r="AF3" s="917"/>
      <c r="AG3" s="868"/>
      <c r="AH3" s="868"/>
      <c r="AI3" s="868"/>
      <c r="AJ3" s="868"/>
      <c r="AK3" s="868"/>
      <c r="AL3" s="868"/>
      <c r="AM3" s="868"/>
      <c r="AN3" s="868"/>
      <c r="AO3" s="868"/>
      <c r="AP3" s="868"/>
      <c r="AQ3" s="868"/>
      <c r="AR3" s="868"/>
      <c r="AS3" s="866"/>
      <c r="AT3" s="866"/>
      <c r="AU3" s="866"/>
      <c r="AV3" s="866"/>
      <c r="AW3" s="866"/>
      <c r="AX3" s="866"/>
      <c r="AY3" s="866"/>
      <c r="AZ3" s="866"/>
      <c r="BA3" s="866"/>
      <c r="BB3" s="866"/>
      <c r="BC3" s="866"/>
      <c r="BD3" s="866"/>
      <c r="BE3" s="866"/>
      <c r="BF3" s="866"/>
      <c r="BG3" s="866"/>
      <c r="BH3" s="866"/>
      <c r="BI3" s="866"/>
      <c r="BJ3" s="866"/>
      <c r="BK3" s="916"/>
    </row>
    <row r="4" spans="1:63" s="289" customFormat="1" ht="14.25">
      <c r="A4" s="866"/>
      <c r="B4" s="870"/>
      <c r="C4" s="868"/>
      <c r="D4" s="868"/>
      <c r="E4" s="871"/>
      <c r="F4" s="868"/>
      <c r="G4" s="872"/>
      <c r="H4" s="868"/>
      <c r="I4" s="868"/>
      <c r="J4" s="868"/>
      <c r="K4" s="868"/>
      <c r="L4" s="868"/>
      <c r="M4" s="868"/>
      <c r="N4" s="868" t="s">
        <v>349</v>
      </c>
      <c r="O4" s="868"/>
      <c r="P4" s="868"/>
      <c r="Q4" s="868"/>
      <c r="R4" s="868"/>
      <c r="S4" s="868"/>
      <c r="T4" s="868"/>
      <c r="U4" s="917" t="s">
        <v>350</v>
      </c>
      <c r="V4" s="917" t="s">
        <v>351</v>
      </c>
      <c r="W4" s="917" t="s">
        <v>352</v>
      </c>
      <c r="X4" s="917" t="s">
        <v>353</v>
      </c>
      <c r="Y4" s="917" t="s">
        <v>354</v>
      </c>
      <c r="Z4" s="868"/>
      <c r="AA4" s="917" t="s">
        <v>355</v>
      </c>
      <c r="AB4" s="868" t="s">
        <v>356</v>
      </c>
      <c r="AC4" s="917" t="s">
        <v>357</v>
      </c>
      <c r="AD4" s="917" t="s">
        <v>358</v>
      </c>
      <c r="AE4" s="917" t="s">
        <v>359</v>
      </c>
      <c r="AF4" s="868"/>
      <c r="AG4" s="868"/>
      <c r="AH4" s="868"/>
      <c r="AI4" s="868" t="s">
        <v>360</v>
      </c>
      <c r="AJ4" s="868"/>
      <c r="AK4" s="868"/>
      <c r="AL4" s="868"/>
      <c r="AM4" s="868"/>
      <c r="AN4" s="868"/>
      <c r="AO4" s="868"/>
      <c r="AP4" s="868"/>
      <c r="AQ4" s="868"/>
      <c r="AR4" s="868"/>
      <c r="AS4" s="866"/>
      <c r="AT4" s="866"/>
      <c r="AU4" s="866"/>
      <c r="AV4" s="866"/>
      <c r="AW4" s="866"/>
      <c r="AX4" s="866"/>
      <c r="AY4" s="866"/>
      <c r="AZ4" s="866"/>
      <c r="BA4" s="866"/>
      <c r="BB4" s="866"/>
      <c r="BC4" s="866"/>
      <c r="BD4" s="866"/>
      <c r="BE4" s="866"/>
      <c r="BF4" s="866"/>
      <c r="BG4" s="866"/>
      <c r="BH4" s="866"/>
      <c r="BI4" s="866"/>
      <c r="BJ4" s="866"/>
      <c r="BK4" s="916"/>
    </row>
    <row r="5" spans="1:63" s="289" customFormat="1" ht="14.25">
      <c r="A5" s="866"/>
      <c r="B5" s="875" t="s">
        <v>361</v>
      </c>
      <c r="C5" s="875" t="s">
        <v>362</v>
      </c>
      <c r="D5" s="868"/>
      <c r="E5" s="871">
        <f>E7+E6</f>
        <v>114944.79320586243</v>
      </c>
      <c r="F5" s="875" t="s">
        <v>363</v>
      </c>
      <c r="G5" s="868"/>
      <c r="H5" s="868"/>
      <c r="I5" s="868"/>
      <c r="J5" s="875"/>
      <c r="K5" s="868"/>
      <c r="L5" s="889"/>
      <c r="M5" s="868"/>
      <c r="N5" s="875" t="s">
        <v>364</v>
      </c>
      <c r="O5" s="868"/>
      <c r="P5" s="868"/>
      <c r="Q5" s="875" t="s">
        <v>365</v>
      </c>
      <c r="R5" s="868"/>
      <c r="S5" s="868"/>
      <c r="T5" s="868"/>
      <c r="U5" s="911">
        <f>$E$8*1.25</f>
        <v>123072.27089417733</v>
      </c>
      <c r="V5" s="884">
        <f>100*(+U5/$E$9)</f>
        <v>140.49617910809283</v>
      </c>
      <c r="W5" s="892">
        <f>EXP(5.7226-(0.68367*LN(+V5)))</f>
        <v>10.399196970397274</v>
      </c>
      <c r="X5" s="892">
        <f>(+W5*V5)/100</f>
        <v>14.610474401332716</v>
      </c>
      <c r="Y5" s="884">
        <f>100*((((X5/100)-((X5/100)-0.03574)*$E$21)-0.03574-0.00619)/0.344)</f>
        <v>19.375212514184863</v>
      </c>
      <c r="Z5" s="868">
        <f>$E$20</f>
        <v>0.25</v>
      </c>
      <c r="AA5" s="884">
        <f>Y5+Z5</f>
        <v>19.625212514184863</v>
      </c>
      <c r="AB5" s="884">
        <f>100*($E$17*$E$19+($E$18*(AA5/100))/(1-$E$21))</f>
        <v>19.069607391269631</v>
      </c>
      <c r="AC5" s="892">
        <f>AB5/V5</f>
        <v>0.13573043418211497</v>
      </c>
      <c r="AD5" s="911">
        <f>$E$8/(1-AC5)</f>
        <v>113920.2635489868</v>
      </c>
      <c r="AE5" s="868" t="str">
        <f>IF(AD5=$U$5,"yes","not yet")</f>
        <v>not yet</v>
      </c>
      <c r="AF5" s="884">
        <f>100*(1-AC5)</f>
        <v>86.426956581788502</v>
      </c>
      <c r="AG5" s="868"/>
      <c r="AH5" s="868"/>
      <c r="AI5" s="868">
        <v>0</v>
      </c>
      <c r="AJ5" s="868">
        <v>1</v>
      </c>
      <c r="AK5" s="868"/>
      <c r="AL5" s="868"/>
      <c r="AM5" s="868"/>
      <c r="AN5" s="868"/>
      <c r="AO5" s="868"/>
      <c r="AP5" s="868"/>
      <c r="AQ5" s="868"/>
      <c r="AR5" s="868"/>
      <c r="AS5" s="866"/>
      <c r="AT5" s="866"/>
      <c r="AU5" s="866"/>
      <c r="AV5" s="866"/>
      <c r="AW5" s="866"/>
      <c r="AX5" s="866"/>
      <c r="AY5" s="866"/>
      <c r="AZ5" s="866"/>
      <c r="BA5" s="866"/>
      <c r="BB5" s="866"/>
      <c r="BC5" s="866"/>
      <c r="BD5" s="866"/>
      <c r="BE5" s="866"/>
      <c r="BF5" s="866"/>
      <c r="BG5" s="866"/>
      <c r="BH5" s="866"/>
      <c r="BI5" s="866"/>
      <c r="BJ5" s="866"/>
      <c r="BK5" s="916"/>
    </row>
    <row r="6" spans="1:63" s="289" customFormat="1" ht="14.25">
      <c r="A6" s="866"/>
      <c r="B6" s="875" t="s">
        <v>361</v>
      </c>
      <c r="C6" s="875" t="s">
        <v>366</v>
      </c>
      <c r="D6" s="868"/>
      <c r="E6" s="871">
        <f>(+E8-((H15/100)*E7))/H25</f>
        <v>27160.578245232489</v>
      </c>
      <c r="F6" s="876" t="s">
        <v>363</v>
      </c>
      <c r="G6" s="868"/>
      <c r="H6" s="877"/>
      <c r="I6" s="868"/>
      <c r="J6" s="878">
        <f>E6/E7</f>
        <v>0.30940161915685699</v>
      </c>
      <c r="K6" s="868" t="s">
        <v>367</v>
      </c>
      <c r="L6" s="889"/>
      <c r="M6" s="868"/>
      <c r="N6" s="875" t="s">
        <v>368</v>
      </c>
      <c r="O6" s="868"/>
      <c r="P6" s="868"/>
      <c r="Q6" s="875" t="s">
        <v>369</v>
      </c>
      <c r="R6" s="868"/>
      <c r="S6" s="868"/>
      <c r="T6" s="868"/>
      <c r="U6" s="911">
        <f>$E$8*1.25</f>
        <v>123072.27089417733</v>
      </c>
      <c r="V6" s="884">
        <f>100*(+U6/$E$9)</f>
        <v>140.49617910809283</v>
      </c>
      <c r="W6" s="892">
        <f>EXP(5.70827-(0.68367*LN(+V6)))</f>
        <v>10.251239127661039</v>
      </c>
      <c r="X6" s="892">
        <f>(+W6*V6)/100</f>
        <v>14.402599285597546</v>
      </c>
      <c r="Y6" s="884">
        <f>100*((((X6/100)-((X6/100)-0.03574)*$E$21)-0.03574-0.00619)/0.344)</f>
        <v>18.976382350274356</v>
      </c>
      <c r="Z6" s="868">
        <f>$E$20</f>
        <v>0.25</v>
      </c>
      <c r="AA6" s="884">
        <f>Y6+Z6</f>
        <v>19.226382350274356</v>
      </c>
      <c r="AB6" s="884">
        <f>100*($E$17*$E$19+($E$18*(AA6/100))/(1-$E$21))</f>
        <v>18.707034514987349</v>
      </c>
      <c r="AC6" s="892">
        <f>AB6/V6</f>
        <v>0.13314977413438989</v>
      </c>
      <c r="AD6" s="911">
        <f>$E$8/(1-AC6)</f>
        <v>113581.11675754009</v>
      </c>
      <c r="AE6" s="868" t="str">
        <f>IF(AD6=$U$6,"yes","not yet")</f>
        <v>not yet</v>
      </c>
      <c r="AF6" s="884">
        <f>100*(1-AC6)</f>
        <v>86.685022586561018</v>
      </c>
      <c r="AG6" s="868"/>
      <c r="AH6" s="868"/>
      <c r="AI6" s="868">
        <v>50</v>
      </c>
      <c r="AJ6" s="868">
        <v>2</v>
      </c>
      <c r="AK6" s="868"/>
      <c r="AL6" s="868"/>
      <c r="AM6" s="868"/>
      <c r="AN6" s="868"/>
      <c r="AO6" s="868"/>
      <c r="AP6" s="868"/>
      <c r="AQ6" s="868"/>
      <c r="AR6" s="868"/>
      <c r="AS6" s="866"/>
      <c r="AT6" s="866"/>
      <c r="AU6" s="866"/>
      <c r="AV6" s="866"/>
      <c r="AW6" s="866"/>
      <c r="AX6" s="866"/>
      <c r="AY6" s="866"/>
      <c r="AZ6" s="866"/>
      <c r="BA6" s="866"/>
      <c r="BB6" s="866"/>
      <c r="BC6" s="866"/>
      <c r="BD6" s="866"/>
      <c r="BE6" s="866"/>
      <c r="BF6" s="866"/>
      <c r="BG6" s="866"/>
      <c r="BH6" s="866"/>
      <c r="BI6" s="866"/>
      <c r="BJ6" s="866"/>
      <c r="BK6" s="916"/>
    </row>
    <row r="7" spans="1:63" s="289" customFormat="1" ht="14.25">
      <c r="A7" s="866"/>
      <c r="B7" s="879" t="s">
        <v>370</v>
      </c>
      <c r="C7" s="875" t="s">
        <v>84</v>
      </c>
      <c r="D7" s="879" t="s">
        <v>371</v>
      </c>
      <c r="E7" s="880">
        <f>+'Bingen Consolidated IS'!K16</f>
        <v>87784.214960629935</v>
      </c>
      <c r="F7" s="875" t="s">
        <v>372</v>
      </c>
      <c r="G7" s="868"/>
      <c r="H7" s="881"/>
      <c r="I7" s="929" t="s">
        <v>1309</v>
      </c>
      <c r="J7" s="930">
        <v>0.15</v>
      </c>
      <c r="K7" s="931" t="s">
        <v>613</v>
      </c>
      <c r="L7" s="889"/>
      <c r="M7" s="868"/>
      <c r="N7" s="875" t="s">
        <v>373</v>
      </c>
      <c r="O7" s="868"/>
      <c r="P7" s="868"/>
      <c r="Q7" s="875" t="s">
        <v>374</v>
      </c>
      <c r="R7" s="868"/>
      <c r="S7" s="868"/>
      <c r="T7" s="868"/>
      <c r="U7" s="911">
        <f>$E$8*1.25</f>
        <v>123072.27089417733</v>
      </c>
      <c r="V7" s="884">
        <f>100*(+U7/$E$9)</f>
        <v>140.49617910809283</v>
      </c>
      <c r="W7" s="892">
        <f>EXP(5.6985-(0.68367*LN(V7)))</f>
        <v>10.151572187178333</v>
      </c>
      <c r="X7" s="892">
        <f>(+W7*V7)/100</f>
        <v>14.262571042385407</v>
      </c>
      <c r="Y7" s="884">
        <f>100*((((X7/100)-((X7/100)-0.03574)*$E$21)-0.03574-0.00619)/0.344)</f>
        <v>18.7077235115534</v>
      </c>
      <c r="Z7" s="868">
        <f>$E$20</f>
        <v>0.25</v>
      </c>
      <c r="AA7" s="884">
        <f>Y7+Z7</f>
        <v>18.9577235115534</v>
      </c>
      <c r="AB7" s="884">
        <f>100*($E$17*$E$19+($E$18*(AA7/100))/(1-$E$21))</f>
        <v>18.462799207059209</v>
      </c>
      <c r="AC7" s="892">
        <f>AB7/V7</f>
        <v>0.13141139726550555</v>
      </c>
      <c r="AD7" s="911">
        <f>$E$8/(1-AC7)</f>
        <v>113353.79764986155</v>
      </c>
      <c r="AE7" s="868" t="str">
        <f>IF(AD7=$U$7,"yes","not yet")</f>
        <v>not yet</v>
      </c>
      <c r="AF7" s="884">
        <f>100*(1-AC7)</f>
        <v>86.858860273449451</v>
      </c>
      <c r="AG7" s="868"/>
      <c r="AH7" s="868"/>
      <c r="AI7" s="868">
        <v>125</v>
      </c>
      <c r="AJ7" s="868">
        <v>3</v>
      </c>
      <c r="AK7" s="868"/>
      <c r="AL7" s="868"/>
      <c r="AM7" s="868"/>
      <c r="AN7" s="868"/>
      <c r="AO7" s="868"/>
      <c r="AP7" s="868"/>
      <c r="AQ7" s="868"/>
      <c r="AR7" s="868"/>
      <c r="AS7" s="866"/>
      <c r="AT7" s="866"/>
      <c r="AU7" s="866"/>
      <c r="AV7" s="866"/>
      <c r="AW7" s="866"/>
      <c r="AX7" s="866"/>
      <c r="AY7" s="866"/>
      <c r="AZ7" s="866"/>
      <c r="BA7" s="866"/>
      <c r="BB7" s="866"/>
      <c r="BC7" s="866"/>
      <c r="BD7" s="866"/>
      <c r="BE7" s="866"/>
      <c r="BF7" s="866"/>
      <c r="BG7" s="866"/>
      <c r="BH7" s="866"/>
      <c r="BI7" s="866"/>
      <c r="BJ7" s="866"/>
      <c r="BK7" s="916"/>
    </row>
    <row r="8" spans="1:63" s="289" customFormat="1" ht="14.25">
      <c r="A8" s="866"/>
      <c r="B8" s="879" t="s">
        <v>370</v>
      </c>
      <c r="C8" s="875" t="s">
        <v>375</v>
      </c>
      <c r="D8" s="879" t="s">
        <v>371</v>
      </c>
      <c r="E8" s="880">
        <f>+'Bingen Consolidated IS'!K242</f>
        <v>98457.816715341862</v>
      </c>
      <c r="F8" s="875" t="s">
        <v>372</v>
      </c>
      <c r="G8" s="868"/>
      <c r="H8" s="881"/>
      <c r="I8" s="868"/>
      <c r="J8" s="932">
        <f>E7*J7</f>
        <v>13167.63224409449</v>
      </c>
      <c r="K8" s="931" t="s">
        <v>613</v>
      </c>
      <c r="L8" s="889"/>
      <c r="M8" s="868"/>
      <c r="N8" s="875" t="s">
        <v>376</v>
      </c>
      <c r="O8" s="868"/>
      <c r="P8" s="868"/>
      <c r="Q8" s="875" t="s">
        <v>377</v>
      </c>
      <c r="R8" s="868"/>
      <c r="S8" s="868"/>
      <c r="T8" s="868"/>
      <c r="U8" s="911">
        <f>$E$8*1.25</f>
        <v>123072.27089417733</v>
      </c>
      <c r="V8" s="884">
        <f>100*(+U8/$E$9)</f>
        <v>140.49617910809283</v>
      </c>
      <c r="W8" s="892">
        <f>EXP(5.6922-(0.68367*LN(V8)))</f>
        <v>10.087818317952948</v>
      </c>
      <c r="X8" s="892">
        <f>(+W8*V8)/100</f>
        <v>14.172999292090172</v>
      </c>
      <c r="Y8" s="884">
        <f>100*((((X8/100)-((X8/100)-0.03574)*$E$21)-0.03574-0.00619)/0.344)</f>
        <v>18.535870734824165</v>
      </c>
      <c r="Z8" s="868">
        <f>$E$20</f>
        <v>0.25</v>
      </c>
      <c r="AA8" s="884">
        <f>Y8+Z8</f>
        <v>18.785870734824165</v>
      </c>
      <c r="AB8" s="884">
        <f>100*($E$17*$E$19+($E$18*(AA8/100))/(1-$E$21))</f>
        <v>18.306569410032626</v>
      </c>
      <c r="AC8" s="892">
        <f>AB8/V8</f>
        <v>0.13029941117436505</v>
      </c>
      <c r="AD8" s="911">
        <f>$E$8/(1-AC8)</f>
        <v>113208.8651892146</v>
      </c>
      <c r="AE8" s="868" t="str">
        <f>IF(AD8=$U$8,"yes","not yet")</f>
        <v>not yet</v>
      </c>
      <c r="AF8" s="884">
        <f>100*(1-AC8)</f>
        <v>86.970058882563492</v>
      </c>
      <c r="AG8" s="868"/>
      <c r="AH8" s="868"/>
      <c r="AI8" s="868">
        <v>401</v>
      </c>
      <c r="AJ8" s="868">
        <v>4</v>
      </c>
      <c r="AK8" s="868"/>
      <c r="AL8" s="868"/>
      <c r="AM8" s="868"/>
      <c r="AN8" s="868"/>
      <c r="AO8" s="868"/>
      <c r="AP8" s="868"/>
      <c r="AQ8" s="868"/>
      <c r="AR8" s="868"/>
      <c r="AS8" s="866"/>
      <c r="AT8" s="866"/>
      <c r="AU8" s="866"/>
      <c r="AV8" s="866"/>
      <c r="AW8" s="866"/>
      <c r="AX8" s="866"/>
      <c r="AY8" s="866"/>
      <c r="AZ8" s="866"/>
      <c r="BA8" s="866"/>
      <c r="BB8" s="866"/>
      <c r="BC8" s="866"/>
      <c r="BD8" s="866"/>
      <c r="BE8" s="866"/>
      <c r="BF8" s="866"/>
      <c r="BG8" s="866"/>
      <c r="BH8" s="866"/>
      <c r="BI8" s="866"/>
      <c r="BJ8" s="866"/>
      <c r="BK8" s="916"/>
    </row>
    <row r="9" spans="1:63" s="289" customFormat="1" ht="14.25">
      <c r="A9" s="866"/>
      <c r="B9" s="879" t="s">
        <v>370</v>
      </c>
      <c r="C9" s="875" t="s">
        <v>378</v>
      </c>
      <c r="D9" s="868"/>
      <c r="E9" s="880">
        <f>+'Bingen Consolidated IS'!K248</f>
        <v>87598.304577016184</v>
      </c>
      <c r="F9" s="875" t="s">
        <v>372</v>
      </c>
      <c r="G9" s="868"/>
      <c r="H9" s="868"/>
      <c r="J9" s="875"/>
      <c r="K9" s="921"/>
      <c r="L9" s="889"/>
      <c r="M9" s="868"/>
      <c r="N9" s="868"/>
      <c r="O9" s="868"/>
      <c r="P9" s="868"/>
      <c r="Q9" s="868"/>
      <c r="R9" s="868"/>
      <c r="S9" s="868"/>
      <c r="T9" s="868"/>
      <c r="U9" s="868"/>
      <c r="V9" s="868"/>
      <c r="W9" s="868"/>
      <c r="X9" s="868"/>
      <c r="Y9" s="868"/>
      <c r="Z9" s="868"/>
      <c r="AA9" s="884"/>
      <c r="AB9" s="868"/>
      <c r="AC9" s="868"/>
      <c r="AD9" s="868"/>
      <c r="AE9" s="868"/>
      <c r="AF9" s="868"/>
      <c r="AG9" s="868"/>
      <c r="AH9" s="868"/>
      <c r="AI9" s="868"/>
      <c r="AJ9" s="868"/>
      <c r="AK9" s="868"/>
      <c r="AL9" s="868"/>
      <c r="AM9" s="868"/>
      <c r="AN9" s="868"/>
      <c r="AO9" s="868"/>
      <c r="AP9" s="868"/>
      <c r="AQ9" s="868"/>
      <c r="AR9" s="868"/>
      <c r="AS9" s="866"/>
      <c r="AT9" s="866"/>
      <c r="AU9" s="866"/>
      <c r="AV9" s="866"/>
      <c r="AW9" s="866"/>
      <c r="AX9" s="866"/>
      <c r="AY9" s="866"/>
      <c r="AZ9" s="866"/>
      <c r="BA9" s="866"/>
      <c r="BB9" s="866"/>
      <c r="BC9" s="866"/>
      <c r="BD9" s="866"/>
      <c r="BE9" s="866"/>
      <c r="BF9" s="866"/>
      <c r="BG9" s="866"/>
      <c r="BH9" s="866"/>
      <c r="BI9" s="866"/>
      <c r="BJ9" s="866"/>
      <c r="BK9" s="916"/>
    </row>
    <row r="10" spans="1:63" s="289" customFormat="1" ht="14.25">
      <c r="A10" s="866"/>
      <c r="B10" s="870"/>
      <c r="C10" s="875" t="s">
        <v>379</v>
      </c>
      <c r="D10" s="868"/>
      <c r="E10" s="884">
        <f>V5</f>
        <v>140.49617910809283</v>
      </c>
      <c r="F10" s="875" t="s">
        <v>380</v>
      </c>
      <c r="G10" s="868"/>
      <c r="H10" s="884"/>
      <c r="I10" s="884">
        <f>E7*0.15</f>
        <v>13167.63224409449</v>
      </c>
      <c r="J10" s="870"/>
      <c r="K10" s="872"/>
      <c r="L10" s="868"/>
      <c r="M10" s="868"/>
      <c r="N10" s="868"/>
      <c r="O10" s="868"/>
      <c r="P10" s="868"/>
      <c r="Q10" s="868"/>
      <c r="R10" s="868"/>
      <c r="S10" s="868"/>
      <c r="T10" s="868"/>
      <c r="U10" s="868"/>
      <c r="V10" s="918" t="s">
        <v>381</v>
      </c>
      <c r="W10" s="918" t="s">
        <v>352</v>
      </c>
      <c r="X10" s="918" t="s">
        <v>353</v>
      </c>
      <c r="Y10" s="918" t="s">
        <v>354</v>
      </c>
      <c r="Z10" s="868"/>
      <c r="AA10" s="884"/>
      <c r="AB10" s="868"/>
      <c r="AC10" s="868"/>
      <c r="AD10" s="868"/>
      <c r="AE10" s="868"/>
      <c r="AF10" s="868"/>
      <c r="AG10" s="868"/>
      <c r="AH10" s="868"/>
      <c r="AI10" s="868" t="s">
        <v>382</v>
      </c>
      <c r="AJ10" s="868"/>
      <c r="AK10" s="868"/>
      <c r="AL10" s="868"/>
      <c r="AM10" s="868"/>
      <c r="AN10" s="868"/>
      <c r="AO10" s="868"/>
      <c r="AP10" s="868"/>
      <c r="AQ10" s="868"/>
      <c r="AR10" s="868"/>
      <c r="AS10" s="866"/>
      <c r="AT10" s="866"/>
      <c r="AU10" s="866"/>
      <c r="AV10" s="866"/>
      <c r="AW10" s="866"/>
      <c r="AX10" s="866"/>
      <c r="AY10" s="866"/>
      <c r="AZ10" s="866"/>
      <c r="BA10" s="866"/>
      <c r="BB10" s="866"/>
      <c r="BC10" s="866"/>
      <c r="BD10" s="866"/>
      <c r="BE10" s="866"/>
      <c r="BF10" s="866"/>
      <c r="BG10" s="866"/>
      <c r="BH10" s="866"/>
      <c r="BI10" s="866"/>
      <c r="BJ10" s="866"/>
      <c r="BK10" s="916"/>
    </row>
    <row r="11" spans="1:63" s="289" customFormat="1" ht="14.25">
      <c r="A11" s="866"/>
      <c r="B11" s="870"/>
      <c r="C11" s="875" t="s">
        <v>383</v>
      </c>
      <c r="D11" s="868"/>
      <c r="E11" s="884">
        <f>HLOOKUP($AJ$34,$AJ$28:$AR$32,($E$12)+1)</f>
        <v>130.27192769429635</v>
      </c>
      <c r="F11" s="875" t="s">
        <v>380</v>
      </c>
      <c r="G11" s="868"/>
      <c r="H11" s="868"/>
      <c r="I11" s="868"/>
      <c r="J11" s="879"/>
      <c r="K11" s="871"/>
      <c r="L11" s="868"/>
      <c r="M11" s="868"/>
      <c r="N11" s="868"/>
      <c r="O11" s="868"/>
      <c r="P11" s="868"/>
      <c r="Q11" s="868"/>
      <c r="R11" s="868"/>
      <c r="S11" s="868"/>
      <c r="T11" s="868"/>
      <c r="U11" s="868"/>
      <c r="V11" s="884">
        <f>100*(+AD5/$E$9)</f>
        <v>130.04847993242657</v>
      </c>
      <c r="W11" s="919">
        <f>EXP(5.7226-(0.68367*LN(+V11)))</f>
        <v>10.963349145619455</v>
      </c>
      <c r="X11" s="892">
        <f>(+W11*V11)/100</f>
        <v>14.257668913562776</v>
      </c>
      <c r="Y11" s="884">
        <f>100*((((X11/100)-((X11/100)-0.03574)*$E$21)-0.03574-0.00619)/0.344)</f>
        <v>18.698318264393706</v>
      </c>
      <c r="Z11" s="868">
        <f>$E$20</f>
        <v>0.25</v>
      </c>
      <c r="AA11" s="884">
        <f>Y11+Z11</f>
        <v>18.948318264393706</v>
      </c>
      <c r="AB11" s="884">
        <f>100*($E$17*$E$19+($E$18*(AA11/100))/(1-$E$21))</f>
        <v>18.454248982368572</v>
      </c>
      <c r="AC11" s="892">
        <f>AB11/V11</f>
        <v>0.14190284263189723</v>
      </c>
      <c r="AD11" s="911">
        <f>$E$8/(1-AC11)</f>
        <v>114739.70735123396</v>
      </c>
      <c r="AE11" s="868" t="str">
        <f>IF(AD11=AD5,"yes","not yet")</f>
        <v>not yet</v>
      </c>
      <c r="AF11" s="884">
        <f>100*(1-AC11)</f>
        <v>85.809715736810276</v>
      </c>
      <c r="AG11" s="868"/>
      <c r="AH11" s="868"/>
      <c r="AI11" s="868"/>
      <c r="AJ11" s="868"/>
      <c r="AK11" s="868"/>
      <c r="AL11" s="868"/>
      <c r="AM11" s="868"/>
      <c r="AN11" s="868"/>
      <c r="AO11" s="868"/>
      <c r="AP11" s="868"/>
      <c r="AQ11" s="868"/>
      <c r="AR11" s="868"/>
      <c r="AS11" s="866"/>
      <c r="AT11" s="866"/>
      <c r="AU11" s="866"/>
      <c r="AV11" s="866"/>
      <c r="AW11" s="866"/>
      <c r="AX11" s="866"/>
      <c r="AY11" s="866"/>
      <c r="AZ11" s="866"/>
      <c r="BA11" s="866"/>
      <c r="BB11" s="866"/>
      <c r="BC11" s="866"/>
      <c r="BD11" s="866"/>
      <c r="BE11" s="866"/>
      <c r="BF11" s="866"/>
      <c r="BG11" s="866"/>
      <c r="BH11" s="866"/>
      <c r="BI11" s="866"/>
      <c r="BJ11" s="866"/>
      <c r="BK11" s="916"/>
    </row>
    <row r="12" spans="1:63" s="289" customFormat="1" ht="14.25">
      <c r="A12" s="866"/>
      <c r="B12" s="870"/>
      <c r="C12" s="875" t="s">
        <v>384</v>
      </c>
      <c r="D12" s="868"/>
      <c r="E12" s="868">
        <f>VLOOKUP(E10,AI5:AJ8,2)</f>
        <v>3</v>
      </c>
      <c r="F12" s="875" t="s">
        <v>380</v>
      </c>
      <c r="G12" s="868"/>
      <c r="H12" s="868"/>
      <c r="I12" s="868"/>
      <c r="J12" s="879"/>
      <c r="K12" s="871"/>
      <c r="L12" s="868"/>
      <c r="M12" s="868"/>
      <c r="N12" s="868"/>
      <c r="O12" s="868"/>
      <c r="P12" s="868"/>
      <c r="Q12" s="868"/>
      <c r="R12" s="868"/>
      <c r="S12" s="868"/>
      <c r="T12" s="868"/>
      <c r="U12" s="868"/>
      <c r="V12" s="884">
        <f>100*(+AD6/$E$9)</f>
        <v>129.66131856773541</v>
      </c>
      <c r="W12" s="919">
        <f>EXP(5.70827-(0.68367*LN(+V12)))</f>
        <v>10.829416398563897</v>
      </c>
      <c r="X12" s="892">
        <f>(+W12*V12)/100</f>
        <v>14.041564095568512</v>
      </c>
      <c r="Y12" s="884">
        <f>100*((((X12/100)-((X12/100)-0.03574)*$E$21)-0.03574-0.00619)/0.344)</f>
        <v>18.283698555451213</v>
      </c>
      <c r="Z12" s="868">
        <f>$E$20</f>
        <v>0.25</v>
      </c>
      <c r="AA12" s="884">
        <f>Y12+Z12</f>
        <v>18.533698555451213</v>
      </c>
      <c r="AB12" s="884">
        <f>100*($E$17*$E$19+($E$18*(AA12/100))/(1-$E$21))</f>
        <v>18.077321974239037</v>
      </c>
      <c r="AC12" s="892">
        <f>AB12/V12</f>
        <v>0.13941954450197419</v>
      </c>
      <c r="AD12" s="911">
        <f>$E$8/(1-AC12)</f>
        <v>114408.61349606577</v>
      </c>
      <c r="AE12" s="868" t="str">
        <f>IF(AD12=AD6,"yes","not yet")</f>
        <v>not yet</v>
      </c>
      <c r="AF12" s="884">
        <f>100*(1-AC12)</f>
        <v>86.058045549802586</v>
      </c>
      <c r="AG12" s="868"/>
      <c r="AH12" s="868"/>
      <c r="AI12" s="868"/>
      <c r="AJ12" s="868"/>
      <c r="AK12" s="868"/>
      <c r="AL12" s="868"/>
      <c r="AM12" s="868"/>
      <c r="AN12" s="868"/>
      <c r="AO12" s="868"/>
      <c r="AP12" s="868"/>
      <c r="AQ12" s="868"/>
      <c r="AR12" s="868"/>
      <c r="AS12" s="866"/>
      <c r="AT12" s="866"/>
      <c r="AU12" s="866"/>
      <c r="AV12" s="866"/>
      <c r="AW12" s="866"/>
      <c r="AX12" s="866"/>
      <c r="AY12" s="866"/>
      <c r="AZ12" s="866"/>
      <c r="BA12" s="866"/>
      <c r="BB12" s="866"/>
      <c r="BC12" s="866"/>
      <c r="BD12" s="866"/>
      <c r="BE12" s="866"/>
      <c r="BF12" s="866"/>
      <c r="BG12" s="866"/>
      <c r="BH12" s="866"/>
      <c r="BI12" s="866"/>
      <c r="BJ12" s="866"/>
      <c r="BK12" s="916"/>
    </row>
    <row r="13" spans="1:63" s="289" customFormat="1" ht="14.25">
      <c r="A13" s="866"/>
      <c r="B13" s="870"/>
      <c r="C13" s="868"/>
      <c r="D13" s="868"/>
      <c r="E13" s="868"/>
      <c r="F13" s="868"/>
      <c r="G13" s="868"/>
      <c r="H13" s="868"/>
      <c r="I13" s="868"/>
      <c r="J13" s="879"/>
      <c r="K13" s="933"/>
      <c r="L13" s="868"/>
      <c r="M13" s="868"/>
      <c r="N13" s="868"/>
      <c r="O13" s="868"/>
      <c r="P13" s="868"/>
      <c r="Q13" s="868"/>
      <c r="R13" s="868"/>
      <c r="S13" s="868"/>
      <c r="T13" s="868"/>
      <c r="U13" s="868"/>
      <c r="V13" s="884">
        <f>100*(+AD7/$E$9)</f>
        <v>129.40181684703865</v>
      </c>
      <c r="W13" s="919">
        <f>EXP(5.6985-(0.68367*LN(V13)))</f>
        <v>10.738826593629229</v>
      </c>
      <c r="X13" s="892">
        <f>(+W13*V13)/100</f>
        <v>13.896236720209174</v>
      </c>
      <c r="Y13" s="884">
        <f>100*((((X13/100)-((X13/100)-0.03574)*$E$21)-0.03574-0.00619)/0.344)</f>
        <v>18.004872777145511</v>
      </c>
      <c r="Z13" s="868">
        <f>$E$20</f>
        <v>0.25</v>
      </c>
      <c r="AA13" s="884">
        <f>Y13+Z13</f>
        <v>18.254872777145511</v>
      </c>
      <c r="AB13" s="884">
        <f>100*($E$17*$E$19+($E$18*(AA13/100))/(1-$E$21))</f>
        <v>17.823843993961127</v>
      </c>
      <c r="AC13" s="892">
        <f>AB13/V13</f>
        <v>0.13774029166089738</v>
      </c>
      <c r="AD13" s="911">
        <f>$E$8/(1-AC13)</f>
        <v>114185.80244807305</v>
      </c>
      <c r="AE13" s="868" t="str">
        <f>IF(AD13=AD7,"yes","not yet")</f>
        <v>not yet</v>
      </c>
      <c r="AF13" s="884">
        <f>100*(1-AC13)</f>
        <v>86.225970833910253</v>
      </c>
      <c r="AG13" s="868"/>
      <c r="AH13" s="868"/>
      <c r="AI13" s="868"/>
      <c r="AJ13" s="868">
        <v>1</v>
      </c>
      <c r="AK13" s="868">
        <v>2</v>
      </c>
      <c r="AL13" s="868">
        <v>3</v>
      </c>
      <c r="AM13" s="868">
        <v>4</v>
      </c>
      <c r="AN13" s="868">
        <v>5</v>
      </c>
      <c r="AO13" s="868">
        <v>6</v>
      </c>
      <c r="AP13" s="868">
        <v>7</v>
      </c>
      <c r="AQ13" s="868">
        <v>8</v>
      </c>
      <c r="AR13" s="868">
        <v>9</v>
      </c>
      <c r="AS13" s="866"/>
      <c r="AT13" s="866"/>
      <c r="AU13" s="866"/>
      <c r="AV13" s="866"/>
      <c r="AW13" s="866"/>
      <c r="AX13" s="866"/>
      <c r="AY13" s="866"/>
      <c r="AZ13" s="866"/>
      <c r="BA13" s="866"/>
      <c r="BB13" s="866"/>
      <c r="BC13" s="866"/>
      <c r="BD13" s="866"/>
      <c r="BE13" s="866"/>
      <c r="BF13" s="866"/>
      <c r="BG13" s="866"/>
      <c r="BH13" s="866"/>
      <c r="BI13" s="866"/>
      <c r="BJ13" s="866"/>
      <c r="BK13" s="916"/>
    </row>
    <row r="14" spans="1:63" s="289" customFormat="1" ht="14.25">
      <c r="A14" s="866"/>
      <c r="B14" s="870"/>
      <c r="C14" s="875" t="s">
        <v>385</v>
      </c>
      <c r="D14" s="868"/>
      <c r="E14" s="868"/>
      <c r="F14" s="868"/>
      <c r="G14" s="868"/>
      <c r="H14" s="868"/>
      <c r="I14" s="868"/>
      <c r="J14" s="870"/>
      <c r="K14" s="871"/>
      <c r="L14" s="868"/>
      <c r="M14" s="868"/>
      <c r="N14" s="868"/>
      <c r="O14" s="868"/>
      <c r="P14" s="868"/>
      <c r="Q14" s="868"/>
      <c r="R14" s="868"/>
      <c r="S14" s="868"/>
      <c r="T14" s="868"/>
      <c r="U14" s="868"/>
      <c r="V14" s="884">
        <f>100*(+AD8/$E$9)</f>
        <v>129.23636563043488</v>
      </c>
      <c r="W14" s="919">
        <f>EXP(5.6922-(0.68367*LN(V14)))</f>
        <v>10.680722882595601</v>
      </c>
      <c r="X14" s="892">
        <f>(+W14*V14)/100</f>
        <v>13.803378076524774</v>
      </c>
      <c r="Y14" s="884">
        <f>100*((((X14/100)-((X14/100)-0.03574)*$E$21)-0.03574-0.00619)/0.344)</f>
        <v>17.826713751471953</v>
      </c>
      <c r="Z14" s="868">
        <f>$E$20</f>
        <v>0.25</v>
      </c>
      <c r="AA14" s="884">
        <f>Y14+Z14</f>
        <v>18.076713751471953</v>
      </c>
      <c r="AB14" s="884">
        <f>100*($E$17*$E$19+($E$18*(AA14/100))/(1-$E$21))</f>
        <v>17.661881243348802</v>
      </c>
      <c r="AC14" s="892">
        <f>AB14/V14</f>
        <v>0.13666340087166198</v>
      </c>
      <c r="AD14" s="911">
        <f>$E$8/(1-AC14)</f>
        <v>114043.37174486653</v>
      </c>
      <c r="AE14" s="868" t="str">
        <f>IF(AD14=AD8,"yes","not yet")</f>
        <v>not yet</v>
      </c>
      <c r="AF14" s="884">
        <f>100*(1-AC14)</f>
        <v>86.333659912833809</v>
      </c>
      <c r="AG14" s="868"/>
      <c r="AH14" s="868"/>
      <c r="AI14" s="868"/>
      <c r="AJ14" s="868" t="str">
        <f>AE5</f>
        <v>not yet</v>
      </c>
      <c r="AK14" s="868" t="str">
        <f>AE11</f>
        <v>not yet</v>
      </c>
      <c r="AL14" s="868" t="str">
        <f>AE17</f>
        <v>not yet</v>
      </c>
      <c r="AM14" s="868" t="str">
        <f>AE23</f>
        <v>not yet</v>
      </c>
      <c r="AN14" s="868" t="str">
        <f>AE29</f>
        <v>not yet</v>
      </c>
      <c r="AO14" s="868" t="str">
        <f>AE35</f>
        <v>not yet</v>
      </c>
      <c r="AP14" s="868" t="str">
        <f>AE41</f>
        <v>yes</v>
      </c>
      <c r="AQ14" s="868" t="str">
        <f>AE47</f>
        <v>yes</v>
      </c>
      <c r="AR14" s="868" t="str">
        <f>AE53</f>
        <v>yes</v>
      </c>
      <c r="AS14" s="866"/>
      <c r="AT14" s="866"/>
      <c r="AU14" s="866"/>
      <c r="AV14" s="866"/>
      <c r="AW14" s="866"/>
      <c r="AX14" s="866"/>
      <c r="AY14" s="866"/>
      <c r="AZ14" s="866"/>
      <c r="BA14" s="866"/>
      <c r="BB14" s="866"/>
      <c r="BC14" s="866"/>
      <c r="BD14" s="866"/>
      <c r="BE14" s="866"/>
      <c r="BF14" s="866"/>
      <c r="BG14" s="866"/>
      <c r="BH14" s="866"/>
      <c r="BI14" s="866"/>
      <c r="BJ14" s="866"/>
      <c r="BK14" s="916"/>
    </row>
    <row r="15" spans="1:63" s="289" customFormat="1" ht="14.25">
      <c r="A15" s="866"/>
      <c r="B15" s="870"/>
      <c r="C15" s="875" t="s">
        <v>386</v>
      </c>
      <c r="D15" s="868"/>
      <c r="E15" s="879" t="s">
        <v>361</v>
      </c>
      <c r="F15" s="875" t="s">
        <v>387</v>
      </c>
      <c r="G15" s="868"/>
      <c r="H15" s="884">
        <f>HLOOKUP($AJ$25,$AJ$19:$AR$23,($E$12)+1)</f>
        <v>86.278486454006625</v>
      </c>
      <c r="I15" s="875" t="s">
        <v>363</v>
      </c>
      <c r="J15" s="866"/>
      <c r="K15" s="890"/>
      <c r="L15" s="868"/>
      <c r="M15" s="868"/>
      <c r="N15" s="868"/>
      <c r="O15" s="868"/>
      <c r="P15" s="868"/>
      <c r="Q15" s="868"/>
      <c r="R15" s="868"/>
      <c r="S15" s="868"/>
      <c r="T15" s="868"/>
      <c r="U15" s="868"/>
      <c r="V15" s="868"/>
      <c r="W15" s="868"/>
      <c r="X15" s="868"/>
      <c r="Y15" s="868"/>
      <c r="Z15" s="868"/>
      <c r="AA15" s="884"/>
      <c r="AB15" s="868"/>
      <c r="AC15" s="868"/>
      <c r="AD15" s="868"/>
      <c r="AE15" s="868"/>
      <c r="AF15" s="868"/>
      <c r="AG15" s="868"/>
      <c r="AH15" s="868"/>
      <c r="AI15" s="868"/>
      <c r="AJ15" s="868" t="str">
        <f>AE6</f>
        <v>not yet</v>
      </c>
      <c r="AK15" s="868" t="str">
        <f>AE12</f>
        <v>not yet</v>
      </c>
      <c r="AL15" s="868" t="str">
        <f>AE18</f>
        <v>not yet</v>
      </c>
      <c r="AM15" s="868" t="str">
        <f>AE24</f>
        <v>not yet</v>
      </c>
      <c r="AN15" s="868" t="str">
        <f>AE30</f>
        <v>not yet</v>
      </c>
      <c r="AO15" s="868" t="str">
        <f>AE36</f>
        <v>not yet</v>
      </c>
      <c r="AP15" s="868" t="str">
        <f>AE42</f>
        <v>yes</v>
      </c>
      <c r="AQ15" s="868" t="str">
        <f>AE48</f>
        <v>yes</v>
      </c>
      <c r="AR15" s="868" t="str">
        <f>AE54</f>
        <v>yes</v>
      </c>
      <c r="AS15" s="866"/>
      <c r="AT15" s="866"/>
      <c r="AU15" s="866"/>
      <c r="AV15" s="866"/>
      <c r="AW15" s="866"/>
      <c r="AX15" s="866"/>
      <c r="AY15" s="866"/>
      <c r="AZ15" s="866"/>
      <c r="BA15" s="866"/>
      <c r="BB15" s="866"/>
      <c r="BC15" s="866"/>
      <c r="BD15" s="866"/>
      <c r="BE15" s="866"/>
      <c r="BF15" s="866"/>
      <c r="BG15" s="866"/>
      <c r="BH15" s="866"/>
      <c r="BI15" s="866"/>
      <c r="BJ15" s="866"/>
      <c r="BK15" s="916"/>
    </row>
    <row r="16" spans="1:63" s="289" customFormat="1" ht="14.25">
      <c r="A16" s="866"/>
      <c r="B16" s="870"/>
      <c r="C16" s="886"/>
      <c r="D16" s="886"/>
      <c r="E16" s="887"/>
      <c r="F16" s="868"/>
      <c r="G16" s="868"/>
      <c r="H16" s="886"/>
      <c r="I16" s="870"/>
      <c r="J16" s="866"/>
      <c r="K16" s="871"/>
      <c r="L16" s="868"/>
      <c r="M16" s="868"/>
      <c r="N16" s="868"/>
      <c r="O16" s="868"/>
      <c r="P16" s="868"/>
      <c r="Q16" s="868"/>
      <c r="R16" s="868"/>
      <c r="S16" s="868"/>
      <c r="T16" s="868"/>
      <c r="U16" s="868"/>
      <c r="V16" s="875" t="s">
        <v>388</v>
      </c>
      <c r="W16" s="918" t="s">
        <v>352</v>
      </c>
      <c r="X16" s="918" t="s">
        <v>353</v>
      </c>
      <c r="Y16" s="918" t="s">
        <v>354</v>
      </c>
      <c r="Z16" s="868"/>
      <c r="AA16" s="884"/>
      <c r="AB16" s="868"/>
      <c r="AC16" s="868"/>
      <c r="AD16" s="868"/>
      <c r="AE16" s="868"/>
      <c r="AF16" s="868"/>
      <c r="AG16" s="868"/>
      <c r="AH16" s="868"/>
      <c r="AI16" s="868"/>
      <c r="AJ16" s="868" t="str">
        <f>AE7</f>
        <v>not yet</v>
      </c>
      <c r="AK16" s="868" t="str">
        <f>AE13</f>
        <v>not yet</v>
      </c>
      <c r="AL16" s="868" t="str">
        <f>AE19</f>
        <v>not yet</v>
      </c>
      <c r="AM16" s="868" t="str">
        <f>AE25</f>
        <v>not yet</v>
      </c>
      <c r="AN16" s="868" t="str">
        <f>AE31</f>
        <v>not yet</v>
      </c>
      <c r="AO16" s="868" t="str">
        <f>AE37</f>
        <v>not yet</v>
      </c>
      <c r="AP16" s="868" t="str">
        <f>AE43</f>
        <v>yes</v>
      </c>
      <c r="AQ16" s="868" t="str">
        <f>AE49</f>
        <v>yes</v>
      </c>
      <c r="AR16" s="868" t="str">
        <f>AE55</f>
        <v>yes</v>
      </c>
      <c r="AS16" s="866"/>
      <c r="AT16" s="866"/>
      <c r="AU16" s="866"/>
      <c r="AV16" s="866"/>
      <c r="AW16" s="866"/>
      <c r="AX16" s="866"/>
      <c r="AY16" s="866"/>
      <c r="AZ16" s="866"/>
      <c r="BA16" s="866"/>
      <c r="BB16" s="866"/>
      <c r="BC16" s="866"/>
      <c r="BD16" s="866"/>
      <c r="BE16" s="866"/>
      <c r="BF16" s="866"/>
      <c r="BG16" s="866"/>
      <c r="BH16" s="866"/>
      <c r="BI16" s="866"/>
      <c r="BJ16" s="866"/>
      <c r="BK16" s="916"/>
    </row>
    <row r="17" spans="1:63" s="289" customFormat="1" ht="14.25">
      <c r="A17" s="866"/>
      <c r="B17" s="879" t="s">
        <v>370</v>
      </c>
      <c r="C17" s="875" t="s">
        <v>389</v>
      </c>
      <c r="D17" s="868"/>
      <c r="E17" s="888">
        <f>LG!E17</f>
        <v>0.4</v>
      </c>
      <c r="F17" s="875" t="s">
        <v>390</v>
      </c>
      <c r="G17" s="868"/>
      <c r="H17" s="868"/>
      <c r="I17" s="870"/>
      <c r="J17" s="866"/>
      <c r="K17" s="868"/>
      <c r="L17" s="868"/>
      <c r="M17" s="868"/>
      <c r="N17" s="868"/>
      <c r="O17" s="868"/>
      <c r="P17" s="868"/>
      <c r="Q17" s="868"/>
      <c r="R17" s="868"/>
      <c r="S17" s="868"/>
      <c r="T17" s="868"/>
      <c r="U17" s="868"/>
      <c r="V17" s="884">
        <f>100*(+AD11/$E$9)</f>
        <v>130.98393616780007</v>
      </c>
      <c r="W17" s="919">
        <f>EXP(5.7226-(0.68367*LN(+V17)))</f>
        <v>10.909758740596827</v>
      </c>
      <c r="X17" s="892">
        <f>(+W17*V17)/100</f>
        <v>14.290031424844335</v>
      </c>
      <c r="Y17" s="884">
        <f>100*((((X17/100)-((X17/100)-0.03574)*$E$21)-0.03574-0.00619)/0.344)</f>
        <v>18.760409129061806</v>
      </c>
      <c r="Z17" s="868">
        <f>$E$20</f>
        <v>0.25</v>
      </c>
      <c r="AA17" s="884">
        <f>Y17+Z17</f>
        <v>19.010409129061806</v>
      </c>
      <c r="AB17" s="884">
        <f>100*($E$17*$E$19+($E$18*(AA17/100))/(1-$E$21))</f>
        <v>18.51069522297594</v>
      </c>
      <c r="AC17" s="892">
        <f>AB17/V17</f>
        <v>0.14132034633057886</v>
      </c>
      <c r="AD17" s="911">
        <f>$E$8/(1-AC17)</f>
        <v>114661.87220647324</v>
      </c>
      <c r="AE17" s="868" t="str">
        <f>IF(AD17=AD11,"yes","not yet")</f>
        <v>not yet</v>
      </c>
      <c r="AF17" s="884">
        <f>100*(1-AC17)</f>
        <v>85.867965366942116</v>
      </c>
      <c r="AG17" s="868"/>
      <c r="AH17" s="868"/>
      <c r="AI17" s="868"/>
      <c r="AJ17" s="868" t="str">
        <f>AE8</f>
        <v>not yet</v>
      </c>
      <c r="AK17" s="868" t="str">
        <f>AE14</f>
        <v>not yet</v>
      </c>
      <c r="AL17" s="868" t="str">
        <f>AE20</f>
        <v>not yet</v>
      </c>
      <c r="AM17" s="868" t="str">
        <f>AE26</f>
        <v>not yet</v>
      </c>
      <c r="AN17" s="868" t="str">
        <f>AE32</f>
        <v>not yet</v>
      </c>
      <c r="AO17" s="868" t="str">
        <f>AE38</f>
        <v>not yet</v>
      </c>
      <c r="AP17" s="868" t="str">
        <f>AE44</f>
        <v>yes</v>
      </c>
      <c r="AQ17" s="868" t="str">
        <f>AE50</f>
        <v>yes</v>
      </c>
      <c r="AR17" s="868" t="str">
        <f>AE56</f>
        <v>yes</v>
      </c>
      <c r="AS17" s="866"/>
      <c r="AT17" s="866"/>
      <c r="AU17" s="866"/>
      <c r="AV17" s="866"/>
      <c r="AW17" s="866"/>
      <c r="AX17" s="866"/>
      <c r="AY17" s="866"/>
      <c r="AZ17" s="866"/>
      <c r="BA17" s="866"/>
      <c r="BB17" s="866"/>
      <c r="BC17" s="866"/>
      <c r="BD17" s="866"/>
      <c r="BE17" s="866"/>
      <c r="BF17" s="866"/>
      <c r="BG17" s="866"/>
      <c r="BH17" s="866"/>
      <c r="BI17" s="866"/>
      <c r="BJ17" s="866"/>
      <c r="BK17" s="916"/>
    </row>
    <row r="18" spans="1:63" s="289" customFormat="1" ht="14.25">
      <c r="A18" s="866"/>
      <c r="B18" s="879" t="s">
        <v>370</v>
      </c>
      <c r="C18" s="875" t="s">
        <v>391</v>
      </c>
      <c r="D18" s="868"/>
      <c r="E18" s="888">
        <f>LG!E18</f>
        <v>0.6</v>
      </c>
      <c r="F18" s="875" t="s">
        <v>392</v>
      </c>
      <c r="G18" s="868"/>
      <c r="H18" s="889">
        <v>1.4999999999999999E-2</v>
      </c>
      <c r="I18" s="875" t="s">
        <v>370</v>
      </c>
      <c r="J18" s="866"/>
      <c r="K18" s="868"/>
      <c r="L18" s="868"/>
      <c r="M18" s="868"/>
      <c r="N18" s="868"/>
      <c r="O18" s="868"/>
      <c r="P18" s="868"/>
      <c r="Q18" s="868"/>
      <c r="R18" s="868"/>
      <c r="S18" s="868"/>
      <c r="T18" s="868"/>
      <c r="U18" s="868"/>
      <c r="V18" s="884">
        <f>100*(+AD12/$E$9)</f>
        <v>130.60596783066507</v>
      </c>
      <c r="W18" s="919">
        <f>EXP(5.70827-(0.68367*LN(+V18)))</f>
        <v>10.775804984108653</v>
      </c>
      <c r="X18" s="892">
        <f>(+W18*V18)/100</f>
        <v>14.073844391040149</v>
      </c>
      <c r="Y18" s="884">
        <f>100*((((X18/100)-((X18/100)-0.03574)*$E$21)-0.03574-0.00619)/0.344)</f>
        <v>18.345631680484008</v>
      </c>
      <c r="Z18" s="868">
        <f>$E$20</f>
        <v>0.25</v>
      </c>
      <c r="AA18" s="884">
        <f>Y18+Z18</f>
        <v>18.595631680484008</v>
      </c>
      <c r="AB18" s="884">
        <f>100*($E$17*$E$19+($E$18*(AA18/100))/(1-$E$21))</f>
        <v>18.133624815177939</v>
      </c>
      <c r="AC18" s="892">
        <f>AB18/V18</f>
        <v>0.13884223758204356</v>
      </c>
      <c r="AD18" s="911">
        <f>$E$8/(1-AC18)</f>
        <v>114331.91572110116</v>
      </c>
      <c r="AE18" s="868" t="str">
        <f>IF(AD18=AD12,"yes","not yet")</f>
        <v>not yet</v>
      </c>
      <c r="AF18" s="884">
        <f>100*(1-AC18)</f>
        <v>86.115776241795643</v>
      </c>
      <c r="AG18" s="868"/>
      <c r="AH18" s="868"/>
      <c r="AI18" s="868"/>
      <c r="AJ18" s="868"/>
      <c r="AK18" s="868"/>
      <c r="AL18" s="868"/>
      <c r="AM18" s="868"/>
      <c r="AN18" s="868"/>
      <c r="AO18" s="868"/>
      <c r="AP18" s="868"/>
      <c r="AQ18" s="868"/>
      <c r="AR18" s="868"/>
      <c r="AS18" s="866"/>
      <c r="AT18" s="866"/>
      <c r="AU18" s="866"/>
      <c r="AV18" s="866"/>
      <c r="AW18" s="866"/>
      <c r="AX18" s="866"/>
      <c r="AY18" s="866"/>
      <c r="AZ18" s="866"/>
      <c r="BA18" s="866"/>
      <c r="BB18" s="866"/>
      <c r="BC18" s="866"/>
      <c r="BD18" s="866"/>
      <c r="BE18" s="866"/>
      <c r="BF18" s="866"/>
      <c r="BG18" s="866"/>
      <c r="BH18" s="866"/>
      <c r="BI18" s="866"/>
      <c r="BJ18" s="866"/>
      <c r="BK18" s="916"/>
    </row>
    <row r="19" spans="1:63" s="289" customFormat="1" ht="14.25">
      <c r="A19" s="866"/>
      <c r="B19" s="879" t="s">
        <v>370</v>
      </c>
      <c r="C19" s="875" t="s">
        <v>393</v>
      </c>
      <c r="D19" s="868"/>
      <c r="E19" s="888">
        <f>LG!E19</f>
        <v>3.071262764117556E-2</v>
      </c>
      <c r="F19" s="875" t="s">
        <v>394</v>
      </c>
      <c r="G19" s="868"/>
      <c r="H19" s="890">
        <v>5.1000000000000004E-3</v>
      </c>
      <c r="I19" s="875" t="s">
        <v>370</v>
      </c>
      <c r="J19" s="866"/>
      <c r="K19" s="868"/>
      <c r="L19" s="868"/>
      <c r="M19" s="868"/>
      <c r="N19" s="868"/>
      <c r="O19" s="868"/>
      <c r="P19" s="868"/>
      <c r="Q19" s="868"/>
      <c r="R19" s="868"/>
      <c r="S19" s="868"/>
      <c r="T19" s="868"/>
      <c r="U19" s="868"/>
      <c r="V19" s="884">
        <f>100*(+AD13/$E$9)</f>
        <v>130.35161239642625</v>
      </c>
      <c r="W19" s="919">
        <f>EXP(5.6985-(0.68367*LN(V19)))</f>
        <v>10.685269266178107</v>
      </c>
      <c r="X19" s="892">
        <f>(+W19*V19)/100</f>
        <v>13.928420777362946</v>
      </c>
      <c r="Y19" s="884">
        <f>100*((((X19/100)-((X19/100)-0.03574)*$E$21)-0.03574-0.00619)/0.344)</f>
        <v>18.066621258894028</v>
      </c>
      <c r="Z19" s="868">
        <f>$E$20</f>
        <v>0.25</v>
      </c>
      <c r="AA19" s="884">
        <f>Y19+Z19</f>
        <v>18.316621258894028</v>
      </c>
      <c r="AB19" s="884">
        <f>100*($E$17*$E$19+($E$18*(AA19/100))/(1-$E$21))</f>
        <v>17.879978977368868</v>
      </c>
      <c r="AC19" s="892">
        <f>AB19/V19</f>
        <v>0.1371673019509122</v>
      </c>
      <c r="AD19" s="911">
        <f>$E$8/(1-AC19)</f>
        <v>114109.97397057437</v>
      </c>
      <c r="AE19" s="868" t="str">
        <f>IF(AD19=AD13,"yes","not yet")</f>
        <v>not yet</v>
      </c>
      <c r="AF19" s="884">
        <f>100*(1-AC19)</f>
        <v>86.283269804908784</v>
      </c>
      <c r="AG19" s="868"/>
      <c r="AH19" s="868"/>
      <c r="AI19" s="868"/>
      <c r="AJ19" s="868" t="str">
        <f>HLOOKUP(1,$AJ$13:$AR$17,($E$12)+1)</f>
        <v>not yet</v>
      </c>
      <c r="AK19" s="868" t="str">
        <f>HLOOKUP(2,$AJ$13:$AR$17,($E$12)+1)</f>
        <v>not yet</v>
      </c>
      <c r="AL19" s="868" t="str">
        <f>HLOOKUP(3,$AJ$13:$AR$17,($E$12)+1)</f>
        <v>not yet</v>
      </c>
      <c r="AM19" s="868" t="str">
        <f>HLOOKUP(4,$AJ$13:$AR$17,($E$12)+1)</f>
        <v>not yet</v>
      </c>
      <c r="AN19" s="868" t="str">
        <f>HLOOKUP(5,$AJ$13:$AR$17,($E$12)+1)</f>
        <v>not yet</v>
      </c>
      <c r="AO19" s="868" t="str">
        <f>HLOOKUP(6,$AJ$13:$AR$17,($E$12)+1)</f>
        <v>not yet</v>
      </c>
      <c r="AP19" s="868" t="str">
        <f>HLOOKUP(7,$AJ$13:$AR$17,($E$12)+1)</f>
        <v>yes</v>
      </c>
      <c r="AQ19" s="868" t="str">
        <f>HLOOKUP(8,$AJ$13:$AR$17,($E$12)+1)</f>
        <v>yes</v>
      </c>
      <c r="AR19" s="868" t="str">
        <f>HLOOKUP(9,$AJ$13:$AR$17,($E$12)+1)</f>
        <v>yes</v>
      </c>
      <c r="AS19" s="866"/>
      <c r="AT19" s="866"/>
      <c r="AU19" s="866"/>
      <c r="AV19" s="866"/>
      <c r="AW19" s="866"/>
      <c r="AX19" s="866"/>
      <c r="AY19" s="866"/>
      <c r="AZ19" s="866"/>
      <c r="BA19" s="866"/>
      <c r="BB19" s="866"/>
      <c r="BC19" s="866"/>
      <c r="BD19" s="866"/>
      <c r="BE19" s="866"/>
      <c r="BF19" s="866"/>
      <c r="BG19" s="866"/>
      <c r="BH19" s="866"/>
      <c r="BI19" s="866"/>
      <c r="BJ19" s="866"/>
      <c r="BK19" s="916"/>
    </row>
    <row r="20" spans="1:63" s="289" customFormat="1" ht="14.25">
      <c r="A20" s="866"/>
      <c r="B20" s="879" t="s">
        <v>370</v>
      </c>
      <c r="C20" s="875" t="s">
        <v>395</v>
      </c>
      <c r="D20" s="868"/>
      <c r="E20" s="891">
        <v>0.25</v>
      </c>
      <c r="F20" s="875" t="s">
        <v>396</v>
      </c>
      <c r="G20" s="868"/>
      <c r="H20" s="889"/>
      <c r="I20" s="875" t="s">
        <v>370</v>
      </c>
      <c r="J20" s="866"/>
      <c r="K20" s="926"/>
      <c r="L20" s="868"/>
      <c r="M20" s="868"/>
      <c r="N20" s="868"/>
      <c r="O20" s="868"/>
      <c r="P20" s="868"/>
      <c r="Q20" s="868"/>
      <c r="R20" s="868"/>
      <c r="S20" s="868"/>
      <c r="T20" s="868"/>
      <c r="U20" s="868"/>
      <c r="V20" s="884">
        <f>100*(+AD14/$E$9)</f>
        <v>130.18901712258588</v>
      </c>
      <c r="W20" s="919">
        <f>EXP(5.6922-(0.68367*LN(V20)))</f>
        <v>10.62722817238514</v>
      </c>
      <c r="X20" s="892">
        <f>(+W20*V20)/100</f>
        <v>13.835483905002759</v>
      </c>
      <c r="Y20" s="884">
        <f>100*((((X20/100)-((X20/100)-0.03574)*$E$21)-0.03574-0.00619)/0.344)</f>
        <v>17.888312143319247</v>
      </c>
      <c r="Z20" s="868">
        <f>$E$20</f>
        <v>0.25</v>
      </c>
      <c r="AA20" s="884">
        <f>Y20+Z20</f>
        <v>18.138312143319247</v>
      </c>
      <c r="AB20" s="884">
        <f>100*($E$17*$E$19+($E$18*(AA20/100))/(1-$E$21))</f>
        <v>17.717879781391797</v>
      </c>
      <c r="AC20" s="892">
        <f>AB20/V20</f>
        <v>0.13609350598836348</v>
      </c>
      <c r="AD20" s="911">
        <f>$E$8/(1-AC20)</f>
        <v>113968.14053120854</v>
      </c>
      <c r="AE20" s="868" t="str">
        <f>IF(AD20=AD14,"yes","not yet")</f>
        <v>not yet</v>
      </c>
      <c r="AF20" s="884">
        <f>100*(1-AC20)</f>
        <v>86.390649401163657</v>
      </c>
      <c r="AG20" s="868"/>
      <c r="AH20" s="868"/>
      <c r="AI20" s="868">
        <v>1</v>
      </c>
      <c r="AJ20" s="884">
        <f>AF5</f>
        <v>86.426956581788502</v>
      </c>
      <c r="AK20" s="884">
        <f>AF11</f>
        <v>85.809715736810276</v>
      </c>
      <c r="AL20" s="884">
        <f>AF17</f>
        <v>85.867965366942116</v>
      </c>
      <c r="AM20" s="884">
        <f>AF23</f>
        <v>85.862459224001583</v>
      </c>
      <c r="AN20" s="884">
        <f>AF29</f>
        <v>85.862979620191609</v>
      </c>
      <c r="AO20" s="884">
        <f>AF35</f>
        <v>85.862930435819493</v>
      </c>
      <c r="AP20" s="884">
        <f>AF41</f>
        <v>85.862963683923795</v>
      </c>
      <c r="AQ20" s="884">
        <f>AF47</f>
        <v>85.862963683923795</v>
      </c>
      <c r="AR20" s="884">
        <f>AF53</f>
        <v>85.862963683923795</v>
      </c>
      <c r="AS20" s="866"/>
      <c r="AT20" s="866"/>
      <c r="AU20" s="866"/>
      <c r="AV20" s="866"/>
      <c r="AW20" s="866"/>
      <c r="AX20" s="866"/>
      <c r="AY20" s="866"/>
      <c r="AZ20" s="866"/>
      <c r="BA20" s="866"/>
      <c r="BB20" s="866"/>
      <c r="BC20" s="866"/>
      <c r="BD20" s="866"/>
      <c r="BE20" s="866"/>
      <c r="BF20" s="866"/>
      <c r="BG20" s="866"/>
      <c r="BH20" s="866"/>
      <c r="BI20" s="866"/>
      <c r="BJ20" s="866"/>
      <c r="BK20" s="916"/>
    </row>
    <row r="21" spans="1:63" s="289" customFormat="1" ht="14.25">
      <c r="A21" s="866"/>
      <c r="B21" s="879" t="s">
        <v>370</v>
      </c>
      <c r="C21" s="875" t="s">
        <v>397</v>
      </c>
      <c r="D21" s="868"/>
      <c r="E21" s="891">
        <v>0.34</v>
      </c>
      <c r="F21" s="875" t="s">
        <v>398</v>
      </c>
      <c r="G21" s="868"/>
      <c r="H21" s="888">
        <f>LG!H21</f>
        <v>6.2179639958343316E-3</v>
      </c>
      <c r="I21" s="875" t="s">
        <v>370</v>
      </c>
      <c r="J21" s="866"/>
      <c r="K21" s="927"/>
      <c r="L21" s="868"/>
      <c r="M21" s="868"/>
      <c r="N21" s="868"/>
      <c r="O21" s="868"/>
      <c r="P21" s="868"/>
      <c r="Q21" s="868"/>
      <c r="R21" s="868"/>
      <c r="S21" s="868"/>
      <c r="T21" s="868"/>
      <c r="U21" s="868"/>
      <c r="V21" s="868"/>
      <c r="W21" s="868"/>
      <c r="X21" s="868"/>
      <c r="Y21" s="868"/>
      <c r="Z21" s="868"/>
      <c r="AA21" s="884"/>
      <c r="AB21" s="868"/>
      <c r="AC21" s="868"/>
      <c r="AD21" s="868"/>
      <c r="AE21" s="868"/>
      <c r="AF21" s="868"/>
      <c r="AG21" s="868"/>
      <c r="AH21" s="868"/>
      <c r="AI21" s="868">
        <v>2</v>
      </c>
      <c r="AJ21" s="884">
        <f>AF6</f>
        <v>86.685022586561018</v>
      </c>
      <c r="AK21" s="884">
        <f>AF12</f>
        <v>86.058045549802586</v>
      </c>
      <c r="AL21" s="884">
        <f>AF18</f>
        <v>86.115776241795643</v>
      </c>
      <c r="AM21" s="884">
        <f>AF24</f>
        <v>86.11045153738371</v>
      </c>
      <c r="AN21" s="884">
        <f>AF30</f>
        <v>86.110942577033327</v>
      </c>
      <c r="AO21" s="884">
        <f>AF36</f>
        <v>86.110897293129426</v>
      </c>
      <c r="AP21" s="884">
        <f>AF42</f>
        <v>86.110874129452313</v>
      </c>
      <c r="AQ21" s="884">
        <f>AF48</f>
        <v>86.110874129452313</v>
      </c>
      <c r="AR21" s="884">
        <f>AF54</f>
        <v>86.110874129452313</v>
      </c>
      <c r="AS21" s="866"/>
      <c r="AT21" s="866"/>
      <c r="AU21" s="866"/>
      <c r="AV21" s="866"/>
      <c r="AW21" s="866"/>
      <c r="AX21" s="866"/>
      <c r="AY21" s="866"/>
      <c r="AZ21" s="866"/>
      <c r="BA21" s="866"/>
      <c r="BB21" s="866"/>
      <c r="BC21" s="866"/>
      <c r="BD21" s="866"/>
      <c r="BE21" s="866"/>
      <c r="BF21" s="866"/>
      <c r="BG21" s="866"/>
      <c r="BH21" s="866"/>
      <c r="BI21" s="866"/>
      <c r="BJ21" s="866"/>
      <c r="BK21" s="916"/>
    </row>
    <row r="22" spans="1:63" s="289" customFormat="1" ht="14.25">
      <c r="A22" s="866"/>
      <c r="B22" s="870"/>
      <c r="C22" s="868"/>
      <c r="D22" s="868"/>
      <c r="E22" s="868"/>
      <c r="F22" s="868"/>
      <c r="G22" s="868"/>
      <c r="H22" s="886"/>
      <c r="I22" s="886"/>
      <c r="J22" s="870"/>
      <c r="K22" s="868"/>
      <c r="L22" s="868"/>
      <c r="M22" s="868"/>
      <c r="N22" s="868"/>
      <c r="O22" s="868"/>
      <c r="P22" s="868"/>
      <c r="Q22" s="868"/>
      <c r="R22" s="868"/>
      <c r="S22" s="868"/>
      <c r="T22" s="868"/>
      <c r="U22" s="868"/>
      <c r="V22" s="875" t="s">
        <v>399</v>
      </c>
      <c r="W22" s="918" t="s">
        <v>352</v>
      </c>
      <c r="X22" s="918" t="s">
        <v>353</v>
      </c>
      <c r="Y22" s="918" t="s">
        <v>354</v>
      </c>
      <c r="Z22" s="868"/>
      <c r="AA22" s="884"/>
      <c r="AB22" s="868"/>
      <c r="AC22" s="868"/>
      <c r="AD22" s="868"/>
      <c r="AE22" s="868"/>
      <c r="AF22" s="868"/>
      <c r="AG22" s="868"/>
      <c r="AH22" s="868"/>
      <c r="AI22" s="868">
        <v>3</v>
      </c>
      <c r="AJ22" s="884">
        <f>AF7</f>
        <v>86.858860273449451</v>
      </c>
      <c r="AK22" s="884">
        <f>AF13</f>
        <v>86.225970833910253</v>
      </c>
      <c r="AL22" s="884">
        <f>AF19</f>
        <v>86.283269804908784</v>
      </c>
      <c r="AM22" s="884">
        <f>AF25</f>
        <v>86.278073304728096</v>
      </c>
      <c r="AN22" s="884">
        <f>AF31</f>
        <v>86.278544507105892</v>
      </c>
      <c r="AO22" s="884">
        <f>AF37</f>
        <v>86.278501779345532</v>
      </c>
      <c r="AP22" s="884">
        <f>AF43</f>
        <v>86.278486454006625</v>
      </c>
      <c r="AQ22" s="884">
        <f>AF49</f>
        <v>86.278486454006625</v>
      </c>
      <c r="AR22" s="884">
        <f>AF55</f>
        <v>86.278486454006625</v>
      </c>
      <c r="AS22" s="866"/>
      <c r="AT22" s="866"/>
      <c r="AU22" s="866"/>
      <c r="AV22" s="866"/>
      <c r="AW22" s="866"/>
      <c r="AX22" s="866"/>
      <c r="AY22" s="866"/>
      <c r="AZ22" s="866"/>
      <c r="BA22" s="866"/>
      <c r="BB22" s="866"/>
      <c r="BC22" s="866"/>
      <c r="BD22" s="866"/>
      <c r="BE22" s="866"/>
      <c r="BF22" s="866"/>
      <c r="BG22" s="866"/>
      <c r="BH22" s="866"/>
      <c r="BI22" s="866"/>
      <c r="BJ22" s="866"/>
      <c r="BK22" s="916"/>
    </row>
    <row r="23" spans="1:63" s="289" customFormat="1" ht="14.25">
      <c r="A23" s="866"/>
      <c r="B23" s="870"/>
      <c r="C23" s="868"/>
      <c r="D23" s="868"/>
      <c r="E23" s="868"/>
      <c r="F23" s="875" t="s">
        <v>400</v>
      </c>
      <c r="G23" s="868"/>
      <c r="H23" s="889">
        <f>SUM(H18:H21)</f>
        <v>2.6317963995834331E-2</v>
      </c>
      <c r="I23" s="889"/>
      <c r="J23" s="870"/>
      <c r="K23" s="928"/>
      <c r="L23" s="868"/>
      <c r="M23" s="868"/>
      <c r="N23" s="871"/>
      <c r="O23" s="868"/>
      <c r="P23" s="871"/>
      <c r="Q23" s="868"/>
      <c r="R23" s="868"/>
      <c r="S23" s="868"/>
      <c r="T23" s="868"/>
      <c r="U23" s="868"/>
      <c r="V23" s="884">
        <f>100*(+AD17/$E$9)</f>
        <v>130.8950815431169</v>
      </c>
      <c r="W23" s="919">
        <f>EXP(5.7226-(0.68367*LN(+V23)))</f>
        <v>10.914821318992384</v>
      </c>
      <c r="X23" s="892">
        <f>(+W23*V23)/100</f>
        <v>14.28696426578059</v>
      </c>
      <c r="Y23" s="884">
        <f>100*((((X23/100)-((X23/100)-0.03574)*$E$21)-0.03574-0.00619)/0.344)</f>
        <v>18.754524463416246</v>
      </c>
      <c r="Z23" s="868">
        <f>$E$20</f>
        <v>0.25</v>
      </c>
      <c r="AA23" s="884">
        <f>Y23+Z23</f>
        <v>19.004524463416246</v>
      </c>
      <c r="AB23" s="884">
        <f>100*($E$17*$E$19+($E$18*(AA23/100))/(1-$E$21))</f>
        <v>18.505345526934523</v>
      </c>
      <c r="AC23" s="892">
        <f>AB23/V23</f>
        <v>0.14137540775998411</v>
      </c>
      <c r="AD23" s="911">
        <f>$E$8/(1-AC23)</f>
        <v>114669.22518312803</v>
      </c>
      <c r="AE23" s="868" t="str">
        <f>IF(AD23=AD17,"yes","not yet")</f>
        <v>not yet</v>
      </c>
      <c r="AF23" s="884">
        <f>100*(1-AC23)</f>
        <v>85.862459224001583</v>
      </c>
      <c r="AG23" s="868"/>
      <c r="AH23" s="868"/>
      <c r="AI23" s="868">
        <v>4</v>
      </c>
      <c r="AJ23" s="884">
        <f>AF8</f>
        <v>86.970058882563492</v>
      </c>
      <c r="AK23" s="884">
        <f>AF14</f>
        <v>86.333659912833809</v>
      </c>
      <c r="AL23" s="884">
        <f>AF20</f>
        <v>86.390649401163657</v>
      </c>
      <c r="AM23" s="884">
        <f>AF26</f>
        <v>86.385537147644882</v>
      </c>
      <c r="AN23" s="884">
        <f>AF32</f>
        <v>86.385995672097053</v>
      </c>
      <c r="AO23" s="884">
        <f>AF38</f>
        <v>86.385954545888524</v>
      </c>
      <c r="AP23" s="884">
        <f>AF44</f>
        <v>86.385935500962987</v>
      </c>
      <c r="AQ23" s="884">
        <f>AF50</f>
        <v>86.385935500962987</v>
      </c>
      <c r="AR23" s="884">
        <f>AF56</f>
        <v>86.385935500962987</v>
      </c>
      <c r="AS23" s="866"/>
      <c r="AT23" s="866"/>
      <c r="AU23" s="866"/>
      <c r="AV23" s="866"/>
      <c r="AW23" s="866"/>
      <c r="AX23" s="866"/>
      <c r="AY23" s="866"/>
      <c r="AZ23" s="866"/>
      <c r="BA23" s="866"/>
      <c r="BB23" s="866"/>
      <c r="BC23" s="866"/>
      <c r="BD23" s="866"/>
      <c r="BE23" s="866"/>
      <c r="BF23" s="866"/>
      <c r="BG23" s="866"/>
      <c r="BH23" s="866"/>
      <c r="BI23" s="866"/>
      <c r="BJ23" s="866"/>
      <c r="BK23" s="916"/>
    </row>
    <row r="24" spans="1:63" s="289" customFormat="1" ht="14.25">
      <c r="A24" s="866"/>
      <c r="B24" s="870"/>
      <c r="C24" s="868"/>
      <c r="D24" s="868"/>
      <c r="E24" s="868"/>
      <c r="F24" s="868"/>
      <c r="G24" s="868"/>
      <c r="H24" s="868"/>
      <c r="I24" s="868"/>
      <c r="J24" s="870"/>
      <c r="K24" s="868"/>
      <c r="L24" s="868"/>
      <c r="M24" s="868"/>
      <c r="N24" s="868"/>
      <c r="O24" s="868"/>
      <c r="P24" s="868"/>
      <c r="Q24" s="868"/>
      <c r="R24" s="868"/>
      <c r="S24" s="868"/>
      <c r="T24" s="868"/>
      <c r="U24" s="868"/>
      <c r="V24" s="884">
        <f>100*(+AD18/$E$9)</f>
        <v>130.51841159845833</v>
      </c>
      <c r="W24" s="919">
        <f>EXP(5.70827-(0.68367*LN(+V24)))</f>
        <v>10.78074655991635</v>
      </c>
      <c r="X24" s="892">
        <f>(+W24*V24)/100</f>
        <v>14.070859168458259</v>
      </c>
      <c r="Y24" s="884">
        <f>100*((((X24/100)-((X24/100)-0.03574)*$E$21)-0.03574-0.00619)/0.344)</f>
        <v>18.339904218553642</v>
      </c>
      <c r="Z24" s="868">
        <f>$E$20</f>
        <v>0.25</v>
      </c>
      <c r="AA24" s="884">
        <f>Y24+Z24</f>
        <v>18.589904218553642</v>
      </c>
      <c r="AB24" s="884">
        <f>100*($E$17*$E$19+($E$18*(AA24/100))/(1-$E$21))</f>
        <v>18.12841803160488</v>
      </c>
      <c r="AC24" s="892">
        <f>AB24/V24</f>
        <v>0.13889548462616297</v>
      </c>
      <c r="AD24" s="911">
        <f>$E$8/(1-AC24)</f>
        <v>114338.98552093611</v>
      </c>
      <c r="AE24" s="868" t="str">
        <f>IF(AD24=AD18,"yes","not yet")</f>
        <v>not yet</v>
      </c>
      <c r="AF24" s="884">
        <f>100*(1-AC24)</f>
        <v>86.11045153738371</v>
      </c>
      <c r="AG24" s="868"/>
      <c r="AH24" s="868"/>
      <c r="AI24" s="868"/>
      <c r="AJ24" s="868"/>
      <c r="AK24" s="868"/>
      <c r="AL24" s="868"/>
      <c r="AM24" s="868"/>
      <c r="AN24" s="868"/>
      <c r="AO24" s="868"/>
      <c r="AP24" s="868"/>
      <c r="AQ24" s="868"/>
      <c r="AR24" s="868"/>
      <c r="AS24" s="866"/>
      <c r="AT24" s="866"/>
      <c r="AU24" s="866"/>
      <c r="AV24" s="866"/>
      <c r="AW24" s="866"/>
      <c r="AX24" s="866"/>
      <c r="AY24" s="866"/>
      <c r="AZ24" s="866"/>
      <c r="BA24" s="866"/>
      <c r="BB24" s="866"/>
      <c r="BC24" s="866"/>
      <c r="BD24" s="866"/>
      <c r="BE24" s="866"/>
      <c r="BF24" s="866"/>
      <c r="BG24" s="866"/>
      <c r="BH24" s="866"/>
      <c r="BI24" s="866"/>
      <c r="BJ24" s="866"/>
      <c r="BK24" s="916"/>
    </row>
    <row r="25" spans="1:63" s="289" customFormat="1" ht="14.25">
      <c r="A25" s="866"/>
      <c r="B25" s="870"/>
      <c r="C25" s="868"/>
      <c r="D25" s="868"/>
      <c r="E25" s="868"/>
      <c r="F25" s="875" t="s">
        <v>401</v>
      </c>
      <c r="G25" s="868"/>
      <c r="H25" s="892">
        <f>((+H15/100)-H23)</f>
        <v>0.83646690054423189</v>
      </c>
      <c r="I25" s="892"/>
      <c r="J25" s="870"/>
      <c r="K25" s="868"/>
      <c r="L25" s="871"/>
      <c r="M25" s="868"/>
      <c r="N25" s="868"/>
      <c r="O25" s="868"/>
      <c r="P25" s="868"/>
      <c r="Q25" s="868"/>
      <c r="R25" s="868"/>
      <c r="S25" s="868"/>
      <c r="T25" s="868"/>
      <c r="U25" s="868"/>
      <c r="V25" s="884">
        <f>100*(+AD19/$E$9)</f>
        <v>130.26504853213135</v>
      </c>
      <c r="W25" s="919">
        <f>EXP(5.6985-(0.68367*LN(V25)))</f>
        <v>10.690123213833415</v>
      </c>
      <c r="X25" s="892">
        <f>(+W25*V25)/100</f>
        <v>13.925494192644738</v>
      </c>
      <c r="Y25" s="884">
        <f>100*((((X25/100)-((X25/100)-0.03574)*$E$21)-0.03574-0.00619)/0.344)</f>
        <v>18.061006299841647</v>
      </c>
      <c r="Z25" s="868">
        <f>$E$20</f>
        <v>0.25</v>
      </c>
      <c r="AA25" s="884">
        <f>Y25+Z25</f>
        <v>18.311006299841647</v>
      </c>
      <c r="AB25" s="884">
        <f>100*($E$17*$E$19+($E$18*(AA25/100))/(1-$E$21))</f>
        <v>17.874874469139431</v>
      </c>
      <c r="AC25" s="892">
        <f>AB25/V25</f>
        <v>0.13721926695271902</v>
      </c>
      <c r="AD25" s="911">
        <f>$E$8/(1-AC25)</f>
        <v>114116.84677704354</v>
      </c>
      <c r="AE25" s="868" t="str">
        <f>IF(AD25=AD19,"yes","not yet")</f>
        <v>not yet</v>
      </c>
      <c r="AF25" s="884">
        <f>100*(1-AC25)</f>
        <v>86.278073304728096</v>
      </c>
      <c r="AG25" s="868"/>
      <c r="AH25" s="868"/>
      <c r="AI25" s="868"/>
      <c r="AJ25" s="868" t="s">
        <v>402</v>
      </c>
      <c r="AK25" s="868"/>
      <c r="AL25" s="868"/>
      <c r="AM25" s="868"/>
      <c r="AN25" s="868"/>
      <c r="AO25" s="868"/>
      <c r="AP25" s="868"/>
      <c r="AQ25" s="868"/>
      <c r="AR25" s="868"/>
      <c r="AS25" s="866"/>
      <c r="AT25" s="866"/>
      <c r="AU25" s="866"/>
      <c r="AV25" s="866"/>
      <c r="AW25" s="866"/>
      <c r="AX25" s="866"/>
      <c r="AY25" s="866"/>
      <c r="AZ25" s="866"/>
      <c r="BA25" s="866"/>
      <c r="BB25" s="866"/>
      <c r="BC25" s="866"/>
      <c r="BD25" s="866"/>
      <c r="BE25" s="866"/>
      <c r="BF25" s="866"/>
      <c r="BG25" s="866"/>
      <c r="BH25" s="866"/>
      <c r="BI25" s="866"/>
      <c r="BJ25" s="866"/>
      <c r="BK25" s="916"/>
    </row>
    <row r="26" spans="1:63" s="289" customFormat="1" ht="14.25">
      <c r="A26" s="866"/>
      <c r="B26" s="870"/>
      <c r="C26" s="868"/>
      <c r="D26" s="868"/>
      <c r="E26" s="868"/>
      <c r="F26" s="868"/>
      <c r="G26" s="868"/>
      <c r="H26" s="868"/>
      <c r="I26" s="868"/>
      <c r="J26" s="870"/>
      <c r="K26" s="868"/>
      <c r="L26" s="868"/>
      <c r="M26" s="868"/>
      <c r="N26" s="868"/>
      <c r="O26" s="868"/>
      <c r="P26" s="868"/>
      <c r="Q26" s="868"/>
      <c r="R26" s="868"/>
      <c r="S26" s="868"/>
      <c r="T26" s="868"/>
      <c r="U26" s="868"/>
      <c r="V26" s="884">
        <f>100*(+AD20/$E$9)</f>
        <v>130.10313507952435</v>
      </c>
      <c r="W26" s="919">
        <f>EXP(5.6922-(0.68367*LN(V26)))</f>
        <v>10.632023693436079</v>
      </c>
      <c r="X26" s="892">
        <f>(+W26*V26)/100</f>
        <v>13.832596147558174</v>
      </c>
      <c r="Y26" s="884">
        <f>100*((((X26/100)-((X26/100)-0.03574)*$E$21)-0.03574-0.00619)/0.344)</f>
        <v>17.882771678454638</v>
      </c>
      <c r="Z26" s="868">
        <f>$E$20</f>
        <v>0.25</v>
      </c>
      <c r="AA26" s="884">
        <f>Y26+Z26</f>
        <v>18.132771678454638</v>
      </c>
      <c r="AB26" s="884">
        <f>100*($E$17*$E$19+($E$18*(AA26/100))/(1-$E$21))</f>
        <v>17.712842995151242</v>
      </c>
      <c r="AC26" s="892">
        <f>AB26/V26</f>
        <v>0.13614462852355116</v>
      </c>
      <c r="AD26" s="911">
        <f>$E$8/(1-AC26)</f>
        <v>113974.88510960322</v>
      </c>
      <c r="AE26" s="868" t="str">
        <f>IF(AD26=AD20,"yes","not yet")</f>
        <v>not yet</v>
      </c>
      <c r="AF26" s="884">
        <f>100*(1-AC26)</f>
        <v>86.385537147644882</v>
      </c>
      <c r="AG26" s="868"/>
      <c r="AH26" s="868"/>
      <c r="AI26" s="868"/>
      <c r="AJ26" s="884">
        <f>HLOOKUP($AJ$25,$AJ$19:$AR$23,($E$12)+1)</f>
        <v>86.278486454006625</v>
      </c>
      <c r="AK26" s="868"/>
      <c r="AL26" s="868"/>
      <c r="AM26" s="868"/>
      <c r="AN26" s="868"/>
      <c r="AO26" s="868"/>
      <c r="AP26" s="868"/>
      <c r="AQ26" s="868"/>
      <c r="AR26" s="868"/>
      <c r="AS26" s="866"/>
      <c r="AT26" s="866"/>
      <c r="AU26" s="866"/>
      <c r="AV26" s="866"/>
      <c r="AW26" s="866"/>
      <c r="AX26" s="866"/>
      <c r="AY26" s="866"/>
      <c r="AZ26" s="866"/>
      <c r="BA26" s="866"/>
      <c r="BB26" s="866"/>
      <c r="BC26" s="866"/>
      <c r="BD26" s="866"/>
      <c r="BE26" s="866"/>
      <c r="BF26" s="866"/>
      <c r="BG26" s="866"/>
      <c r="BH26" s="866"/>
      <c r="BI26" s="866"/>
      <c r="BJ26" s="866"/>
      <c r="BK26" s="916"/>
    </row>
    <row r="27" spans="1:63" s="289" customFormat="1" ht="14.25">
      <c r="A27" s="866"/>
      <c r="B27" s="870"/>
      <c r="C27" s="868"/>
      <c r="D27" s="868"/>
      <c r="E27" s="893"/>
      <c r="F27" s="894"/>
      <c r="G27" s="894"/>
      <c r="H27" s="868"/>
      <c r="I27" s="868"/>
      <c r="J27" s="870"/>
      <c r="K27" s="868"/>
      <c r="L27" s="868"/>
      <c r="M27" s="868"/>
      <c r="N27" s="868"/>
      <c r="O27" s="868"/>
      <c r="P27" s="868"/>
      <c r="Q27" s="868"/>
      <c r="R27" s="868"/>
      <c r="S27" s="868"/>
      <c r="T27" s="868"/>
      <c r="U27" s="868"/>
      <c r="V27" s="868"/>
      <c r="W27" s="868"/>
      <c r="X27" s="868"/>
      <c r="Y27" s="868"/>
      <c r="Z27" s="868"/>
      <c r="AA27" s="884"/>
      <c r="AB27" s="868"/>
      <c r="AC27" s="868"/>
      <c r="AD27" s="868"/>
      <c r="AE27" s="868"/>
      <c r="AF27" s="868"/>
      <c r="AG27" s="868"/>
      <c r="AH27" s="868"/>
      <c r="AI27" s="868"/>
      <c r="AJ27" s="868"/>
      <c r="AK27" s="868"/>
      <c r="AL27" s="868"/>
      <c r="AM27" s="868"/>
      <c r="AN27" s="868"/>
      <c r="AO27" s="868"/>
      <c r="AP27" s="868"/>
      <c r="AQ27" s="868"/>
      <c r="AR27" s="868"/>
      <c r="AS27" s="866"/>
      <c r="AT27" s="866"/>
      <c r="AU27" s="866"/>
      <c r="AV27" s="866"/>
      <c r="AW27" s="866"/>
      <c r="AX27" s="866"/>
      <c r="AY27" s="866"/>
      <c r="AZ27" s="866"/>
      <c r="BA27" s="866"/>
      <c r="BB27" s="866"/>
      <c r="BC27" s="866"/>
      <c r="BD27" s="866"/>
      <c r="BE27" s="866"/>
      <c r="BF27" s="866"/>
      <c r="BG27" s="866"/>
      <c r="BH27" s="866"/>
      <c r="BI27" s="866"/>
      <c r="BJ27" s="866"/>
      <c r="BK27" s="916"/>
    </row>
    <row r="28" spans="1:63" s="289" customFormat="1" ht="45" customHeight="1">
      <c r="A28" s="866"/>
      <c r="B28" s="1311" t="s">
        <v>1310</v>
      </c>
      <c r="C28" s="1311"/>
      <c r="D28" s="1311"/>
      <c r="E28" s="1311"/>
      <c r="F28" s="1311"/>
      <c r="G28" s="1311"/>
      <c r="H28" s="1311"/>
      <c r="I28" s="895"/>
      <c r="J28" s="868"/>
      <c r="K28" s="868"/>
      <c r="L28" s="868"/>
      <c r="M28" s="868"/>
      <c r="N28" s="868"/>
      <c r="O28" s="868"/>
      <c r="P28" s="868"/>
      <c r="Q28" s="868"/>
      <c r="R28" s="868"/>
      <c r="S28" s="868"/>
      <c r="T28" s="868"/>
      <c r="U28" s="868"/>
      <c r="V28" s="875" t="s">
        <v>403</v>
      </c>
      <c r="W28" s="918" t="s">
        <v>352</v>
      </c>
      <c r="X28" s="918" t="s">
        <v>353</v>
      </c>
      <c r="Y28" s="918" t="s">
        <v>354</v>
      </c>
      <c r="Z28" s="868"/>
      <c r="AA28" s="884"/>
      <c r="AB28" s="868"/>
      <c r="AC28" s="868"/>
      <c r="AD28" s="868"/>
      <c r="AE28" s="868"/>
      <c r="AF28" s="868"/>
      <c r="AG28" s="868"/>
      <c r="AH28" s="868"/>
      <c r="AI28" s="868"/>
      <c r="AJ28" s="868" t="str">
        <f>HLOOKUP(1,$AJ$13:$AR$17,($E$12)+1)</f>
        <v>not yet</v>
      </c>
      <c r="AK28" s="868" t="str">
        <f>HLOOKUP(2,$AJ$13:$AR$17,($E$12)+1)</f>
        <v>not yet</v>
      </c>
      <c r="AL28" s="868" t="str">
        <f>HLOOKUP(3,$AJ$13:$AR$17,($E$12)+1)</f>
        <v>not yet</v>
      </c>
      <c r="AM28" s="868" t="str">
        <f>HLOOKUP(4,$AJ$13:$AR$17,($E$12)+1)</f>
        <v>not yet</v>
      </c>
      <c r="AN28" s="868" t="str">
        <f>HLOOKUP(5,$AJ$13:$AR$17,($E$12)+1)</f>
        <v>not yet</v>
      </c>
      <c r="AO28" s="868" t="str">
        <f>HLOOKUP(6,$AJ$13:$AR$17,($E$12)+1)</f>
        <v>not yet</v>
      </c>
      <c r="AP28" s="868" t="str">
        <f>HLOOKUP(7,$AJ$13:$AR$17,($E$12)+1)</f>
        <v>yes</v>
      </c>
      <c r="AQ28" s="868" t="str">
        <f>HLOOKUP(8,$AJ$13:$AR$17,($E$12)+1)</f>
        <v>yes</v>
      </c>
      <c r="AR28" s="868" t="str">
        <f>HLOOKUP(9,$AJ$13:$AR$17,($E$12)+1)</f>
        <v>yes</v>
      </c>
      <c r="AS28" s="866"/>
      <c r="AT28" s="866"/>
      <c r="AU28" s="866"/>
      <c r="AV28" s="866"/>
      <c r="AW28" s="866"/>
      <c r="AX28" s="866"/>
      <c r="AY28" s="866"/>
      <c r="AZ28" s="866"/>
      <c r="BA28" s="866"/>
      <c r="BB28" s="866"/>
      <c r="BC28" s="866"/>
      <c r="BD28" s="866"/>
      <c r="BE28" s="866"/>
      <c r="BF28" s="866"/>
      <c r="BG28" s="866"/>
      <c r="BH28" s="866"/>
      <c r="BI28" s="866"/>
      <c r="BJ28" s="866"/>
      <c r="BK28" s="916"/>
    </row>
    <row r="29" spans="1:63" s="289" customFormat="1" ht="14.25">
      <c r="A29" s="866"/>
      <c r="B29" s="868"/>
      <c r="C29" s="899"/>
      <c r="D29" s="900"/>
      <c r="E29" s="901"/>
      <c r="F29" s="902"/>
      <c r="G29" s="903"/>
      <c r="H29" s="868"/>
      <c r="I29" s="872"/>
      <c r="J29" s="868"/>
      <c r="K29" s="868"/>
      <c r="L29" s="868"/>
      <c r="M29" s="868"/>
      <c r="N29" s="868"/>
      <c r="O29" s="868"/>
      <c r="P29" s="868"/>
      <c r="Q29" s="868"/>
      <c r="R29" s="868"/>
      <c r="S29" s="868"/>
      <c r="T29" s="868"/>
      <c r="U29" s="868"/>
      <c r="V29" s="884">
        <f>100*(+AD23/$E$9)</f>
        <v>130.9034755145417</v>
      </c>
      <c r="W29" s="919">
        <f>EXP(5.7226-(0.68367*LN(+V29)))</f>
        <v>10.914342816871041</v>
      </c>
      <c r="X29" s="892">
        <f>(+W29*V29)/100</f>
        <v>14.287254076855925</v>
      </c>
      <c r="Y29" s="884">
        <f>100*((((X29/100)-((X29/100)-0.03574)*$E$21)-0.03574-0.00619)/0.344)</f>
        <v>18.755080496293346</v>
      </c>
      <c r="Z29" s="868">
        <f>$E$20</f>
        <v>0.25</v>
      </c>
      <c r="AA29" s="884">
        <f>Y29+Z29</f>
        <v>19.005080496293346</v>
      </c>
      <c r="AB29" s="884">
        <f>100*($E$17*$E$19+($E$18*(AA29/100))/(1-$E$21))</f>
        <v>18.505851011368247</v>
      </c>
      <c r="AC29" s="892">
        <f>AB29/V29</f>
        <v>0.1413702037980839</v>
      </c>
      <c r="AD29" s="911">
        <f>$E$8/(1-AC29)</f>
        <v>114668.53019876851</v>
      </c>
      <c r="AE29" s="868" t="str">
        <f>IF(AD29=AD23,"yes","not yet")</f>
        <v>not yet</v>
      </c>
      <c r="AF29" s="884">
        <f>100*(1-AC29)</f>
        <v>85.862979620191609</v>
      </c>
      <c r="AG29" s="868"/>
      <c r="AH29" s="868"/>
      <c r="AI29" s="868">
        <v>1</v>
      </c>
      <c r="AJ29" s="884">
        <f>V5</f>
        <v>140.49617910809283</v>
      </c>
      <c r="AK29" s="884">
        <f>V11</f>
        <v>130.04847993242657</v>
      </c>
      <c r="AL29" s="884">
        <f>V17</f>
        <v>130.98393616780007</v>
      </c>
      <c r="AM29" s="884">
        <f>V23</f>
        <v>130.8950815431169</v>
      </c>
      <c r="AN29" s="884">
        <f>V29</f>
        <v>130.9034755145417</v>
      </c>
      <c r="AO29" s="884">
        <f>V35</f>
        <v>130.90268213804558</v>
      </c>
      <c r="AP29" s="884">
        <f>V41</f>
        <v>130.90321845120113</v>
      </c>
      <c r="AQ29" s="884">
        <f>V47</f>
        <v>130.90321845120113</v>
      </c>
      <c r="AR29" s="884">
        <f>V53</f>
        <v>130.90321845120113</v>
      </c>
      <c r="AS29" s="866"/>
      <c r="AT29" s="866"/>
      <c r="AU29" s="866"/>
      <c r="AV29" s="866"/>
      <c r="AW29" s="866"/>
      <c r="AX29" s="866"/>
      <c r="AY29" s="866"/>
      <c r="AZ29" s="866"/>
      <c r="BA29" s="866"/>
      <c r="BB29" s="866"/>
      <c r="BC29" s="866"/>
      <c r="BD29" s="866"/>
      <c r="BE29" s="866"/>
      <c r="BF29" s="866"/>
      <c r="BG29" s="866"/>
      <c r="BH29" s="866"/>
      <c r="BI29" s="866"/>
      <c r="BJ29" s="866"/>
      <c r="BK29" s="916"/>
    </row>
    <row r="30" spans="1:63" s="289" customFormat="1" ht="40.5" customHeight="1">
      <c r="A30" s="866"/>
      <c r="I30" s="872"/>
      <c r="J30" s="868"/>
      <c r="K30" s="868"/>
      <c r="L30" s="868"/>
      <c r="M30" s="868"/>
      <c r="N30" s="868"/>
      <c r="O30" s="868"/>
      <c r="P30" s="868"/>
      <c r="Q30" s="868"/>
      <c r="R30" s="868"/>
      <c r="S30" s="868"/>
      <c r="T30" s="868"/>
      <c r="U30" s="868"/>
      <c r="V30" s="884">
        <f>100*(+AD24/$E$9)</f>
        <v>130.5264823024167</v>
      </c>
      <c r="W30" s="919">
        <f>EXP(5.70827-(0.68367*LN(+V30)))</f>
        <v>10.780290824908946</v>
      </c>
      <c r="X30" s="892">
        <f>(+W30*V30)/100</f>
        <v>14.071134395723824</v>
      </c>
      <c r="Y30" s="884">
        <f>100*((((X30/100)-((X30/100)-0.03574)*$E$21)-0.03574-0.00619)/0.344)</f>
        <v>18.340432270865477</v>
      </c>
      <c r="Z30" s="868">
        <f>$E$20</f>
        <v>0.25</v>
      </c>
      <c r="AA30" s="884">
        <f>Y30+Z30</f>
        <v>18.590432270865477</v>
      </c>
      <c r="AB30" s="884">
        <f>100*($E$17*$E$19+($E$18*(AA30/100))/(1-$E$21))</f>
        <v>18.128898079161097</v>
      </c>
      <c r="AC30" s="892">
        <f>AB30/V30</f>
        <v>0.1388905742296668</v>
      </c>
      <c r="AD30" s="911">
        <f>$E$8/(1-AC30)</f>
        <v>114338.33351349423</v>
      </c>
      <c r="AE30" s="868" t="str">
        <f>IF(AD30=AD24,"yes","not yet")</f>
        <v>not yet</v>
      </c>
      <c r="AF30" s="884">
        <f>100*(1-AC30)</f>
        <v>86.110942577033327</v>
      </c>
      <c r="AG30" s="868"/>
      <c r="AH30" s="868"/>
      <c r="AI30" s="868">
        <v>2</v>
      </c>
      <c r="AJ30" s="884">
        <f>V6</f>
        <v>140.49617910809283</v>
      </c>
      <c r="AK30" s="884">
        <f>V12</f>
        <v>129.66131856773541</v>
      </c>
      <c r="AL30" s="884">
        <f>V18</f>
        <v>130.60596783066507</v>
      </c>
      <c r="AM30" s="884">
        <f>V24</f>
        <v>130.51841159845833</v>
      </c>
      <c r="AN30" s="884">
        <f>V30</f>
        <v>130.5264823024167</v>
      </c>
      <c r="AO30" s="884">
        <f>V36</f>
        <v>130.52573798727838</v>
      </c>
      <c r="AP30" s="884">
        <f>V42</f>
        <v>130.52535725674275</v>
      </c>
      <c r="AQ30" s="884">
        <f>V48</f>
        <v>130.52535725674275</v>
      </c>
      <c r="AR30" s="884">
        <f>V54</f>
        <v>130.52535725674275</v>
      </c>
      <c r="AS30" s="866"/>
      <c r="AT30" s="866"/>
      <c r="AU30" s="866"/>
      <c r="AV30" s="866"/>
      <c r="AW30" s="866"/>
      <c r="AX30" s="866"/>
      <c r="AY30" s="866"/>
      <c r="AZ30" s="866"/>
      <c r="BA30" s="866"/>
      <c r="BB30" s="866"/>
      <c r="BC30" s="866"/>
      <c r="BD30" s="866"/>
      <c r="BE30" s="866"/>
      <c r="BF30" s="866"/>
      <c r="BG30" s="866"/>
      <c r="BH30" s="866"/>
      <c r="BI30" s="866"/>
      <c r="BJ30" s="866"/>
      <c r="BK30" s="916"/>
    </row>
    <row r="31" spans="1:63" s="289" customFormat="1" ht="14.25">
      <c r="A31" s="866"/>
      <c r="B31" s="868"/>
      <c r="C31" s="899"/>
      <c r="D31" s="899"/>
      <c r="E31" s="905"/>
      <c r="F31" s="906"/>
      <c r="G31" s="907"/>
      <c r="H31" s="908"/>
      <c r="I31" s="907"/>
      <c r="J31" s="868"/>
      <c r="K31" s="868"/>
      <c r="L31" s="868"/>
      <c r="M31" s="868"/>
      <c r="N31" s="868"/>
      <c r="O31" s="868"/>
      <c r="P31" s="868"/>
      <c r="Q31" s="868"/>
      <c r="R31" s="868"/>
      <c r="S31" s="868"/>
      <c r="T31" s="868"/>
      <c r="U31" s="868"/>
      <c r="V31" s="884">
        <f>100*(+AD25/$E$9)</f>
        <v>130.27289435346586</v>
      </c>
      <c r="W31" s="919">
        <f>EXP(5.6985-(0.68367*LN(V31)))</f>
        <v>10.689683046586905</v>
      </c>
      <c r="X31" s="892">
        <f>(+W31*V31)/100</f>
        <v>13.92575950200051</v>
      </c>
      <c r="Y31" s="884">
        <f>100*((((X31/100)-((X31/100)-0.03574)*$E$21)-0.03574-0.00619)/0.344)</f>
        <v>18.061515323605629</v>
      </c>
      <c r="Z31" s="868">
        <f>$E$20</f>
        <v>0.25</v>
      </c>
      <c r="AA31" s="884">
        <f>Y31+Z31</f>
        <v>18.311515323605629</v>
      </c>
      <c r="AB31" s="884">
        <f>100*($E$17*$E$19+($E$18*(AA31/100))/(1-$E$21))</f>
        <v>17.87533721801578</v>
      </c>
      <c r="AC31" s="892">
        <f>AB31/V31</f>
        <v>0.13721455492894108</v>
      </c>
      <c r="AD31" s="911">
        <f>$E$8/(1-AC31)</f>
        <v>114116.22353832463</v>
      </c>
      <c r="AE31" s="868" t="str">
        <f>IF(AD31=AD25,"yes","not yet")</f>
        <v>not yet</v>
      </c>
      <c r="AF31" s="884">
        <f>100*(1-AC31)</f>
        <v>86.278544507105892</v>
      </c>
      <c r="AG31" s="868"/>
      <c r="AH31" s="868"/>
      <c r="AI31" s="868">
        <v>3</v>
      </c>
      <c r="AJ31" s="884">
        <f>V7</f>
        <v>140.49617910809283</v>
      </c>
      <c r="AK31" s="884">
        <f>V13</f>
        <v>129.40181684703865</v>
      </c>
      <c r="AL31" s="884">
        <f>V19</f>
        <v>130.35161239642625</v>
      </c>
      <c r="AM31" s="884">
        <f>V25</f>
        <v>130.26504853213135</v>
      </c>
      <c r="AN31" s="884">
        <f>V31</f>
        <v>130.27289435346586</v>
      </c>
      <c r="AO31" s="884">
        <f>V37</f>
        <v>130.2721828799711</v>
      </c>
      <c r="AP31" s="884">
        <f>V43</f>
        <v>130.27192769429635</v>
      </c>
      <c r="AQ31" s="884">
        <f>V49</f>
        <v>130.27192769429635</v>
      </c>
      <c r="AR31" s="884">
        <f>V55</f>
        <v>130.27192769429635</v>
      </c>
      <c r="AS31" s="866"/>
      <c r="AT31" s="866"/>
      <c r="AU31" s="866"/>
      <c r="AV31" s="866"/>
      <c r="AW31" s="866"/>
      <c r="AX31" s="866"/>
      <c r="AY31" s="866"/>
      <c r="AZ31" s="866"/>
      <c r="BA31" s="866"/>
      <c r="BB31" s="866"/>
      <c r="BC31" s="866"/>
      <c r="BD31" s="866"/>
      <c r="BE31" s="866"/>
      <c r="BF31" s="866"/>
      <c r="BG31" s="866"/>
      <c r="BH31" s="866"/>
      <c r="BI31" s="866"/>
      <c r="BJ31" s="866"/>
      <c r="BK31" s="916"/>
    </row>
    <row r="32" spans="1:63" s="289" customFormat="1" ht="14.25">
      <c r="A32" s="866"/>
      <c r="B32" s="868"/>
      <c r="C32" s="899"/>
      <c r="D32" s="909"/>
      <c r="E32" s="910"/>
      <c r="F32" s="906"/>
      <c r="G32" s="911"/>
      <c r="H32" s="868"/>
      <c r="I32" s="868"/>
      <c r="J32" s="868"/>
      <c r="K32" s="868"/>
      <c r="L32" s="868"/>
      <c r="M32" s="868"/>
      <c r="N32" s="868"/>
      <c r="O32" s="868"/>
      <c r="P32" s="868"/>
      <c r="Q32" s="868"/>
      <c r="R32" s="868"/>
      <c r="S32" s="868"/>
      <c r="T32" s="868"/>
      <c r="U32" s="868"/>
      <c r="V32" s="884">
        <f>100*(+AD26/$E$9)</f>
        <v>130.1108345189453</v>
      </c>
      <c r="W32" s="919">
        <f>EXP(5.6922-(0.68367*LN(V32)))</f>
        <v>10.631593551121519</v>
      </c>
      <c r="X32" s="892">
        <f>(+W32*V32)/100</f>
        <v>13.83285509202658</v>
      </c>
      <c r="Y32" s="884">
        <f>100*((((X32/100)-((X32/100)-0.03574)*$E$21)-0.03574-0.00619)/0.344)</f>
        <v>17.883268490516116</v>
      </c>
      <c r="Z32" s="868">
        <f>$E$20</f>
        <v>0.25</v>
      </c>
      <c r="AA32" s="884">
        <f>Y32+Z32</f>
        <v>18.133268490516116</v>
      </c>
      <c r="AB32" s="884">
        <f>100*($E$17*$E$19+($E$18*(AA32/100))/(1-$E$21))</f>
        <v>17.713294642479855</v>
      </c>
      <c r="AC32" s="892">
        <f>AB32/V32</f>
        <v>0.13614004327902948</v>
      </c>
      <c r="AD32" s="911">
        <f>$E$8/(1-AC32)</f>
        <v>113974.28014729018</v>
      </c>
      <c r="AE32" s="868" t="str">
        <f>IF(AD32=AD26,"yes","not yet")</f>
        <v>not yet</v>
      </c>
      <c r="AF32" s="884">
        <f>100*(1-AC32)</f>
        <v>86.385995672097053</v>
      </c>
      <c r="AG32" s="868"/>
      <c r="AH32" s="868"/>
      <c r="AI32" s="868">
        <v>4</v>
      </c>
      <c r="AJ32" s="884">
        <f>V8</f>
        <v>140.49617910809283</v>
      </c>
      <c r="AK32" s="884">
        <f>V14</f>
        <v>129.23636563043488</v>
      </c>
      <c r="AL32" s="884">
        <f>V20</f>
        <v>130.18901712258588</v>
      </c>
      <c r="AM32" s="884">
        <f>V26</f>
        <v>130.10313507952435</v>
      </c>
      <c r="AN32" s="884">
        <f>V32</f>
        <v>130.1108345189453</v>
      </c>
      <c r="AO32" s="884">
        <f>V38</f>
        <v>130.11014390933138</v>
      </c>
      <c r="AP32" s="884">
        <f>V44</f>
        <v>130.10982410029908</v>
      </c>
      <c r="AQ32" s="884">
        <f>V50</f>
        <v>130.10982410029908</v>
      </c>
      <c r="AR32" s="884">
        <f>V56</f>
        <v>130.10982410029908</v>
      </c>
      <c r="AS32" s="866"/>
      <c r="AT32" s="866"/>
      <c r="AU32" s="866"/>
      <c r="AV32" s="866"/>
      <c r="AW32" s="866"/>
      <c r="AX32" s="866"/>
      <c r="AY32" s="866"/>
      <c r="AZ32" s="866"/>
      <c r="BA32" s="866"/>
      <c r="BB32" s="866"/>
      <c r="BC32" s="866"/>
      <c r="BD32" s="866"/>
      <c r="BE32" s="866"/>
      <c r="BF32" s="866"/>
      <c r="BG32" s="866"/>
      <c r="BH32" s="866"/>
      <c r="BI32" s="866"/>
      <c r="BJ32" s="866"/>
      <c r="BK32" s="916"/>
    </row>
    <row r="33" spans="1:63" s="289" customFormat="1" ht="14.25">
      <c r="A33" s="866"/>
      <c r="B33" s="868"/>
      <c r="C33" s="899"/>
      <c r="D33" s="899"/>
      <c r="E33" s="912"/>
      <c r="F33" s="906"/>
      <c r="G33" s="889"/>
      <c r="H33" s="868"/>
      <c r="I33" s="889"/>
      <c r="J33" s="868"/>
      <c r="K33" s="868"/>
      <c r="L33" s="868"/>
      <c r="M33" s="868"/>
      <c r="N33" s="868"/>
      <c r="O33" s="868"/>
      <c r="P33" s="868"/>
      <c r="Q33" s="868"/>
      <c r="R33" s="868"/>
      <c r="S33" s="868"/>
      <c r="T33" s="868"/>
      <c r="U33" s="868"/>
      <c r="V33" s="868"/>
      <c r="W33" s="868"/>
      <c r="X33" s="868"/>
      <c r="Y33" s="868"/>
      <c r="Z33" s="868"/>
      <c r="AA33" s="884"/>
      <c r="AB33" s="868"/>
      <c r="AC33" s="868"/>
      <c r="AD33" s="868"/>
      <c r="AE33" s="868"/>
      <c r="AF33" s="868"/>
      <c r="AG33" s="868"/>
      <c r="AH33" s="868"/>
      <c r="AI33" s="868"/>
      <c r="AJ33" s="868"/>
      <c r="AK33" s="868"/>
      <c r="AL33" s="868"/>
      <c r="AM33" s="868"/>
      <c r="AN33" s="868"/>
      <c r="AO33" s="868"/>
      <c r="AP33" s="868"/>
      <c r="AQ33" s="868"/>
      <c r="AR33" s="868"/>
      <c r="AS33" s="866"/>
      <c r="AT33" s="866"/>
      <c r="AU33" s="866"/>
      <c r="AV33" s="866"/>
      <c r="AW33" s="866"/>
      <c r="AX33" s="866"/>
      <c r="AY33" s="866"/>
      <c r="AZ33" s="866"/>
      <c r="BA33" s="866"/>
      <c r="BB33" s="866"/>
      <c r="BC33" s="866"/>
      <c r="BD33" s="866"/>
      <c r="BE33" s="866"/>
      <c r="BF33" s="866"/>
      <c r="BG33" s="866"/>
      <c r="BH33" s="866"/>
      <c r="BI33" s="866"/>
      <c r="BJ33" s="866"/>
      <c r="BK33" s="916"/>
    </row>
    <row r="34" spans="1:63" s="289" customFormat="1" ht="14.25">
      <c r="A34" s="866"/>
      <c r="B34" s="868"/>
      <c r="C34" s="899"/>
      <c r="D34" s="899"/>
      <c r="E34" s="904"/>
      <c r="F34" s="906"/>
      <c r="G34" s="868"/>
      <c r="H34" s="868"/>
      <c r="I34" s="868"/>
      <c r="J34" s="868"/>
      <c r="K34" s="868"/>
      <c r="L34" s="868"/>
      <c r="M34" s="868"/>
      <c r="N34" s="868"/>
      <c r="O34" s="868"/>
      <c r="P34" s="868"/>
      <c r="Q34" s="868"/>
      <c r="R34" s="868"/>
      <c r="S34" s="868"/>
      <c r="T34" s="868"/>
      <c r="U34" s="868"/>
      <c r="V34" s="875" t="s">
        <v>404</v>
      </c>
      <c r="W34" s="918" t="s">
        <v>352</v>
      </c>
      <c r="X34" s="918" t="s">
        <v>353</v>
      </c>
      <c r="Y34" s="918" t="s">
        <v>354</v>
      </c>
      <c r="Z34" s="868"/>
      <c r="AA34" s="884"/>
      <c r="AB34" s="868"/>
      <c r="AC34" s="868"/>
      <c r="AD34" s="868"/>
      <c r="AE34" s="868"/>
      <c r="AF34" s="868"/>
      <c r="AG34" s="868"/>
      <c r="AH34" s="868"/>
      <c r="AI34" s="868"/>
      <c r="AJ34" s="868" t="s">
        <v>402</v>
      </c>
      <c r="AK34" s="868"/>
      <c r="AL34" s="868"/>
      <c r="AM34" s="868"/>
      <c r="AN34" s="868"/>
      <c r="AO34" s="868"/>
      <c r="AP34" s="868"/>
      <c r="AQ34" s="868"/>
      <c r="AR34" s="868"/>
      <c r="AS34" s="866"/>
      <c r="AT34" s="866"/>
      <c r="AU34" s="866"/>
      <c r="AV34" s="866"/>
      <c r="AW34" s="866"/>
      <c r="AX34" s="866"/>
      <c r="AY34" s="866"/>
      <c r="AZ34" s="866"/>
      <c r="BA34" s="866"/>
      <c r="BB34" s="866"/>
      <c r="BC34" s="866"/>
      <c r="BD34" s="866"/>
      <c r="BE34" s="866"/>
      <c r="BF34" s="866"/>
      <c r="BG34" s="866"/>
      <c r="BH34" s="866"/>
      <c r="BI34" s="866"/>
      <c r="BJ34" s="866"/>
      <c r="BK34" s="916"/>
    </row>
    <row r="35" spans="1:63" s="289" customFormat="1" ht="14.25">
      <c r="A35" s="866"/>
      <c r="B35" s="868"/>
      <c r="C35" s="899"/>
      <c r="D35" s="899"/>
      <c r="E35" s="913"/>
      <c r="F35" s="906"/>
      <c r="G35" s="906"/>
      <c r="H35" s="868"/>
      <c r="I35" s="868"/>
      <c r="J35" s="868"/>
      <c r="K35" s="868"/>
      <c r="L35" s="868"/>
      <c r="M35" s="868"/>
      <c r="N35" s="868"/>
      <c r="O35" s="868"/>
      <c r="P35" s="868"/>
      <c r="Q35" s="868"/>
      <c r="R35" s="868"/>
      <c r="S35" s="868"/>
      <c r="T35" s="868"/>
      <c r="U35" s="868"/>
      <c r="V35" s="884">
        <f>100*(+AD29/$E$9)</f>
        <v>130.90268213804558</v>
      </c>
      <c r="W35" s="919">
        <f>EXP(5.7226-(0.68367*LN(+V35)))</f>
        <v>10.914388041444838</v>
      </c>
      <c r="X35" s="892">
        <f>(+W35*V35)/100</f>
        <v>14.287226685205393</v>
      </c>
      <c r="Y35" s="884">
        <f>100*((((X35/100)-((X35/100)-0.03574)*$E$21)-0.03574-0.00619)/0.344)</f>
        <v>18.755027942545233</v>
      </c>
      <c r="Z35" s="868">
        <f>$E$20</f>
        <v>0.25</v>
      </c>
      <c r="AA35" s="884">
        <f>Y35+Z35</f>
        <v>19.005027942545233</v>
      </c>
      <c r="AB35" s="884">
        <f>100*($E$17*$E$19+($E$18*(AA35/100))/(1-$E$21))</f>
        <v>18.5058032352336</v>
      </c>
      <c r="AC35" s="892">
        <f>AB35/V35</f>
        <v>0.1413706956418051</v>
      </c>
      <c r="AD35" s="911">
        <f>ROUND($E$8/(1-AC35),0)</f>
        <v>114669</v>
      </c>
      <c r="AE35" s="868" t="str">
        <f>IF(AD35=AD29,"yes","not yet")</f>
        <v>not yet</v>
      </c>
      <c r="AF35" s="884">
        <f>100*(1-AC35)</f>
        <v>85.862930435819493</v>
      </c>
      <c r="AG35" s="868"/>
      <c r="AH35" s="868"/>
      <c r="AI35" s="868"/>
      <c r="AJ35" s="884">
        <f>HLOOKUP($AJ$34,$AJ$28:$AR$32,($E$12)+1)</f>
        <v>130.27192769429635</v>
      </c>
      <c r="AK35" s="868"/>
      <c r="AL35" s="868"/>
      <c r="AM35" s="868"/>
      <c r="AN35" s="868"/>
      <c r="AO35" s="868"/>
      <c r="AP35" s="868"/>
      <c r="AQ35" s="868"/>
      <c r="AR35" s="868"/>
      <c r="AS35" s="866"/>
      <c r="AT35" s="866"/>
      <c r="AU35" s="866"/>
      <c r="AV35" s="866"/>
      <c r="AW35" s="866"/>
      <c r="AX35" s="866"/>
      <c r="AY35" s="866"/>
      <c r="AZ35" s="866"/>
      <c r="BA35" s="866"/>
      <c r="BB35" s="866"/>
      <c r="BC35" s="866"/>
      <c r="BD35" s="866"/>
      <c r="BE35" s="866"/>
      <c r="BF35" s="866"/>
      <c r="BG35" s="866"/>
      <c r="BH35" s="866"/>
      <c r="BI35" s="866"/>
      <c r="BJ35" s="866"/>
      <c r="BK35" s="916"/>
    </row>
    <row r="36" spans="1:63" s="289" customFormat="1" ht="14.25">
      <c r="A36" s="866"/>
      <c r="B36" s="868"/>
      <c r="C36" s="899"/>
      <c r="D36" s="899"/>
      <c r="E36" s="914"/>
      <c r="F36" s="868"/>
      <c r="G36" s="868"/>
      <c r="H36" s="868"/>
      <c r="I36" s="868"/>
      <c r="J36" s="868"/>
      <c r="K36" s="868"/>
      <c r="L36" s="868"/>
      <c r="M36" s="868"/>
      <c r="N36" s="868"/>
      <c r="O36" s="868"/>
      <c r="P36" s="868"/>
      <c r="Q36" s="868"/>
      <c r="R36" s="868"/>
      <c r="S36" s="868"/>
      <c r="T36" s="868"/>
      <c r="U36" s="868"/>
      <c r="V36" s="884">
        <f>100*(+AD30/$E$9)</f>
        <v>130.52573798727838</v>
      </c>
      <c r="W36" s="919">
        <f>EXP(5.70827-(0.68367*LN(+V36)))</f>
        <v>10.780332852771496</v>
      </c>
      <c r="X36" s="892">
        <f>(+W36*V36)/100</f>
        <v>14.071109013565014</v>
      </c>
      <c r="Y36" s="884">
        <f>100*((((X36/100)-((X36/100)-0.03574)*$E$21)-0.03574-0.00619)/0.344)</f>
        <v>18.340383572537526</v>
      </c>
      <c r="Z36" s="868">
        <f>$E$20</f>
        <v>0.25</v>
      </c>
      <c r="AA36" s="884">
        <f>Y36+Z36</f>
        <v>18.590383572537526</v>
      </c>
      <c r="AB36" s="884">
        <f>100*($E$17*$E$19+($E$18*(AA36/100))/(1-$E$21))</f>
        <v>18.128853807953867</v>
      </c>
      <c r="AC36" s="892">
        <f>AB36/V36</f>
        <v>0.13889102706870568</v>
      </c>
      <c r="AD36" s="911">
        <f>ROUND($E$8/(1-AC36),0)</f>
        <v>114338</v>
      </c>
      <c r="AE36" s="868" t="str">
        <f>IF(AD36=AD30,"yes","not yet")</f>
        <v>not yet</v>
      </c>
      <c r="AF36" s="884">
        <f>100*(1-AC36)</f>
        <v>86.110897293129426</v>
      </c>
      <c r="AG36" s="868"/>
      <c r="AH36" s="868"/>
      <c r="AI36" s="868"/>
      <c r="AJ36" s="868"/>
      <c r="AK36" s="868"/>
      <c r="AL36" s="868"/>
      <c r="AM36" s="868"/>
      <c r="AN36" s="868"/>
      <c r="AO36" s="868"/>
      <c r="AP36" s="868"/>
      <c r="AQ36" s="868"/>
      <c r="AR36" s="868"/>
      <c r="AS36" s="866"/>
      <c r="AT36" s="866"/>
      <c r="AU36" s="866"/>
      <c r="AV36" s="866"/>
      <c r="AW36" s="866"/>
      <c r="AX36" s="866"/>
      <c r="AY36" s="866"/>
      <c r="AZ36" s="866"/>
      <c r="BA36" s="866"/>
      <c r="BB36" s="866"/>
      <c r="BC36" s="866"/>
      <c r="BD36" s="866"/>
      <c r="BE36" s="866"/>
      <c r="BF36" s="866"/>
      <c r="BG36" s="866"/>
      <c r="BH36" s="866"/>
      <c r="BI36" s="866"/>
      <c r="BJ36" s="866"/>
      <c r="BK36" s="916"/>
    </row>
    <row r="37" spans="1:63" s="289" customFormat="1" ht="14.25">
      <c r="A37" s="866"/>
      <c r="B37" s="868"/>
      <c r="C37" s="899"/>
      <c r="D37" s="899"/>
      <c r="E37" s="901"/>
      <c r="F37" s="868"/>
      <c r="G37" s="906"/>
      <c r="H37" s="868"/>
      <c r="I37" s="868"/>
      <c r="J37" s="868"/>
      <c r="K37" s="868"/>
      <c r="L37" s="868"/>
      <c r="M37" s="868"/>
      <c r="N37" s="868"/>
      <c r="O37" s="868"/>
      <c r="P37" s="868"/>
      <c r="Q37" s="868"/>
      <c r="R37" s="868"/>
      <c r="S37" s="868"/>
      <c r="T37" s="868"/>
      <c r="U37" s="868"/>
      <c r="V37" s="884">
        <f>100*(+AD31/$E$9)</f>
        <v>130.2721828799711</v>
      </c>
      <c r="W37" s="919">
        <f>EXP(5.6985-(0.68367*LN(V37)))</f>
        <v>10.689722959921376</v>
      </c>
      <c r="X37" s="892">
        <f>(+W37*V37)/100</f>
        <v>13.925735443711035</v>
      </c>
      <c r="Y37" s="884">
        <f>100*((((X37/100)-((X37/100)-0.03574)*$E$21)-0.03574-0.00619)/0.344)</f>
        <v>18.061469165259542</v>
      </c>
      <c r="Z37" s="868">
        <f>$E$20</f>
        <v>0.25</v>
      </c>
      <c r="AA37" s="884">
        <f>Y37+Z37</f>
        <v>18.311469165259542</v>
      </c>
      <c r="AB37" s="884">
        <f>100*($E$17*$E$19+($E$18*(AA37/100))/(1-$E$21))</f>
        <v>17.875295255882971</v>
      </c>
      <c r="AC37" s="892">
        <f>AB37/V37</f>
        <v>0.13721498220654471</v>
      </c>
      <c r="AD37" s="911">
        <f>ROUND($E$8/(1-AC37),0)</f>
        <v>114116</v>
      </c>
      <c r="AE37" s="868" t="str">
        <f>IF(AD37=AD31,"yes","not yet")</f>
        <v>not yet</v>
      </c>
      <c r="AF37" s="884">
        <f>100*(1-AC37)</f>
        <v>86.278501779345532</v>
      </c>
      <c r="AG37" s="868"/>
      <c r="AH37" s="868"/>
      <c r="AI37" s="868"/>
      <c r="AJ37" s="868" t="str">
        <f>HLOOKUP(1,$AJ$13:$AR$17,($E$12)+1)</f>
        <v>not yet</v>
      </c>
      <c r="AK37" s="868" t="str">
        <f>HLOOKUP(2,$AJ$13:$AR$17,($E$12)+1)</f>
        <v>not yet</v>
      </c>
      <c r="AL37" s="868" t="str">
        <f>HLOOKUP(3,$AJ$13:$AR$17,($E$12)+1)</f>
        <v>not yet</v>
      </c>
      <c r="AM37" s="868" t="str">
        <f>HLOOKUP(4,$AJ$13:$AR$17,($E$12)+1)</f>
        <v>not yet</v>
      </c>
      <c r="AN37" s="868" t="str">
        <f>HLOOKUP(5,$AJ$13:$AR$17,($E$12)+1)</f>
        <v>not yet</v>
      </c>
      <c r="AO37" s="868" t="str">
        <f>HLOOKUP(6,$AJ$13:$AR$17,($E$12)+1)</f>
        <v>not yet</v>
      </c>
      <c r="AP37" s="868" t="str">
        <f>HLOOKUP(7,$AJ$13:$AR$17,($E$12)+1)</f>
        <v>yes</v>
      </c>
      <c r="AQ37" s="868" t="str">
        <f>HLOOKUP(8,$AJ$13:$AR$17,($E$12)+1)</f>
        <v>yes</v>
      </c>
      <c r="AR37" s="868" t="str">
        <f>HLOOKUP(9,$AJ$13:$AR$17,($E$12)+1)</f>
        <v>yes</v>
      </c>
      <c r="AS37" s="866"/>
      <c r="AT37" s="866"/>
      <c r="AU37" s="866"/>
      <c r="AV37" s="866"/>
      <c r="AW37" s="866"/>
      <c r="AX37" s="866"/>
      <c r="AY37" s="866"/>
      <c r="AZ37" s="866"/>
      <c r="BA37" s="866"/>
      <c r="BB37" s="866"/>
      <c r="BC37" s="866"/>
      <c r="BD37" s="866"/>
      <c r="BE37" s="866"/>
      <c r="BF37" s="866"/>
      <c r="BG37" s="866"/>
      <c r="BH37" s="866"/>
      <c r="BI37" s="866"/>
      <c r="BJ37" s="866"/>
      <c r="BK37" s="916"/>
    </row>
    <row r="38" spans="1:63" s="289" customFormat="1" ht="14.25">
      <c r="A38" s="866"/>
      <c r="B38" s="868"/>
      <c r="C38" s="899"/>
      <c r="D38" s="899"/>
      <c r="E38" s="913"/>
      <c r="F38" s="868"/>
      <c r="G38" s="868"/>
      <c r="H38" s="868"/>
      <c r="I38" s="868"/>
      <c r="J38" s="868"/>
      <c r="K38" s="868"/>
      <c r="L38" s="868"/>
      <c r="M38" s="868"/>
      <c r="N38" s="868"/>
      <c r="O38" s="868"/>
      <c r="P38" s="868"/>
      <c r="Q38" s="868"/>
      <c r="R38" s="868"/>
      <c r="S38" s="868"/>
      <c r="T38" s="868"/>
      <c r="U38" s="868"/>
      <c r="V38" s="884">
        <f>100*(+AD32/$E$9)</f>
        <v>130.11014390933138</v>
      </c>
      <c r="W38" s="919">
        <f>EXP(5.6922-(0.68367*LN(V38)))</f>
        <v>10.631632131455785</v>
      </c>
      <c r="X38" s="892">
        <f>(+W38*V38)/100</f>
        <v>13.832831866147837</v>
      </c>
      <c r="Y38" s="884">
        <f>100*((((X38/100)-((X38/100)-0.03574)*$E$21)-0.03574-0.00619)/0.344)</f>
        <v>17.883223929237126</v>
      </c>
      <c r="Z38" s="868">
        <f>$E$20</f>
        <v>0.25</v>
      </c>
      <c r="AA38" s="884">
        <f>Y38+Z38</f>
        <v>18.133223929237126</v>
      </c>
      <c r="AB38" s="884">
        <f>100*($E$17*$E$19+($E$18*(AA38/100))/(1-$E$21))</f>
        <v>17.713254132226229</v>
      </c>
      <c r="AC38" s="892">
        <f>AB38/V38</f>
        <v>0.13614045454111476</v>
      </c>
      <c r="AD38" s="911">
        <f>ROUND($E$8/(1-AC38),0)</f>
        <v>113974</v>
      </c>
      <c r="AE38" s="868" t="str">
        <f>IF(AD38=AD32,"yes","not yet")</f>
        <v>not yet</v>
      </c>
      <c r="AF38" s="884">
        <f>100*(1-AC38)</f>
        <v>86.385954545888524</v>
      </c>
      <c r="AG38" s="868"/>
      <c r="AH38" s="868"/>
      <c r="AI38" s="868">
        <v>1</v>
      </c>
      <c r="AJ38" s="911">
        <f>AD5</f>
        <v>113920.2635489868</v>
      </c>
      <c r="AK38" s="911">
        <f>AD11</f>
        <v>114739.70735123396</v>
      </c>
      <c r="AL38" s="911">
        <f>AD17</f>
        <v>114661.87220647324</v>
      </c>
      <c r="AM38" s="911">
        <f>AD23</f>
        <v>114669.22518312803</v>
      </c>
      <c r="AN38" s="911">
        <f>AD29</f>
        <v>114668.53019876851</v>
      </c>
      <c r="AO38" s="911">
        <f>AD35</f>
        <v>114669</v>
      </c>
      <c r="AP38" s="911">
        <f>AD41</f>
        <v>114669</v>
      </c>
      <c r="AQ38" s="911">
        <f>AD47</f>
        <v>114669</v>
      </c>
      <c r="AR38" s="911">
        <f>AD53</f>
        <v>114669</v>
      </c>
      <c r="AS38" s="866"/>
      <c r="AT38" s="866"/>
      <c r="AU38" s="866"/>
      <c r="AV38" s="866"/>
      <c r="AW38" s="866"/>
      <c r="AX38" s="866"/>
      <c r="AY38" s="866"/>
      <c r="AZ38" s="866"/>
      <c r="BA38" s="866"/>
      <c r="BB38" s="866"/>
      <c r="BC38" s="866"/>
      <c r="BD38" s="866"/>
      <c r="BE38" s="866"/>
      <c r="BF38" s="866"/>
      <c r="BG38" s="866"/>
      <c r="BH38" s="866"/>
      <c r="BI38" s="866"/>
      <c r="BJ38" s="866"/>
      <c r="BK38" s="916"/>
    </row>
    <row r="39" spans="1:63" s="289" customFormat="1" ht="14.25">
      <c r="A39" s="866"/>
      <c r="B39" s="868"/>
      <c r="C39" s="899"/>
      <c r="D39" s="899"/>
      <c r="E39" s="915"/>
      <c r="F39" s="868"/>
      <c r="G39" s="868"/>
      <c r="H39" s="868"/>
      <c r="I39" s="868"/>
      <c r="J39" s="868"/>
      <c r="K39" s="868"/>
      <c r="L39" s="868"/>
      <c r="M39" s="868"/>
      <c r="N39" s="868"/>
      <c r="O39" s="868"/>
      <c r="P39" s="868"/>
      <c r="Q39" s="868"/>
      <c r="R39" s="868"/>
      <c r="S39" s="868"/>
      <c r="T39" s="868"/>
      <c r="U39" s="868"/>
      <c r="V39" s="868"/>
      <c r="W39" s="868"/>
      <c r="X39" s="868"/>
      <c r="Y39" s="868"/>
      <c r="Z39" s="868"/>
      <c r="AA39" s="884"/>
      <c r="AB39" s="868"/>
      <c r="AC39" s="868"/>
      <c r="AD39" s="868"/>
      <c r="AE39" s="868"/>
      <c r="AF39" s="868"/>
      <c r="AG39" s="868"/>
      <c r="AH39" s="868"/>
      <c r="AI39" s="868">
        <v>2</v>
      </c>
      <c r="AJ39" s="911">
        <f>AD6</f>
        <v>113581.11675754009</v>
      </c>
      <c r="AK39" s="911">
        <f>AD12</f>
        <v>114408.61349606577</v>
      </c>
      <c r="AL39" s="911">
        <f>AD18</f>
        <v>114331.91572110116</v>
      </c>
      <c r="AM39" s="911">
        <f>AD24</f>
        <v>114338.98552093611</v>
      </c>
      <c r="AN39" s="911">
        <f>AD30</f>
        <v>114338.33351349423</v>
      </c>
      <c r="AO39" s="911">
        <f>AD36</f>
        <v>114338</v>
      </c>
      <c r="AP39" s="911">
        <f>AD42</f>
        <v>114338</v>
      </c>
      <c r="AQ39" s="911">
        <f>AD48</f>
        <v>114338</v>
      </c>
      <c r="AR39" s="911">
        <f>AD54</f>
        <v>114338</v>
      </c>
      <c r="AS39" s="866"/>
      <c r="AT39" s="866"/>
      <c r="AU39" s="866"/>
      <c r="AV39" s="866"/>
      <c r="AW39" s="866"/>
      <c r="AX39" s="866"/>
      <c r="AY39" s="866"/>
      <c r="AZ39" s="866"/>
      <c r="BA39" s="866"/>
      <c r="BB39" s="866"/>
      <c r="BC39" s="866"/>
      <c r="BD39" s="866"/>
      <c r="BE39" s="866"/>
      <c r="BF39" s="866"/>
      <c r="BG39" s="866"/>
      <c r="BH39" s="866"/>
      <c r="BI39" s="866"/>
      <c r="BJ39" s="866"/>
      <c r="BK39" s="916"/>
    </row>
    <row r="40" spans="1:63" s="289" customFormat="1" ht="14.25">
      <c r="A40" s="866"/>
      <c r="B40" s="868"/>
      <c r="C40" s="868"/>
      <c r="D40" s="868"/>
      <c r="E40" s="872"/>
      <c r="F40" s="868"/>
      <c r="G40" s="868"/>
      <c r="H40" s="868"/>
      <c r="I40" s="868"/>
      <c r="J40" s="868"/>
      <c r="K40" s="868"/>
      <c r="L40" s="868"/>
      <c r="M40" s="868"/>
      <c r="N40" s="868"/>
      <c r="O40" s="868"/>
      <c r="P40" s="868"/>
      <c r="Q40" s="868"/>
      <c r="R40" s="868"/>
      <c r="S40" s="868"/>
      <c r="T40" s="868"/>
      <c r="U40" s="868"/>
      <c r="V40" s="875" t="s">
        <v>405</v>
      </c>
      <c r="W40" s="918" t="s">
        <v>352</v>
      </c>
      <c r="X40" s="918" t="s">
        <v>353</v>
      </c>
      <c r="Y40" s="918" t="s">
        <v>354</v>
      </c>
      <c r="Z40" s="868"/>
      <c r="AA40" s="884"/>
      <c r="AB40" s="868"/>
      <c r="AC40" s="868"/>
      <c r="AD40" s="868"/>
      <c r="AE40" s="868"/>
      <c r="AF40" s="868"/>
      <c r="AG40" s="868"/>
      <c r="AH40" s="868"/>
      <c r="AI40" s="868">
        <v>3</v>
      </c>
      <c r="AJ40" s="911">
        <f>AD7</f>
        <v>113353.79764986155</v>
      </c>
      <c r="AK40" s="911">
        <f>AD13</f>
        <v>114185.80244807305</v>
      </c>
      <c r="AL40" s="911">
        <f>AD19</f>
        <v>114109.97397057437</v>
      </c>
      <c r="AM40" s="911">
        <f>AD25</f>
        <v>114116.84677704354</v>
      </c>
      <c r="AN40" s="911">
        <f>AD31</f>
        <v>114116.22353832463</v>
      </c>
      <c r="AO40" s="911">
        <f>AD37</f>
        <v>114116</v>
      </c>
      <c r="AP40" s="911">
        <f>AD43</f>
        <v>114116</v>
      </c>
      <c r="AQ40" s="911">
        <f>AD49</f>
        <v>114116</v>
      </c>
      <c r="AR40" s="911">
        <f>AD55</f>
        <v>114116</v>
      </c>
      <c r="AS40" s="866"/>
      <c r="AT40" s="866"/>
      <c r="AU40" s="866"/>
      <c r="AV40" s="866"/>
      <c r="AW40" s="866"/>
      <c r="AX40" s="866"/>
      <c r="AY40" s="866"/>
      <c r="AZ40" s="866"/>
      <c r="BA40" s="866"/>
      <c r="BB40" s="866"/>
      <c r="BC40" s="866"/>
      <c r="BD40" s="866"/>
      <c r="BE40" s="866"/>
      <c r="BF40" s="866"/>
      <c r="BG40" s="866"/>
      <c r="BH40" s="866"/>
      <c r="BI40" s="866"/>
      <c r="BJ40" s="866"/>
      <c r="BK40" s="916"/>
    </row>
    <row r="41" spans="1:63" s="289" customFormat="1" ht="14.25">
      <c r="A41" s="866"/>
      <c r="B41" s="868"/>
      <c r="C41" s="868"/>
      <c r="D41" s="868"/>
      <c r="E41" s="872"/>
      <c r="F41" s="868"/>
      <c r="G41" s="868"/>
      <c r="H41" s="868"/>
      <c r="I41" s="868"/>
      <c r="J41" s="868"/>
      <c r="K41" s="868"/>
      <c r="L41" s="868"/>
      <c r="M41" s="868"/>
      <c r="N41" s="868"/>
      <c r="O41" s="868"/>
      <c r="P41" s="868"/>
      <c r="Q41" s="868"/>
      <c r="R41" s="868"/>
      <c r="S41" s="868"/>
      <c r="T41" s="868"/>
      <c r="U41" s="868"/>
      <c r="V41" s="884">
        <f>100*(+AD35/$E$9)</f>
        <v>130.90321845120113</v>
      </c>
      <c r="W41" s="919">
        <f>EXP(5.7226-(0.68367*LN(+V41)))</f>
        <v>10.914357470115714</v>
      </c>
      <c r="X41" s="892">
        <f>(+W41*V41)/100</f>
        <v>14.287245201650562</v>
      </c>
      <c r="Y41" s="884">
        <f>100*((((X41/100)-((X41/100)-0.03574)*$E$21)-0.03574-0.00619)/0.344)</f>
        <v>18.755063468283051</v>
      </c>
      <c r="Z41" s="868">
        <f>$E$20</f>
        <v>0.25</v>
      </c>
      <c r="AA41" s="884">
        <f>Y41+Z41</f>
        <v>19.005063468283051</v>
      </c>
      <c r="AB41" s="884">
        <f>100*($E$17*$E$19+($E$18*(AA41/100))/(1-$E$21))</f>
        <v>18.505835531358887</v>
      </c>
      <c r="AC41" s="892">
        <f>AB41/V41</f>
        <v>0.14137036316076218</v>
      </c>
      <c r="AD41" s="911">
        <f>ROUND($E$8/(1-AC41),0)</f>
        <v>114669</v>
      </c>
      <c r="AE41" s="868" t="str">
        <f>IF(OR(OR(AD41=AD35,AD41=(AD35+1)),AD41=(AD27-1)),"yes","not yet")</f>
        <v>yes</v>
      </c>
      <c r="AF41" s="884">
        <f>100*(1-AC41)</f>
        <v>85.862963683923795</v>
      </c>
      <c r="AG41" s="868"/>
      <c r="AH41" s="868"/>
      <c r="AI41" s="868">
        <v>4</v>
      </c>
      <c r="AJ41" s="911">
        <f>AD8</f>
        <v>113208.8651892146</v>
      </c>
      <c r="AK41" s="911">
        <f>AD14</f>
        <v>114043.37174486653</v>
      </c>
      <c r="AL41" s="911">
        <f>AD20</f>
        <v>113968.14053120854</v>
      </c>
      <c r="AM41" s="911">
        <f>AD26</f>
        <v>113974.88510960322</v>
      </c>
      <c r="AN41" s="911">
        <f>AD32</f>
        <v>113974.28014729018</v>
      </c>
      <c r="AO41" s="911">
        <f>AD38</f>
        <v>113974</v>
      </c>
      <c r="AP41" s="911">
        <f>AD44</f>
        <v>113974</v>
      </c>
      <c r="AQ41" s="911">
        <f>AD50</f>
        <v>113974</v>
      </c>
      <c r="AR41" s="911">
        <f>AD56</f>
        <v>113974</v>
      </c>
      <c r="AS41" s="866"/>
      <c r="AT41" s="866"/>
      <c r="AU41" s="866"/>
      <c r="AV41" s="866"/>
      <c r="AW41" s="866"/>
      <c r="AX41" s="866"/>
      <c r="AY41" s="866"/>
      <c r="AZ41" s="866"/>
      <c r="BA41" s="866"/>
      <c r="BB41" s="866"/>
      <c r="BC41" s="866"/>
      <c r="BD41" s="866"/>
      <c r="BE41" s="866"/>
      <c r="BF41" s="866"/>
      <c r="BG41" s="866"/>
      <c r="BH41" s="866"/>
      <c r="BI41" s="866"/>
      <c r="BJ41" s="866"/>
      <c r="BK41" s="916"/>
    </row>
    <row r="42" spans="1:63" s="289" customFormat="1" ht="14.25">
      <c r="A42" s="866"/>
      <c r="B42" s="868"/>
      <c r="C42" s="868"/>
      <c r="D42" s="868"/>
      <c r="E42" s="871"/>
      <c r="F42" s="868"/>
      <c r="G42" s="868"/>
      <c r="H42" s="868"/>
      <c r="I42" s="868"/>
      <c r="J42" s="868"/>
      <c r="K42" s="868"/>
      <c r="L42" s="868"/>
      <c r="M42" s="868"/>
      <c r="N42" s="868"/>
      <c r="O42" s="868"/>
      <c r="P42" s="868"/>
      <c r="Q42" s="868"/>
      <c r="R42" s="868"/>
      <c r="S42" s="868"/>
      <c r="T42" s="868"/>
      <c r="U42" s="868"/>
      <c r="V42" s="884">
        <f>100*(+AD36/$E$9)</f>
        <v>130.52535725674275</v>
      </c>
      <c r="W42" s="919">
        <f>EXP(5.70827-(0.68367*LN(+V42)))</f>
        <v>10.78035435093256</v>
      </c>
      <c r="X42" s="892">
        <f>(+W42*V42)/100</f>
        <v>14.071096030097536</v>
      </c>
      <c r="Y42" s="884">
        <f>100*((((X42/100)-((X42/100)-0.03574)*$E$21)-0.03574-0.00619)/0.344)</f>
        <v>18.340358662396429</v>
      </c>
      <c r="Z42" s="868">
        <f>$E$20</f>
        <v>0.25</v>
      </c>
      <c r="AA42" s="884">
        <f>Y42+Z42</f>
        <v>18.590358662396429</v>
      </c>
      <c r="AB42" s="884">
        <f>100*($E$17*$E$19+($E$18*(AA42/100))/(1-$E$21))</f>
        <v>18.128831162371053</v>
      </c>
      <c r="AC42" s="892">
        <f>AB42/V42</f>
        <v>0.13889125870547689</v>
      </c>
      <c r="AD42" s="911">
        <f>ROUND($E$8/(1-AC42),0)</f>
        <v>114338</v>
      </c>
      <c r="AE42" s="868" t="str">
        <f>IF(OR(OR(AD42=AD36,AD42=(AD36+5)),AD42=(AD28-5)),"yes","not yet")</f>
        <v>yes</v>
      </c>
      <c r="AF42" s="884">
        <f>100*(1-AC42)</f>
        <v>86.110874129452313</v>
      </c>
      <c r="AG42" s="868"/>
      <c r="AH42" s="868"/>
      <c r="AI42" s="868"/>
      <c r="AJ42" s="868"/>
      <c r="AK42" s="868"/>
      <c r="AL42" s="868"/>
      <c r="AM42" s="868"/>
      <c r="AN42" s="868"/>
      <c r="AO42" s="868"/>
      <c r="AP42" s="868"/>
      <c r="AQ42" s="868"/>
      <c r="AR42" s="868"/>
      <c r="AS42" s="866"/>
      <c r="AT42" s="866"/>
      <c r="AU42" s="866"/>
      <c r="AV42" s="866"/>
      <c r="AW42" s="866"/>
      <c r="AX42" s="866"/>
      <c r="AY42" s="866"/>
      <c r="AZ42" s="866"/>
      <c r="BA42" s="866"/>
      <c r="BB42" s="866"/>
      <c r="BC42" s="866"/>
      <c r="BD42" s="866"/>
      <c r="BE42" s="866"/>
      <c r="BF42" s="866"/>
      <c r="BG42" s="866"/>
      <c r="BH42" s="866"/>
      <c r="BI42" s="866"/>
      <c r="BJ42" s="866"/>
      <c r="BK42" s="916"/>
    </row>
    <row r="43" spans="1:63" s="289" customFormat="1" ht="14.25">
      <c r="A43" s="866"/>
      <c r="B43" s="868"/>
      <c r="C43" s="868"/>
      <c r="D43" s="868"/>
      <c r="E43" s="872"/>
      <c r="F43" s="868"/>
      <c r="G43" s="868"/>
      <c r="H43" s="868"/>
      <c r="I43" s="868"/>
      <c r="J43" s="868"/>
      <c r="K43" s="868"/>
      <c r="L43" s="868"/>
      <c r="M43" s="868"/>
      <c r="N43" s="868"/>
      <c r="O43" s="868"/>
      <c r="P43" s="868"/>
      <c r="Q43" s="868"/>
      <c r="R43" s="868"/>
      <c r="S43" s="868"/>
      <c r="T43" s="868"/>
      <c r="U43" s="868"/>
      <c r="V43" s="884">
        <f>100*(+AD37/$E$9)</f>
        <v>130.27192769429635</v>
      </c>
      <c r="W43" s="919">
        <f>EXP(5.6985-(0.68367*LN(V43)))</f>
        <v>10.689737275809305</v>
      </c>
      <c r="X43" s="892">
        <f>(+W43*V43)/100</f>
        <v>13.925726814652542</v>
      </c>
      <c r="Y43" s="884">
        <f>100*((((X43/100)-((X43/100)-0.03574)*$E$21)-0.03574-0.00619)/0.344)</f>
        <v>18.061452609507786</v>
      </c>
      <c r="Z43" s="868">
        <f>$E$20</f>
        <v>0.25</v>
      </c>
      <c r="AA43" s="884">
        <f>Y43+Z43</f>
        <v>18.311452609507786</v>
      </c>
      <c r="AB43" s="884">
        <f>100*($E$17*$E$19+($E$18*(AA43/100))/(1-$E$21))</f>
        <v>17.875280205199559</v>
      </c>
      <c r="AC43" s="892">
        <f>AB43/V43</f>
        <v>0.13721513545993366</v>
      </c>
      <c r="AD43" s="911">
        <f>ROUND($E$8/(1-AC43),0)</f>
        <v>114116</v>
      </c>
      <c r="AE43" s="868" t="str">
        <f>IF(OR(OR(AD43=AD37,AD43=(AD37+5)),AD43=(AD29-5)),"yes","not yet")</f>
        <v>yes</v>
      </c>
      <c r="AF43" s="884">
        <f>100*(1-AC43)</f>
        <v>86.278486454006625</v>
      </c>
      <c r="AG43" s="868"/>
      <c r="AH43" s="868"/>
      <c r="AI43" s="868"/>
      <c r="AJ43" s="868" t="s">
        <v>402</v>
      </c>
      <c r="AK43" s="868"/>
      <c r="AL43" s="868"/>
      <c r="AM43" s="868"/>
      <c r="AN43" s="868"/>
      <c r="AO43" s="868"/>
      <c r="AP43" s="868"/>
      <c r="AQ43" s="868"/>
      <c r="AR43" s="868"/>
      <c r="AS43" s="866"/>
      <c r="AT43" s="866"/>
      <c r="AU43" s="866"/>
      <c r="AV43" s="866"/>
      <c r="AW43" s="866"/>
      <c r="AX43" s="866"/>
      <c r="AY43" s="866"/>
      <c r="AZ43" s="866"/>
      <c r="BA43" s="866"/>
      <c r="BB43" s="866"/>
      <c r="BC43" s="866"/>
      <c r="BD43" s="866"/>
      <c r="BE43" s="866"/>
      <c r="BF43" s="866"/>
      <c r="BG43" s="866"/>
      <c r="BH43" s="866"/>
      <c r="BI43" s="866"/>
      <c r="BJ43" s="866"/>
      <c r="BK43" s="916"/>
    </row>
    <row r="44" spans="1:63" s="289" customFormat="1" ht="14.25">
      <c r="A44" s="866"/>
      <c r="B44" s="868"/>
      <c r="C44" s="868"/>
      <c r="D44" s="868"/>
      <c r="E44" s="906"/>
      <c r="F44" s="868"/>
      <c r="G44" s="868"/>
      <c r="H44" s="868"/>
      <c r="I44" s="868"/>
      <c r="J44" s="868"/>
      <c r="K44" s="868"/>
      <c r="L44" s="868"/>
      <c r="M44" s="868"/>
      <c r="N44" s="868"/>
      <c r="O44" s="868"/>
      <c r="P44" s="868"/>
      <c r="Q44" s="868"/>
      <c r="R44" s="868"/>
      <c r="S44" s="868"/>
      <c r="T44" s="868"/>
      <c r="U44" s="868"/>
      <c r="V44" s="884">
        <f>100*(+AD38/$E$9)</f>
        <v>130.10982410029908</v>
      </c>
      <c r="W44" s="919">
        <f>EXP(5.6922-(0.68367*LN(V44)))</f>
        <v>10.631649997439387</v>
      </c>
      <c r="X44" s="892">
        <f>(+W44*V44)/100</f>
        <v>13.832821110627838</v>
      </c>
      <c r="Y44" s="884">
        <f>100*((((X44/100)-((X44/100)-0.03574)*$E$21)-0.03574-0.00619)/0.344)</f>
        <v>17.883203293646435</v>
      </c>
      <c r="Z44" s="868">
        <f>$E$20</f>
        <v>0.25</v>
      </c>
      <c r="AA44" s="884">
        <f>Y44+Z44</f>
        <v>18.133203293646435</v>
      </c>
      <c r="AB44" s="884">
        <f>100*($E$17*$E$19+($E$18*(AA44/100))/(1-$E$21))</f>
        <v>17.71323537259833</v>
      </c>
      <c r="AC44" s="892">
        <f>AB44/V44</f>
        <v>0.13614064499037021</v>
      </c>
      <c r="AD44" s="911">
        <f>ROUND($E$8/(1-AC44),0)</f>
        <v>113974</v>
      </c>
      <c r="AE44" s="868" t="str">
        <f>IF(OR(OR(AD44=AD38,AD44=(AD38+5)),AD44=(AD30-5)),"yes","not yet")</f>
        <v>yes</v>
      </c>
      <c r="AF44" s="884">
        <f>100*(1-AC44)</f>
        <v>86.385935500962987</v>
      </c>
      <c r="AG44" s="868"/>
      <c r="AH44" s="868"/>
      <c r="AI44" s="868"/>
      <c r="AJ44" s="911">
        <f>HLOOKUP($AJ$34,$AJ$37:$AR$41,($E$12)+1)</f>
        <v>114116</v>
      </c>
      <c r="AK44" s="868"/>
      <c r="AL44" s="868"/>
      <c r="AM44" s="868"/>
      <c r="AN44" s="868"/>
      <c r="AO44" s="868"/>
      <c r="AP44" s="868"/>
      <c r="AQ44" s="868"/>
      <c r="AR44" s="868"/>
      <c r="AS44" s="866"/>
      <c r="AT44" s="866"/>
      <c r="AU44" s="866"/>
      <c r="AV44" s="866"/>
      <c r="AW44" s="866"/>
      <c r="AX44" s="866"/>
      <c r="AY44" s="866"/>
      <c r="AZ44" s="866"/>
      <c r="BA44" s="866"/>
      <c r="BB44" s="866"/>
      <c r="BC44" s="866"/>
      <c r="BD44" s="866"/>
      <c r="BE44" s="866"/>
      <c r="BF44" s="866"/>
      <c r="BG44" s="866"/>
      <c r="BH44" s="866"/>
      <c r="BI44" s="866"/>
      <c r="BJ44" s="866"/>
      <c r="BK44" s="916"/>
    </row>
    <row r="45" spans="1:63" s="289" customFormat="1" ht="14.25">
      <c r="A45" s="866"/>
      <c r="B45" s="868"/>
      <c r="C45" s="868"/>
      <c r="D45" s="868"/>
      <c r="E45" s="868"/>
      <c r="F45" s="868"/>
      <c r="G45" s="868"/>
      <c r="H45" s="868"/>
      <c r="I45" s="868"/>
      <c r="J45" s="868"/>
      <c r="K45" s="868"/>
      <c r="L45" s="868"/>
      <c r="M45" s="868"/>
      <c r="N45" s="868"/>
      <c r="O45" s="868"/>
      <c r="P45" s="868"/>
      <c r="Q45" s="868"/>
      <c r="R45" s="868"/>
      <c r="S45" s="868"/>
      <c r="T45" s="868"/>
      <c r="U45" s="868"/>
      <c r="V45" s="868"/>
      <c r="W45" s="868"/>
      <c r="X45" s="868"/>
      <c r="Y45" s="868"/>
      <c r="Z45" s="868"/>
      <c r="AA45" s="884"/>
      <c r="AB45" s="868"/>
      <c r="AC45" s="868"/>
      <c r="AD45" s="868"/>
      <c r="AE45" s="868"/>
      <c r="AF45" s="868"/>
      <c r="AG45" s="868"/>
      <c r="AH45" s="868"/>
      <c r="AI45" s="868"/>
      <c r="AJ45" s="868"/>
      <c r="AK45" s="868"/>
      <c r="AL45" s="868"/>
      <c r="AM45" s="868"/>
      <c r="AN45" s="868"/>
      <c r="AO45" s="868"/>
      <c r="AP45" s="868"/>
      <c r="AQ45" s="868"/>
      <c r="AR45" s="868"/>
      <c r="AS45" s="866"/>
      <c r="AT45" s="866"/>
      <c r="AU45" s="866"/>
      <c r="AV45" s="866"/>
      <c r="AW45" s="866"/>
      <c r="AX45" s="866"/>
      <c r="AY45" s="866"/>
      <c r="AZ45" s="866"/>
      <c r="BA45" s="866"/>
      <c r="BB45" s="866"/>
      <c r="BC45" s="866"/>
      <c r="BD45" s="866"/>
      <c r="BE45" s="866"/>
      <c r="BF45" s="866"/>
      <c r="BG45" s="866"/>
      <c r="BH45" s="866"/>
      <c r="BI45" s="866"/>
      <c r="BJ45" s="866"/>
      <c r="BK45" s="916"/>
    </row>
    <row r="46" spans="1:63" s="289" customFormat="1" ht="14.25">
      <c r="A46" s="866"/>
      <c r="B46" s="868"/>
      <c r="C46" s="868"/>
      <c r="D46" s="911"/>
      <c r="E46" s="911"/>
      <c r="F46" s="911"/>
      <c r="G46" s="868"/>
      <c r="H46" s="868"/>
      <c r="I46" s="868"/>
      <c r="J46" s="868"/>
      <c r="K46" s="868"/>
      <c r="L46" s="868"/>
      <c r="M46" s="868"/>
      <c r="N46" s="868"/>
      <c r="O46" s="868"/>
      <c r="P46" s="868"/>
      <c r="Q46" s="868"/>
      <c r="R46" s="868"/>
      <c r="S46" s="868"/>
      <c r="T46" s="868"/>
      <c r="U46" s="868"/>
      <c r="V46" s="875" t="s">
        <v>406</v>
      </c>
      <c r="W46" s="918" t="s">
        <v>352</v>
      </c>
      <c r="X46" s="918" t="s">
        <v>353</v>
      </c>
      <c r="Y46" s="918" t="s">
        <v>354</v>
      </c>
      <c r="Z46" s="868"/>
      <c r="AA46" s="884"/>
      <c r="AB46" s="868"/>
      <c r="AC46" s="868"/>
      <c r="AD46" s="868"/>
      <c r="AE46" s="868"/>
      <c r="AF46" s="868"/>
      <c r="AG46" s="868"/>
      <c r="AH46" s="868"/>
      <c r="AI46" s="868"/>
      <c r="AJ46" s="868"/>
      <c r="AK46" s="868"/>
      <c r="AL46" s="868"/>
      <c r="AM46" s="868"/>
      <c r="AN46" s="868"/>
      <c r="AO46" s="868"/>
      <c r="AP46" s="868"/>
      <c r="AQ46" s="868"/>
      <c r="AR46" s="868"/>
      <c r="AS46" s="866"/>
      <c r="AT46" s="866"/>
      <c r="AU46" s="866"/>
      <c r="AV46" s="866"/>
      <c r="AW46" s="866"/>
      <c r="AX46" s="866"/>
      <c r="AY46" s="866"/>
      <c r="AZ46" s="866"/>
      <c r="BA46" s="866"/>
      <c r="BB46" s="866"/>
      <c r="BC46" s="866"/>
      <c r="BD46" s="866"/>
      <c r="BE46" s="866"/>
      <c r="BF46" s="866"/>
      <c r="BG46" s="866"/>
      <c r="BH46" s="866"/>
      <c r="BI46" s="866"/>
      <c r="BJ46" s="866"/>
      <c r="BK46" s="916"/>
    </row>
    <row r="47" spans="1:63" s="289" customFormat="1" ht="14.25">
      <c r="A47" s="866"/>
      <c r="B47" s="868"/>
      <c r="C47" s="868"/>
      <c r="D47" s="911"/>
      <c r="E47" s="911"/>
      <c r="F47" s="911"/>
      <c r="G47" s="868"/>
      <c r="H47" s="868"/>
      <c r="I47" s="868"/>
      <c r="J47" s="868"/>
      <c r="K47" s="868"/>
      <c r="L47" s="868"/>
      <c r="M47" s="868"/>
      <c r="N47" s="868"/>
      <c r="O47" s="868"/>
      <c r="P47" s="868"/>
      <c r="Q47" s="868"/>
      <c r="R47" s="868"/>
      <c r="S47" s="868"/>
      <c r="T47" s="868"/>
      <c r="U47" s="868"/>
      <c r="V47" s="884">
        <f>100*(+AD41/$E$9)</f>
        <v>130.90321845120113</v>
      </c>
      <c r="W47" s="919">
        <f>EXP(5.7226-(0.68367*LN(+V47)))</f>
        <v>10.914357470115714</v>
      </c>
      <c r="X47" s="892">
        <f>(+W47*V47)/100</f>
        <v>14.287245201650562</v>
      </c>
      <c r="Y47" s="884">
        <f>100*((((X47/100)-((X47/100)-0.03574)*$E$21)-0.03574-0.00619)/0.344)</f>
        <v>18.755063468283051</v>
      </c>
      <c r="Z47" s="868">
        <f>$E$20</f>
        <v>0.25</v>
      </c>
      <c r="AA47" s="884">
        <f>Y47+Z47</f>
        <v>19.005063468283051</v>
      </c>
      <c r="AB47" s="884">
        <f>100*($E$17*$E$19+($E$18*(AA47/100))/(1-$E$21))</f>
        <v>18.505835531358887</v>
      </c>
      <c r="AC47" s="892">
        <f>AB47/V47</f>
        <v>0.14137036316076218</v>
      </c>
      <c r="AD47" s="911">
        <f>ROUND($E$8/(1-AC47),0)</f>
        <v>114669</v>
      </c>
      <c r="AE47" s="868" t="str">
        <f>IF(OR(OR(AD47=AD41,AD47=(AD41+1)),AD47=(AD33-1)),"yes","not yet")</f>
        <v>yes</v>
      </c>
      <c r="AF47" s="884">
        <f>100*(1-AC47)</f>
        <v>85.862963683923795</v>
      </c>
      <c r="AG47" s="868"/>
      <c r="AH47" s="868"/>
      <c r="AI47" s="868"/>
      <c r="AJ47" s="868"/>
      <c r="AK47" s="868"/>
      <c r="AL47" s="868"/>
      <c r="AM47" s="868"/>
      <c r="AN47" s="868"/>
      <c r="AO47" s="868"/>
      <c r="AP47" s="868"/>
      <c r="AQ47" s="868"/>
      <c r="AR47" s="868"/>
      <c r="AS47" s="866"/>
      <c r="AT47" s="866"/>
      <c r="AU47" s="866"/>
      <c r="AV47" s="866"/>
      <c r="AW47" s="866"/>
      <c r="AX47" s="866"/>
      <c r="AY47" s="866"/>
      <c r="AZ47" s="866"/>
      <c r="BA47" s="866"/>
      <c r="BB47" s="866"/>
      <c r="BC47" s="866"/>
      <c r="BD47" s="866"/>
      <c r="BE47" s="866"/>
      <c r="BF47" s="866"/>
      <c r="BG47" s="866"/>
      <c r="BH47" s="866"/>
      <c r="BI47" s="866"/>
      <c r="BJ47" s="866"/>
      <c r="BK47" s="916"/>
    </row>
    <row r="48" spans="1:63" s="289" customFormat="1" ht="14.25">
      <c r="A48" s="866"/>
      <c r="B48" s="868"/>
      <c r="C48" s="868"/>
      <c r="D48" s="868"/>
      <c r="E48" s="871"/>
      <c r="F48" s="868"/>
      <c r="G48" s="868"/>
      <c r="H48" s="868"/>
      <c r="I48" s="868"/>
      <c r="J48" s="868"/>
      <c r="K48" s="868"/>
      <c r="L48" s="868"/>
      <c r="M48" s="868"/>
      <c r="N48" s="868"/>
      <c r="O48" s="868"/>
      <c r="P48" s="868"/>
      <c r="Q48" s="868"/>
      <c r="R48" s="868"/>
      <c r="S48" s="868"/>
      <c r="T48" s="868"/>
      <c r="U48" s="868"/>
      <c r="V48" s="884">
        <f>100*(+AD42/$E$9)</f>
        <v>130.52535725674275</v>
      </c>
      <c r="W48" s="919">
        <f>EXP(5.70827-(0.68367*LN(+V48)))</f>
        <v>10.78035435093256</v>
      </c>
      <c r="X48" s="892">
        <f>(+W48*V48)/100</f>
        <v>14.071096030097536</v>
      </c>
      <c r="Y48" s="884">
        <f>100*((((X48/100)-((X48/100)-0.03574)*$E$21)-0.03574-0.00619)/0.344)</f>
        <v>18.340358662396429</v>
      </c>
      <c r="Z48" s="868">
        <f>$E$20</f>
        <v>0.25</v>
      </c>
      <c r="AA48" s="884">
        <f>Y48+Z48</f>
        <v>18.590358662396429</v>
      </c>
      <c r="AB48" s="884">
        <f>100*($E$17*$E$19+($E$18*(AA48/100))/(1-$E$21))</f>
        <v>18.128831162371053</v>
      </c>
      <c r="AC48" s="892">
        <f>AB48/V48</f>
        <v>0.13889125870547689</v>
      </c>
      <c r="AD48" s="911">
        <f>ROUND($E$8/(1-AC48),0)</f>
        <v>114338</v>
      </c>
      <c r="AE48" s="868" t="str">
        <f>IF(OR(OR(AD48=AD42,AD48=(AD42+1)),AD48=(AD42-1)),"yes","not yet")</f>
        <v>yes</v>
      </c>
      <c r="AF48" s="884">
        <f>100*(1-AC48)</f>
        <v>86.110874129452313</v>
      </c>
      <c r="AG48" s="868"/>
      <c r="AH48" s="868"/>
      <c r="AI48" s="868"/>
      <c r="AJ48" s="868"/>
      <c r="AK48" s="868"/>
      <c r="AL48" s="868"/>
      <c r="AM48" s="868"/>
      <c r="AN48" s="868"/>
      <c r="AO48" s="868"/>
      <c r="AP48" s="868"/>
      <c r="AQ48" s="868"/>
      <c r="AR48" s="868"/>
      <c r="AS48" s="866"/>
      <c r="AT48" s="866"/>
      <c r="AU48" s="866"/>
      <c r="AV48" s="866"/>
      <c r="AW48" s="866"/>
      <c r="AX48" s="866"/>
      <c r="AY48" s="866"/>
      <c r="AZ48" s="866"/>
      <c r="BA48" s="866"/>
      <c r="BB48" s="866"/>
      <c r="BC48" s="866"/>
      <c r="BD48" s="866"/>
      <c r="BE48" s="866"/>
      <c r="BF48" s="866"/>
      <c r="BG48" s="866"/>
      <c r="BH48" s="866"/>
      <c r="BI48" s="866"/>
      <c r="BJ48" s="866"/>
      <c r="BK48" s="916"/>
    </row>
    <row r="49" spans="1:63" s="289" customFormat="1" ht="14.25">
      <c r="A49" s="866"/>
      <c r="B49" s="868"/>
      <c r="C49" s="868"/>
      <c r="D49" s="868"/>
      <c r="E49" s="871"/>
      <c r="F49" s="868"/>
      <c r="G49" s="868"/>
      <c r="H49" s="868"/>
      <c r="I49" s="868"/>
      <c r="J49" s="868"/>
      <c r="K49" s="868"/>
      <c r="L49" s="868"/>
      <c r="M49" s="868"/>
      <c r="N49" s="868"/>
      <c r="O49" s="868"/>
      <c r="P49" s="868"/>
      <c r="Q49" s="868"/>
      <c r="R49" s="868"/>
      <c r="S49" s="868"/>
      <c r="T49" s="868"/>
      <c r="U49" s="868"/>
      <c r="V49" s="884">
        <f>100*(+AD43/$E$9)</f>
        <v>130.27192769429635</v>
      </c>
      <c r="W49" s="919">
        <f>EXP(5.6985-(0.68367*LN(V49)))</f>
        <v>10.689737275809305</v>
      </c>
      <c r="X49" s="892">
        <f>(+W49*V49)/100</f>
        <v>13.925726814652542</v>
      </c>
      <c r="Y49" s="884">
        <f>100*((((X49/100)-((X49/100)-0.03574)*$E$21)-0.03574-0.00619)/0.344)</f>
        <v>18.061452609507786</v>
      </c>
      <c r="Z49" s="868">
        <f>$E$20</f>
        <v>0.25</v>
      </c>
      <c r="AA49" s="884">
        <f>Y49+Z49</f>
        <v>18.311452609507786</v>
      </c>
      <c r="AB49" s="884">
        <f>100*($E$17*$E$19+($E$18*(AA49/100))/(1-$E$21))</f>
        <v>17.875280205199559</v>
      </c>
      <c r="AC49" s="892">
        <f>AB49/V49</f>
        <v>0.13721513545993366</v>
      </c>
      <c r="AD49" s="911">
        <f>ROUND($E$8/(1-AC49),0)</f>
        <v>114116</v>
      </c>
      <c r="AE49" s="868" t="str">
        <f>IF(OR(OR(AD49=AD43,AD49=(AD43+1)),AD49=(AD43-1)),"yes","not yet")</f>
        <v>yes</v>
      </c>
      <c r="AF49" s="884">
        <f>100*(1-AC49)</f>
        <v>86.278486454006625</v>
      </c>
      <c r="AG49" s="868"/>
      <c r="AH49" s="868"/>
      <c r="AI49" s="868"/>
      <c r="AJ49" s="868"/>
      <c r="AK49" s="868"/>
      <c r="AL49" s="868"/>
      <c r="AM49" s="868"/>
      <c r="AN49" s="868"/>
      <c r="AO49" s="868"/>
      <c r="AP49" s="868"/>
      <c r="AQ49" s="868"/>
      <c r="AR49" s="868"/>
      <c r="AS49" s="866"/>
      <c r="AT49" s="866"/>
      <c r="AU49" s="866"/>
      <c r="AV49" s="866"/>
      <c r="AW49" s="866"/>
      <c r="AX49" s="866"/>
      <c r="AY49" s="866"/>
      <c r="AZ49" s="866"/>
      <c r="BA49" s="866"/>
      <c r="BB49" s="866"/>
      <c r="BC49" s="866"/>
      <c r="BD49" s="866"/>
      <c r="BE49" s="866"/>
      <c r="BF49" s="866"/>
      <c r="BG49" s="866"/>
      <c r="BH49" s="866"/>
      <c r="BI49" s="866"/>
      <c r="BJ49" s="866"/>
      <c r="BK49" s="916"/>
    </row>
    <row r="50" spans="1:63" s="289" customFormat="1" ht="14.25">
      <c r="A50" s="866"/>
      <c r="B50" s="868"/>
      <c r="C50" s="868"/>
      <c r="D50" s="868"/>
      <c r="E50" s="871"/>
      <c r="F50" s="868"/>
      <c r="G50" s="868"/>
      <c r="H50" s="868"/>
      <c r="I50" s="868"/>
      <c r="J50" s="868"/>
      <c r="K50" s="868"/>
      <c r="L50" s="868"/>
      <c r="M50" s="868"/>
      <c r="N50" s="868"/>
      <c r="O50" s="868"/>
      <c r="P50" s="868"/>
      <c r="Q50" s="868"/>
      <c r="R50" s="868"/>
      <c r="S50" s="868"/>
      <c r="T50" s="868"/>
      <c r="U50" s="868"/>
      <c r="V50" s="884">
        <f>100*(+AD44/$E$9)</f>
        <v>130.10982410029908</v>
      </c>
      <c r="W50" s="919">
        <f>EXP(5.6922-(0.68367*LN(V50)))</f>
        <v>10.631649997439387</v>
      </c>
      <c r="X50" s="892">
        <f>(+W50*V50)/100</f>
        <v>13.832821110627838</v>
      </c>
      <c r="Y50" s="884">
        <f>100*((((X50/100)-((X50/100)-0.03574)*$E$21)-0.03574-0.00619)/0.344)</f>
        <v>17.883203293646435</v>
      </c>
      <c r="Z50" s="868">
        <f>$E$20</f>
        <v>0.25</v>
      </c>
      <c r="AA50" s="884">
        <f>Y50+Z50</f>
        <v>18.133203293646435</v>
      </c>
      <c r="AB50" s="884">
        <f>100*($E$17*$E$19+($E$18*(AA50/100))/(1-$E$21))</f>
        <v>17.71323537259833</v>
      </c>
      <c r="AC50" s="892">
        <f>AB50/V50</f>
        <v>0.13614064499037021</v>
      </c>
      <c r="AD50" s="911">
        <f>ROUND($E$8/(1-AC50),0)</f>
        <v>113974</v>
      </c>
      <c r="AE50" s="868" t="str">
        <f>IF(OR(OR(AD50=AD44,AD50=(AD44+1)),AD50=(AD44-1)),"yes","not yet")</f>
        <v>yes</v>
      </c>
      <c r="AF50" s="884">
        <f>100*(1-AC50)</f>
        <v>86.385935500962987</v>
      </c>
      <c r="AG50" s="868"/>
      <c r="AH50" s="868"/>
      <c r="AI50" s="868"/>
      <c r="AJ50" s="868"/>
      <c r="AK50" s="868"/>
      <c r="AL50" s="868"/>
      <c r="AM50" s="868"/>
      <c r="AN50" s="868"/>
      <c r="AO50" s="868"/>
      <c r="AP50" s="868"/>
      <c r="AQ50" s="868"/>
      <c r="AR50" s="868"/>
      <c r="AS50" s="866"/>
      <c r="AT50" s="866"/>
      <c r="AU50" s="866"/>
      <c r="AV50" s="866"/>
      <c r="AW50" s="866"/>
      <c r="AX50" s="866"/>
      <c r="AY50" s="866"/>
      <c r="AZ50" s="866"/>
      <c r="BA50" s="866"/>
      <c r="BB50" s="866"/>
      <c r="BC50" s="866"/>
      <c r="BD50" s="866"/>
      <c r="BE50" s="866"/>
      <c r="BF50" s="866"/>
      <c r="BG50" s="866"/>
      <c r="BH50" s="866"/>
      <c r="BI50" s="866"/>
      <c r="BJ50" s="866"/>
      <c r="BK50" s="916"/>
    </row>
    <row r="51" spans="1:63" s="289" customFormat="1" ht="14.25">
      <c r="A51" s="866"/>
      <c r="B51" s="868"/>
      <c r="C51" s="868"/>
      <c r="D51" s="868"/>
      <c r="E51" s="868"/>
      <c r="F51" s="868"/>
      <c r="G51" s="868"/>
      <c r="H51" s="868"/>
      <c r="I51" s="868"/>
      <c r="J51" s="868"/>
      <c r="K51" s="868"/>
      <c r="L51" s="868"/>
      <c r="M51" s="868"/>
      <c r="N51" s="868"/>
      <c r="O51" s="868"/>
      <c r="P51" s="868"/>
      <c r="Q51" s="868"/>
      <c r="R51" s="868"/>
      <c r="S51" s="868"/>
      <c r="T51" s="868"/>
      <c r="U51" s="868"/>
      <c r="V51" s="868"/>
      <c r="W51" s="868"/>
      <c r="X51" s="868"/>
      <c r="Y51" s="868"/>
      <c r="Z51" s="868"/>
      <c r="AA51" s="884"/>
      <c r="AB51" s="868"/>
      <c r="AC51" s="868"/>
      <c r="AD51" s="868"/>
      <c r="AE51" s="868"/>
      <c r="AF51" s="868"/>
      <c r="AG51" s="868"/>
      <c r="AH51" s="868"/>
      <c r="AI51" s="868"/>
      <c r="AJ51" s="868"/>
      <c r="AK51" s="868"/>
      <c r="AL51" s="868"/>
      <c r="AM51" s="868"/>
      <c r="AN51" s="868"/>
      <c r="AO51" s="868"/>
      <c r="AP51" s="868"/>
      <c r="AQ51" s="868"/>
      <c r="AR51" s="868"/>
      <c r="AS51" s="866"/>
      <c r="AT51" s="866"/>
      <c r="AU51" s="866"/>
      <c r="AV51" s="866"/>
      <c r="AW51" s="866"/>
      <c r="AX51" s="866"/>
      <c r="AY51" s="866"/>
      <c r="AZ51" s="866"/>
      <c r="BA51" s="866"/>
      <c r="BB51" s="866"/>
      <c r="BC51" s="866"/>
      <c r="BD51" s="866"/>
      <c r="BE51" s="866"/>
      <c r="BF51" s="866"/>
      <c r="BG51" s="866"/>
      <c r="BH51" s="866"/>
      <c r="BI51" s="866"/>
      <c r="BJ51" s="866"/>
      <c r="BK51" s="916"/>
    </row>
    <row r="52" spans="1:63" s="289" customFormat="1" ht="14.25">
      <c r="A52" s="866"/>
      <c r="B52" s="868"/>
      <c r="C52" s="868"/>
      <c r="D52" s="868"/>
      <c r="E52" s="868"/>
      <c r="F52" s="868"/>
      <c r="G52" s="868"/>
      <c r="H52" s="868"/>
      <c r="I52" s="868"/>
      <c r="J52" s="868"/>
      <c r="K52" s="868"/>
      <c r="L52" s="868"/>
      <c r="M52" s="868"/>
      <c r="N52" s="868"/>
      <c r="O52" s="868"/>
      <c r="P52" s="868"/>
      <c r="Q52" s="868"/>
      <c r="R52" s="868"/>
      <c r="S52" s="868"/>
      <c r="T52" s="868"/>
      <c r="U52" s="868"/>
      <c r="V52" s="875" t="s">
        <v>407</v>
      </c>
      <c r="W52" s="918" t="s">
        <v>352</v>
      </c>
      <c r="X52" s="918" t="s">
        <v>353</v>
      </c>
      <c r="Y52" s="918" t="s">
        <v>354</v>
      </c>
      <c r="Z52" s="868"/>
      <c r="AA52" s="884"/>
      <c r="AB52" s="868"/>
      <c r="AC52" s="868"/>
      <c r="AD52" s="868"/>
      <c r="AE52" s="868"/>
      <c r="AF52" s="868"/>
      <c r="AG52" s="868"/>
      <c r="AH52" s="868"/>
      <c r="AI52" s="868"/>
      <c r="AJ52" s="868"/>
      <c r="AK52" s="868"/>
      <c r="AL52" s="868"/>
      <c r="AM52" s="868"/>
      <c r="AN52" s="868"/>
      <c r="AO52" s="868"/>
      <c r="AP52" s="868"/>
      <c r="AQ52" s="868"/>
      <c r="AR52" s="868"/>
      <c r="AS52" s="866"/>
      <c r="AT52" s="866"/>
      <c r="AU52" s="866"/>
      <c r="AV52" s="866"/>
      <c r="AW52" s="866"/>
      <c r="AX52" s="866"/>
      <c r="AY52" s="866"/>
      <c r="AZ52" s="866"/>
      <c r="BA52" s="866"/>
      <c r="BB52" s="866"/>
      <c r="BC52" s="866"/>
      <c r="BD52" s="866"/>
      <c r="BE52" s="866"/>
      <c r="BF52" s="866"/>
      <c r="BG52" s="866"/>
      <c r="BH52" s="866"/>
      <c r="BI52" s="866"/>
      <c r="BJ52" s="866"/>
      <c r="BK52" s="916"/>
    </row>
    <row r="53" spans="1:63" s="289" customFormat="1" ht="14.25">
      <c r="A53" s="866"/>
      <c r="B53" s="868"/>
      <c r="C53" s="868"/>
      <c r="D53" s="868"/>
      <c r="E53" s="868"/>
      <c r="F53" s="868"/>
      <c r="G53" s="868"/>
      <c r="H53" s="868"/>
      <c r="I53" s="868"/>
      <c r="J53" s="868"/>
      <c r="K53" s="868"/>
      <c r="L53" s="868"/>
      <c r="M53" s="868"/>
      <c r="N53" s="868"/>
      <c r="O53" s="868"/>
      <c r="P53" s="868"/>
      <c r="Q53" s="868"/>
      <c r="R53" s="868"/>
      <c r="S53" s="868"/>
      <c r="T53" s="868"/>
      <c r="U53" s="868"/>
      <c r="V53" s="884">
        <f>100*(+AD47/$E$9)</f>
        <v>130.90321845120113</v>
      </c>
      <c r="W53" s="919">
        <f>EXP(5.7226-(0.68367*LN(+V53)))</f>
        <v>10.914357470115714</v>
      </c>
      <c r="X53" s="892">
        <f>(+W53*V53)/100</f>
        <v>14.287245201650562</v>
      </c>
      <c r="Y53" s="884">
        <f>100*((((X53/100)-((X53/100)-0.03574)*$E$21)-0.03574-0.00619)/0.344)</f>
        <v>18.755063468283051</v>
      </c>
      <c r="Z53" s="868">
        <f>$E$20</f>
        <v>0.25</v>
      </c>
      <c r="AA53" s="884">
        <f>Y53+Z53</f>
        <v>19.005063468283051</v>
      </c>
      <c r="AB53" s="884">
        <f>100*($E$17*$E$19+($E$18*(AA53/100))/(1-$E$21))</f>
        <v>18.505835531358887</v>
      </c>
      <c r="AC53" s="892">
        <f>AB53/V53</f>
        <v>0.14137036316076218</v>
      </c>
      <c r="AD53" s="911">
        <f>ROUND($E$8/(1-AC53),0)</f>
        <v>114669</v>
      </c>
      <c r="AE53" s="868" t="str">
        <f>IF(OR(OR(AD53=AD47,AD53=(AD47+1)),AD53=(AD39-1)),"yes","not yet")</f>
        <v>yes</v>
      </c>
      <c r="AF53" s="884">
        <f>100*(1-AC53)</f>
        <v>85.862963683923795</v>
      </c>
      <c r="AG53" s="868"/>
      <c r="AH53" s="868"/>
      <c r="AI53" s="868"/>
      <c r="AJ53" s="868"/>
      <c r="AK53" s="868"/>
      <c r="AL53" s="868"/>
      <c r="AM53" s="868"/>
      <c r="AN53" s="868"/>
      <c r="AO53" s="868"/>
      <c r="AP53" s="868"/>
      <c r="AQ53" s="868"/>
      <c r="AR53" s="868"/>
      <c r="AS53" s="866"/>
      <c r="AT53" s="866"/>
      <c r="AU53" s="866"/>
      <c r="AV53" s="866"/>
      <c r="AW53" s="866"/>
      <c r="AX53" s="866"/>
      <c r="AY53" s="866"/>
      <c r="AZ53" s="866"/>
      <c r="BA53" s="866"/>
      <c r="BB53" s="866"/>
      <c r="BC53" s="866"/>
      <c r="BD53" s="866"/>
      <c r="BE53" s="866"/>
      <c r="BF53" s="866"/>
      <c r="BG53" s="866"/>
      <c r="BH53" s="866"/>
      <c r="BI53" s="866"/>
      <c r="BJ53" s="866"/>
      <c r="BK53" s="916"/>
    </row>
    <row r="54" spans="1:63" s="289" customFormat="1" ht="14.25">
      <c r="A54" s="866"/>
      <c r="B54" s="868"/>
      <c r="C54" s="868"/>
      <c r="D54" s="868"/>
      <c r="E54" s="868"/>
      <c r="F54" s="868"/>
      <c r="G54" s="868"/>
      <c r="H54" s="868"/>
      <c r="I54" s="868"/>
      <c r="J54" s="868"/>
      <c r="K54" s="868"/>
      <c r="L54" s="868"/>
      <c r="M54" s="868"/>
      <c r="N54" s="868"/>
      <c r="O54" s="868"/>
      <c r="P54" s="868"/>
      <c r="Q54" s="868"/>
      <c r="R54" s="868"/>
      <c r="S54" s="868"/>
      <c r="T54" s="868"/>
      <c r="U54" s="868"/>
      <c r="V54" s="884">
        <f>100*(+AD48/$E$9)</f>
        <v>130.52535725674275</v>
      </c>
      <c r="W54" s="919">
        <f>EXP(5.70827-(0.68367*LN(+V54)))</f>
        <v>10.78035435093256</v>
      </c>
      <c r="X54" s="892">
        <f>(+W54*V54)/100</f>
        <v>14.071096030097536</v>
      </c>
      <c r="Y54" s="884">
        <f>100*((((X54/100)-((X54/100)-0.03574)*$E$21)-0.03574-0.00619)/0.344)</f>
        <v>18.340358662396429</v>
      </c>
      <c r="Z54" s="868">
        <f>$E$20</f>
        <v>0.25</v>
      </c>
      <c r="AA54" s="884">
        <f>Y54+Z54</f>
        <v>18.590358662396429</v>
      </c>
      <c r="AB54" s="884">
        <f>100*($E$17*$E$19+($E$18*(AA54/100))/(1-$E$21))</f>
        <v>18.128831162371053</v>
      </c>
      <c r="AC54" s="892">
        <f>AB54/V54</f>
        <v>0.13889125870547689</v>
      </c>
      <c r="AD54" s="911">
        <f>ROUND($E$8/(1-AC54),0)</f>
        <v>114338</v>
      </c>
      <c r="AE54" s="868" t="str">
        <f>IF(OR(OR(AD54=AD48,AD54=(AD48+1)),AD54=(AD48-1)),"yes","not yet")</f>
        <v>yes</v>
      </c>
      <c r="AF54" s="884">
        <f>100*(1-AC54)</f>
        <v>86.110874129452313</v>
      </c>
      <c r="AG54" s="868"/>
      <c r="AH54" s="868"/>
      <c r="AI54" s="868"/>
      <c r="AJ54" s="868"/>
      <c r="AK54" s="868"/>
      <c r="AL54" s="868"/>
      <c r="AM54" s="868"/>
      <c r="AN54" s="868"/>
      <c r="AO54" s="868"/>
      <c r="AP54" s="868"/>
      <c r="AQ54" s="868"/>
      <c r="AR54" s="868"/>
      <c r="AS54" s="866"/>
      <c r="AT54" s="866"/>
      <c r="AU54" s="866"/>
      <c r="AV54" s="866"/>
      <c r="AW54" s="866"/>
      <c r="AX54" s="866"/>
      <c r="AY54" s="866"/>
      <c r="AZ54" s="866"/>
      <c r="BA54" s="866"/>
      <c r="BB54" s="866"/>
      <c r="BC54" s="866"/>
      <c r="BD54" s="866"/>
      <c r="BE54" s="866"/>
      <c r="BF54" s="866"/>
      <c r="BG54" s="866"/>
      <c r="BH54" s="866"/>
      <c r="BI54" s="866"/>
      <c r="BJ54" s="866"/>
      <c r="BK54" s="916"/>
    </row>
    <row r="55" spans="1:63" s="289" customFormat="1" ht="14.25">
      <c r="A55" s="866"/>
      <c r="B55" s="868"/>
      <c r="C55" s="868"/>
      <c r="D55" s="868"/>
      <c r="E55" s="868"/>
      <c r="F55" s="868"/>
      <c r="G55" s="868"/>
      <c r="H55" s="868"/>
      <c r="I55" s="868"/>
      <c r="J55" s="868"/>
      <c r="K55" s="868"/>
      <c r="L55" s="868"/>
      <c r="M55" s="868"/>
      <c r="N55" s="868"/>
      <c r="O55" s="868"/>
      <c r="P55" s="868"/>
      <c r="Q55" s="868"/>
      <c r="R55" s="868"/>
      <c r="S55" s="868"/>
      <c r="T55" s="868"/>
      <c r="U55" s="868"/>
      <c r="V55" s="884">
        <f>100*(+AD49/$E$9)</f>
        <v>130.27192769429635</v>
      </c>
      <c r="W55" s="919">
        <f>EXP(5.6985-(0.68367*LN(V55)))</f>
        <v>10.689737275809305</v>
      </c>
      <c r="X55" s="892">
        <f>(+W55*V55)/100</f>
        <v>13.925726814652542</v>
      </c>
      <c r="Y55" s="884">
        <f>100*((((X55/100)-((X55/100)-0.03574)*$E$21)-0.03574-0.00619)/0.344)</f>
        <v>18.061452609507786</v>
      </c>
      <c r="Z55" s="868">
        <f>$E$20</f>
        <v>0.25</v>
      </c>
      <c r="AA55" s="884">
        <f>Y55+Z55</f>
        <v>18.311452609507786</v>
      </c>
      <c r="AB55" s="884">
        <f>100*($E$17*$E$19+($E$18*(AA55/100))/(1-$E$21))</f>
        <v>17.875280205199559</v>
      </c>
      <c r="AC55" s="892">
        <f>AB55/V55</f>
        <v>0.13721513545993366</v>
      </c>
      <c r="AD55" s="911">
        <f>ROUND($E$8/(1-AC55),0)</f>
        <v>114116</v>
      </c>
      <c r="AE55" s="868" t="str">
        <f>IF(OR(OR(AD55=AD49,AD55=(AD49+1)),AD55=(AD49-1)),"yes","not yet")</f>
        <v>yes</v>
      </c>
      <c r="AF55" s="884">
        <f>100*(1-AC55)</f>
        <v>86.278486454006625</v>
      </c>
      <c r="AG55" s="868"/>
      <c r="AH55" s="868"/>
      <c r="AI55" s="868"/>
      <c r="AJ55" s="868"/>
      <c r="AK55" s="868"/>
      <c r="AL55" s="868"/>
      <c r="AM55" s="868"/>
      <c r="AN55" s="868"/>
      <c r="AO55" s="868"/>
      <c r="AP55" s="868"/>
      <c r="AQ55" s="868"/>
      <c r="AR55" s="868"/>
      <c r="AS55" s="866"/>
      <c r="AT55" s="866"/>
      <c r="AU55" s="866"/>
      <c r="AV55" s="866"/>
      <c r="AW55" s="866"/>
      <c r="AX55" s="866"/>
      <c r="AY55" s="866"/>
      <c r="AZ55" s="866"/>
      <c r="BA55" s="866"/>
      <c r="BB55" s="866"/>
      <c r="BC55" s="866"/>
      <c r="BD55" s="866"/>
      <c r="BE55" s="866"/>
      <c r="BF55" s="866"/>
      <c r="BG55" s="866"/>
      <c r="BH55" s="866"/>
      <c r="BI55" s="866"/>
      <c r="BJ55" s="866"/>
      <c r="BK55" s="916"/>
    </row>
    <row r="56" spans="1:63" s="289" customFormat="1" ht="14.25">
      <c r="A56" s="866"/>
      <c r="B56" s="868"/>
      <c r="C56" s="868"/>
      <c r="D56" s="868"/>
      <c r="E56" s="868"/>
      <c r="F56" s="868"/>
      <c r="G56" s="868"/>
      <c r="H56" s="868"/>
      <c r="I56" s="868"/>
      <c r="J56" s="868"/>
      <c r="K56" s="868"/>
      <c r="L56" s="868"/>
      <c r="M56" s="868"/>
      <c r="N56" s="868"/>
      <c r="O56" s="868"/>
      <c r="P56" s="868"/>
      <c r="Q56" s="868"/>
      <c r="R56" s="868"/>
      <c r="S56" s="868"/>
      <c r="T56" s="868"/>
      <c r="U56" s="868"/>
      <c r="V56" s="884">
        <f>100*(+AD50/$E$9)</f>
        <v>130.10982410029908</v>
      </c>
      <c r="W56" s="919">
        <f>EXP(5.6922-(0.68367*LN(V56)))</f>
        <v>10.631649997439387</v>
      </c>
      <c r="X56" s="892">
        <f>(+W56*V56)/100</f>
        <v>13.832821110627838</v>
      </c>
      <c r="Y56" s="884">
        <f>100*((((X56/100)-((X56/100)-0.03574)*$E$21)-0.03574-0.00619)/0.344)</f>
        <v>17.883203293646435</v>
      </c>
      <c r="Z56" s="868">
        <f>$E$20</f>
        <v>0.25</v>
      </c>
      <c r="AA56" s="884">
        <f>Y56+Z56</f>
        <v>18.133203293646435</v>
      </c>
      <c r="AB56" s="884">
        <f>100*($E$17*$E$19+($E$18*(AA56/100))/(1-$E$21))</f>
        <v>17.71323537259833</v>
      </c>
      <c r="AC56" s="892">
        <f>AB56/V56</f>
        <v>0.13614064499037021</v>
      </c>
      <c r="AD56" s="911">
        <f>ROUND($E$8/(1-AC56),0)</f>
        <v>113974</v>
      </c>
      <c r="AE56" s="868" t="str">
        <f>IF(OR(OR(AD56=AD50,AD56=(AD50+1)),AD56=(AD50-1)),"yes","not yet")</f>
        <v>yes</v>
      </c>
      <c r="AF56" s="884">
        <f>100*(1-AC56)</f>
        <v>86.385935500962987</v>
      </c>
      <c r="AG56" s="868"/>
      <c r="AH56" s="868"/>
      <c r="AI56" s="868"/>
      <c r="AJ56" s="868"/>
      <c r="AK56" s="868"/>
      <c r="AL56" s="868"/>
      <c r="AM56" s="868"/>
      <c r="AN56" s="868"/>
      <c r="AO56" s="868"/>
      <c r="AP56" s="868"/>
      <c r="AQ56" s="868"/>
      <c r="AR56" s="868"/>
      <c r="AS56" s="866"/>
      <c r="AT56" s="866"/>
      <c r="AU56" s="866"/>
      <c r="AV56" s="866"/>
      <c r="AW56" s="866"/>
      <c r="AX56" s="866"/>
      <c r="AY56" s="866"/>
      <c r="AZ56" s="866"/>
      <c r="BA56" s="866"/>
      <c r="BB56" s="866"/>
      <c r="BC56" s="866"/>
      <c r="BD56" s="866"/>
      <c r="BE56" s="866"/>
      <c r="BF56" s="866"/>
      <c r="BG56" s="866"/>
      <c r="BH56" s="866"/>
      <c r="BI56" s="866"/>
      <c r="BJ56" s="866"/>
      <c r="BK56" s="916"/>
    </row>
    <row r="57" spans="1:63" s="289" customFormat="1" ht="14.25">
      <c r="A57" s="866"/>
      <c r="B57" s="868"/>
      <c r="C57" s="868"/>
      <c r="D57" s="868"/>
      <c r="E57" s="868"/>
      <c r="F57" s="868"/>
      <c r="G57" s="868"/>
      <c r="H57" s="868"/>
      <c r="I57" s="868"/>
      <c r="J57" s="868"/>
      <c r="K57" s="868"/>
      <c r="L57" s="868"/>
      <c r="M57" s="868"/>
      <c r="N57" s="868"/>
      <c r="O57" s="868"/>
      <c r="P57" s="868"/>
      <c r="Q57" s="868"/>
      <c r="R57" s="868"/>
      <c r="S57" s="868"/>
      <c r="T57" s="868"/>
      <c r="U57" s="868"/>
      <c r="V57" s="868"/>
      <c r="W57" s="868"/>
      <c r="X57" s="868"/>
      <c r="Y57" s="868"/>
      <c r="Z57" s="868"/>
      <c r="AA57" s="884"/>
      <c r="AB57" s="868"/>
      <c r="AC57" s="868"/>
      <c r="AD57" s="868"/>
      <c r="AE57" s="868"/>
      <c r="AF57" s="868"/>
      <c r="AG57" s="868"/>
      <c r="AH57" s="868"/>
      <c r="AI57" s="868"/>
      <c r="AJ57" s="868"/>
      <c r="AK57" s="868"/>
      <c r="AL57" s="868"/>
      <c r="AM57" s="868"/>
      <c r="AN57" s="868"/>
      <c r="AO57" s="868"/>
      <c r="AP57" s="868"/>
      <c r="AQ57" s="868"/>
      <c r="AR57" s="868"/>
      <c r="AS57" s="866"/>
      <c r="AT57" s="866"/>
      <c r="AU57" s="866"/>
      <c r="AV57" s="866"/>
      <c r="AW57" s="866"/>
      <c r="AX57" s="866"/>
      <c r="AY57" s="866"/>
      <c r="AZ57" s="866"/>
      <c r="BA57" s="866"/>
      <c r="BB57" s="866"/>
      <c r="BC57" s="866"/>
      <c r="BD57" s="866"/>
      <c r="BE57" s="866"/>
      <c r="BF57" s="866"/>
      <c r="BG57" s="866"/>
      <c r="BH57" s="866"/>
      <c r="BI57" s="866"/>
      <c r="BJ57" s="866"/>
      <c r="BK57" s="916"/>
    </row>
    <row r="58" spans="1:63">
      <c r="A58" s="185"/>
      <c r="B58" s="185"/>
      <c r="C58" s="185"/>
      <c r="D58" s="185"/>
      <c r="E58" s="185"/>
      <c r="F58" s="185"/>
      <c r="G58" s="185"/>
      <c r="H58" s="185"/>
      <c r="I58" s="185"/>
      <c r="J58" s="185"/>
      <c r="K58" s="185"/>
      <c r="L58" s="185"/>
      <c r="M58" s="185"/>
      <c r="N58" s="185"/>
      <c r="O58" s="185"/>
      <c r="P58" s="185"/>
      <c r="Q58" s="185"/>
      <c r="R58" s="185"/>
      <c r="S58" s="185"/>
      <c r="T58" s="185"/>
      <c r="U58" s="185"/>
      <c r="V58" s="185"/>
      <c r="W58" s="185"/>
      <c r="X58" s="185"/>
      <c r="Y58" s="185"/>
      <c r="Z58" s="185"/>
      <c r="AA58" s="185"/>
      <c r="AB58" s="185"/>
      <c r="AC58" s="185"/>
      <c r="AD58" s="185"/>
      <c r="AE58" s="185"/>
      <c r="AF58" s="185"/>
      <c r="AG58" s="185"/>
      <c r="AH58" s="185"/>
      <c r="AI58" s="185"/>
      <c r="AJ58" s="185"/>
      <c r="AK58" s="185"/>
      <c r="AL58" s="185"/>
      <c r="AM58" s="185"/>
      <c r="AN58" s="185"/>
      <c r="AO58" s="185"/>
      <c r="AP58" s="185"/>
      <c r="AQ58" s="185"/>
      <c r="AR58" s="185"/>
      <c r="AS58" s="185"/>
      <c r="AT58" s="185"/>
      <c r="AU58" s="185"/>
      <c r="AV58" s="185"/>
      <c r="AW58" s="185"/>
      <c r="AX58" s="185"/>
      <c r="AY58" s="185"/>
      <c r="AZ58" s="185"/>
      <c r="BA58" s="185"/>
      <c r="BB58" s="185"/>
      <c r="BC58" s="185"/>
      <c r="BD58" s="185"/>
      <c r="BE58" s="185"/>
      <c r="BF58" s="185"/>
      <c r="BG58" s="185"/>
      <c r="BH58" s="185"/>
      <c r="BI58" s="185"/>
      <c r="BJ58" s="185"/>
      <c r="BK58" s="186"/>
    </row>
    <row r="59" spans="1:63">
      <c r="A59" s="185"/>
      <c r="B59" s="185"/>
      <c r="C59" s="185"/>
      <c r="D59" s="185"/>
      <c r="E59" s="185"/>
      <c r="F59" s="185"/>
      <c r="G59" s="185"/>
      <c r="H59" s="185"/>
      <c r="I59" s="185"/>
      <c r="J59" s="185"/>
      <c r="K59" s="185"/>
      <c r="L59" s="185"/>
      <c r="M59" s="185"/>
      <c r="N59" s="185"/>
      <c r="O59" s="185"/>
      <c r="P59" s="185"/>
      <c r="Q59" s="185"/>
      <c r="R59" s="185"/>
      <c r="S59" s="185"/>
      <c r="T59" s="185"/>
      <c r="U59" s="185"/>
      <c r="V59" s="185"/>
      <c r="W59" s="185"/>
      <c r="X59" s="185"/>
      <c r="Y59" s="185"/>
      <c r="Z59" s="185"/>
      <c r="AA59" s="185"/>
      <c r="AB59" s="185"/>
      <c r="AC59" s="185"/>
      <c r="AD59" s="185"/>
      <c r="AE59" s="185"/>
      <c r="AF59" s="185"/>
      <c r="AG59" s="185"/>
      <c r="AH59" s="185"/>
      <c r="AI59" s="185"/>
      <c r="AJ59" s="185"/>
      <c r="AK59" s="185"/>
      <c r="AL59" s="185"/>
      <c r="AM59" s="185"/>
      <c r="AN59" s="185"/>
      <c r="AO59" s="185"/>
      <c r="AP59" s="185"/>
      <c r="AQ59" s="185"/>
      <c r="AR59" s="185"/>
      <c r="AS59" s="185"/>
      <c r="AT59" s="185"/>
      <c r="AU59" s="185"/>
      <c r="AV59" s="185"/>
      <c r="AW59" s="185"/>
      <c r="AX59" s="185"/>
      <c r="AY59" s="185"/>
      <c r="AZ59" s="185"/>
      <c r="BA59" s="185"/>
      <c r="BB59" s="185"/>
      <c r="BC59" s="185"/>
      <c r="BD59" s="185"/>
      <c r="BE59" s="185"/>
      <c r="BF59" s="185"/>
      <c r="BG59" s="185"/>
      <c r="BH59" s="185"/>
      <c r="BI59" s="185"/>
      <c r="BJ59" s="185"/>
      <c r="BK59" s="186"/>
    </row>
    <row r="60" spans="1:63">
      <c r="A60" s="185"/>
      <c r="B60" s="185"/>
      <c r="C60" s="185"/>
      <c r="D60" s="185"/>
      <c r="E60" s="185"/>
      <c r="F60" s="185"/>
      <c r="G60" s="185"/>
      <c r="H60" s="185"/>
      <c r="I60" s="185"/>
      <c r="J60" s="185"/>
      <c r="K60" s="185"/>
      <c r="L60" s="185"/>
      <c r="M60" s="185"/>
      <c r="N60" s="185"/>
      <c r="O60" s="185"/>
      <c r="P60" s="185"/>
      <c r="Q60" s="185"/>
      <c r="R60" s="185"/>
      <c r="S60" s="185"/>
      <c r="T60" s="185"/>
      <c r="U60" s="185"/>
      <c r="V60" s="185"/>
      <c r="W60" s="185"/>
      <c r="X60" s="185"/>
      <c r="Y60" s="185"/>
      <c r="Z60" s="185"/>
      <c r="AA60" s="185"/>
      <c r="AB60" s="185"/>
      <c r="AC60" s="185"/>
      <c r="AD60" s="185"/>
      <c r="AE60" s="185"/>
      <c r="AF60" s="185"/>
      <c r="AG60" s="185"/>
      <c r="AH60" s="185"/>
      <c r="AI60" s="185"/>
      <c r="AJ60" s="185"/>
      <c r="AK60" s="185"/>
      <c r="AL60" s="185"/>
      <c r="AM60" s="185"/>
      <c r="AN60" s="185"/>
      <c r="AO60" s="185"/>
      <c r="AP60" s="185"/>
      <c r="AQ60" s="185"/>
      <c r="AR60" s="185"/>
      <c r="AS60" s="185"/>
      <c r="AT60" s="185"/>
      <c r="AU60" s="185"/>
      <c r="AV60" s="185"/>
      <c r="AW60" s="185"/>
      <c r="AX60" s="185"/>
      <c r="AY60" s="185"/>
      <c r="AZ60" s="185"/>
      <c r="BA60" s="185"/>
      <c r="BB60" s="185"/>
      <c r="BC60" s="185"/>
      <c r="BD60" s="185"/>
      <c r="BE60" s="185"/>
      <c r="BF60" s="185"/>
      <c r="BG60" s="185"/>
      <c r="BH60" s="185"/>
      <c r="BI60" s="185"/>
      <c r="BJ60" s="185"/>
      <c r="BK60" s="186"/>
    </row>
    <row r="61" spans="1:63">
      <c r="A61" s="185"/>
      <c r="B61" s="185"/>
      <c r="C61" s="185"/>
      <c r="D61" s="185"/>
      <c r="E61" s="185"/>
      <c r="F61" s="185"/>
      <c r="G61" s="185"/>
      <c r="H61" s="185"/>
      <c r="I61" s="185"/>
      <c r="J61" s="185"/>
      <c r="K61" s="185"/>
      <c r="L61" s="185"/>
      <c r="M61" s="185"/>
      <c r="N61" s="185"/>
      <c r="O61" s="185"/>
      <c r="P61" s="185"/>
      <c r="Q61" s="185"/>
      <c r="R61" s="185"/>
      <c r="S61" s="185"/>
      <c r="T61" s="185"/>
      <c r="U61" s="185"/>
      <c r="V61" s="185"/>
      <c r="W61" s="185"/>
      <c r="X61" s="185"/>
      <c r="Y61" s="185"/>
      <c r="Z61" s="185"/>
      <c r="AA61" s="185"/>
      <c r="AB61" s="185"/>
      <c r="AC61" s="185"/>
      <c r="AD61" s="185"/>
      <c r="AE61" s="185"/>
      <c r="AF61" s="185"/>
      <c r="AG61" s="185"/>
      <c r="AH61" s="185"/>
      <c r="AI61" s="185"/>
      <c r="AJ61" s="185"/>
      <c r="AK61" s="185"/>
      <c r="AL61" s="185"/>
      <c r="AM61" s="185"/>
      <c r="AN61" s="185"/>
      <c r="AO61" s="185"/>
      <c r="AP61" s="185"/>
      <c r="AQ61" s="185"/>
      <c r="AR61" s="185"/>
      <c r="AS61" s="185"/>
      <c r="AT61" s="185"/>
      <c r="AU61" s="185"/>
      <c r="AV61" s="185"/>
      <c r="AW61" s="185"/>
      <c r="AX61" s="185"/>
      <c r="AY61" s="185"/>
      <c r="AZ61" s="185"/>
      <c r="BA61" s="185"/>
      <c r="BB61" s="185"/>
      <c r="BC61" s="185"/>
      <c r="BD61" s="185"/>
      <c r="BE61" s="185"/>
      <c r="BF61" s="185"/>
      <c r="BG61" s="185"/>
      <c r="BH61" s="185"/>
      <c r="BI61" s="185"/>
      <c r="BJ61" s="185"/>
      <c r="BK61" s="186"/>
    </row>
    <row r="62" spans="1:63">
      <c r="A62" s="185"/>
      <c r="B62" s="185"/>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5"/>
      <c r="AJ62" s="185"/>
      <c r="AK62" s="185"/>
      <c r="AL62" s="185"/>
      <c r="AM62" s="185"/>
      <c r="AN62" s="185"/>
      <c r="AO62" s="185"/>
      <c r="AP62" s="185"/>
      <c r="AQ62" s="185"/>
      <c r="AR62" s="185"/>
      <c r="AS62" s="185"/>
      <c r="AT62" s="185"/>
      <c r="AU62" s="185"/>
      <c r="AV62" s="185"/>
      <c r="AW62" s="185"/>
      <c r="AX62" s="185"/>
      <c r="AY62" s="185"/>
      <c r="AZ62" s="185"/>
      <c r="BA62" s="185"/>
      <c r="BB62" s="185"/>
      <c r="BC62" s="185"/>
      <c r="BD62" s="185"/>
      <c r="BE62" s="185"/>
      <c r="BF62" s="185"/>
      <c r="BG62" s="185"/>
      <c r="BH62" s="185"/>
      <c r="BI62" s="185"/>
      <c r="BJ62" s="185"/>
      <c r="BK62" s="186"/>
    </row>
    <row r="63" spans="1:63">
      <c r="A63" s="185"/>
      <c r="B63" s="185"/>
      <c r="C63" s="185"/>
      <c r="D63" s="185"/>
      <c r="E63" s="185"/>
      <c r="F63" s="185"/>
      <c r="G63" s="185"/>
      <c r="H63" s="185"/>
      <c r="I63" s="185"/>
      <c r="J63" s="185"/>
      <c r="K63" s="185"/>
      <c r="L63" s="185"/>
      <c r="M63" s="185"/>
      <c r="N63" s="185"/>
      <c r="O63" s="185"/>
      <c r="P63" s="185"/>
      <c r="Q63" s="185"/>
      <c r="R63" s="185"/>
      <c r="S63" s="185"/>
      <c r="T63" s="185"/>
      <c r="U63" s="185"/>
      <c r="V63" s="185"/>
      <c r="W63" s="185"/>
      <c r="X63" s="185"/>
      <c r="Y63" s="185"/>
      <c r="Z63" s="185"/>
      <c r="AA63" s="185"/>
      <c r="AB63" s="185"/>
      <c r="AC63" s="185"/>
      <c r="AD63" s="185"/>
      <c r="AE63" s="185"/>
      <c r="AF63" s="185"/>
      <c r="AG63" s="185"/>
      <c r="AH63" s="185"/>
      <c r="AI63" s="185"/>
      <c r="AJ63" s="185"/>
      <c r="AK63" s="185"/>
      <c r="AL63" s="185"/>
      <c r="AM63" s="185"/>
      <c r="AN63" s="185"/>
      <c r="AO63" s="185"/>
      <c r="AP63" s="185"/>
      <c r="AQ63" s="185"/>
      <c r="AR63" s="185"/>
      <c r="AS63" s="185"/>
      <c r="AT63" s="185"/>
      <c r="AU63" s="185"/>
      <c r="AV63" s="185"/>
      <c r="AW63" s="185"/>
      <c r="AX63" s="185"/>
      <c r="AY63" s="185"/>
      <c r="AZ63" s="185"/>
      <c r="BA63" s="185"/>
      <c r="BB63" s="185"/>
      <c r="BC63" s="185"/>
      <c r="BD63" s="185"/>
      <c r="BE63" s="185"/>
      <c r="BF63" s="185"/>
      <c r="BG63" s="185"/>
      <c r="BH63" s="185"/>
      <c r="BI63" s="185"/>
      <c r="BJ63" s="185"/>
      <c r="BK63" s="186"/>
    </row>
    <row r="64" spans="1:63">
      <c r="A64" s="185"/>
      <c r="B64" s="185"/>
      <c r="C64" s="185"/>
      <c r="D64" s="185"/>
      <c r="E64" s="185"/>
      <c r="F64" s="185"/>
      <c r="G64" s="185"/>
      <c r="H64" s="185"/>
      <c r="I64" s="185"/>
      <c r="J64" s="185"/>
      <c r="K64" s="185"/>
      <c r="L64" s="185"/>
      <c r="M64" s="185"/>
      <c r="N64" s="185"/>
      <c r="O64" s="185"/>
      <c r="P64" s="185"/>
      <c r="Q64" s="185"/>
      <c r="R64" s="185"/>
      <c r="S64" s="185"/>
      <c r="T64" s="185"/>
      <c r="U64" s="185"/>
      <c r="V64" s="185"/>
      <c r="W64" s="185"/>
      <c r="X64" s="185"/>
      <c r="Y64" s="185"/>
      <c r="Z64" s="185"/>
      <c r="AA64" s="185"/>
      <c r="AB64" s="185"/>
      <c r="AC64" s="185"/>
      <c r="AD64" s="185"/>
      <c r="AE64" s="185"/>
      <c r="AF64" s="185"/>
      <c r="AG64" s="185"/>
      <c r="AH64" s="185"/>
      <c r="AI64" s="185"/>
      <c r="AJ64" s="185"/>
      <c r="AK64" s="185"/>
      <c r="AL64" s="185"/>
      <c r="AM64" s="185"/>
      <c r="AN64" s="185"/>
      <c r="AO64" s="185"/>
      <c r="AP64" s="185"/>
      <c r="AQ64" s="185"/>
      <c r="AR64" s="185"/>
      <c r="AS64" s="185"/>
      <c r="AT64" s="185"/>
      <c r="AU64" s="185"/>
      <c r="AV64" s="185"/>
      <c r="AW64" s="185"/>
      <c r="AX64" s="185"/>
      <c r="AY64" s="185"/>
      <c r="AZ64" s="185"/>
      <c r="BA64" s="185"/>
      <c r="BB64" s="185"/>
      <c r="BC64" s="185"/>
      <c r="BD64" s="185"/>
      <c r="BE64" s="185"/>
      <c r="BF64" s="185"/>
      <c r="BG64" s="185"/>
      <c r="BH64" s="185"/>
      <c r="BI64" s="185"/>
      <c r="BJ64" s="185"/>
      <c r="BK64" s="186"/>
    </row>
    <row r="65" spans="1:63">
      <c r="A65" s="185"/>
      <c r="B65" s="185"/>
      <c r="C65" s="185"/>
      <c r="D65" s="185"/>
      <c r="E65" s="185"/>
      <c r="F65" s="185"/>
      <c r="G65" s="185"/>
      <c r="H65" s="185"/>
      <c r="I65" s="185"/>
      <c r="J65" s="185"/>
      <c r="K65" s="185"/>
      <c r="L65" s="185"/>
      <c r="M65" s="185"/>
      <c r="N65" s="185"/>
      <c r="O65" s="185"/>
      <c r="P65" s="185"/>
      <c r="Q65" s="185"/>
      <c r="R65" s="185"/>
      <c r="S65" s="185"/>
      <c r="T65" s="185"/>
      <c r="U65" s="185"/>
      <c r="V65" s="185"/>
      <c r="W65" s="185"/>
      <c r="X65" s="185"/>
      <c r="Y65" s="185"/>
      <c r="Z65" s="185"/>
      <c r="AA65" s="185"/>
      <c r="AB65" s="185"/>
      <c r="AC65" s="185"/>
      <c r="AD65" s="185"/>
      <c r="AE65" s="185"/>
      <c r="AF65" s="185"/>
      <c r="AG65" s="185"/>
      <c r="AH65" s="185"/>
      <c r="AI65" s="185"/>
      <c r="AJ65" s="185"/>
      <c r="AK65" s="185"/>
      <c r="AL65" s="185"/>
      <c r="AM65" s="185"/>
      <c r="AN65" s="185"/>
      <c r="AO65" s="185"/>
      <c r="AP65" s="185"/>
      <c r="AQ65" s="185"/>
      <c r="AR65" s="185"/>
      <c r="AS65" s="185"/>
      <c r="AT65" s="185"/>
      <c r="AU65" s="185"/>
      <c r="AV65" s="185"/>
      <c r="AW65" s="185"/>
      <c r="AX65" s="185"/>
      <c r="AY65" s="185"/>
      <c r="AZ65" s="185"/>
      <c r="BA65" s="185"/>
      <c r="BB65" s="185"/>
      <c r="BC65" s="185"/>
      <c r="BD65" s="185"/>
      <c r="BE65" s="185"/>
      <c r="BF65" s="185"/>
      <c r="BG65" s="185"/>
      <c r="BH65" s="185"/>
      <c r="BI65" s="185"/>
      <c r="BJ65" s="185"/>
      <c r="BK65" s="186"/>
    </row>
    <row r="66" spans="1:63">
      <c r="A66" s="185"/>
      <c r="B66" s="185"/>
      <c r="C66" s="185"/>
      <c r="D66" s="185"/>
      <c r="E66" s="185"/>
      <c r="F66" s="185"/>
      <c r="G66" s="185"/>
      <c r="H66" s="185"/>
      <c r="I66" s="185"/>
      <c r="J66" s="185"/>
      <c r="K66" s="185"/>
      <c r="L66" s="185"/>
      <c r="M66" s="185"/>
      <c r="N66" s="185"/>
      <c r="O66" s="185"/>
      <c r="P66" s="185"/>
      <c r="Q66" s="185"/>
      <c r="R66" s="185"/>
      <c r="S66" s="185"/>
      <c r="T66" s="185"/>
      <c r="U66" s="185"/>
      <c r="V66" s="185"/>
      <c r="W66" s="185"/>
      <c r="X66" s="185"/>
      <c r="Y66" s="185"/>
      <c r="Z66" s="185"/>
      <c r="AA66" s="185"/>
      <c r="AB66" s="185"/>
      <c r="AC66" s="185"/>
      <c r="AD66" s="185"/>
      <c r="AE66" s="185"/>
      <c r="AF66" s="185"/>
      <c r="AG66" s="185"/>
      <c r="AH66" s="185"/>
      <c r="AI66" s="185"/>
      <c r="AJ66" s="185"/>
      <c r="AK66" s="185"/>
      <c r="AL66" s="185"/>
      <c r="AM66" s="185"/>
      <c r="AN66" s="185"/>
      <c r="AO66" s="185"/>
      <c r="AP66" s="185"/>
      <c r="AQ66" s="185"/>
      <c r="AR66" s="185"/>
      <c r="AS66" s="185"/>
      <c r="AT66" s="185"/>
      <c r="AU66" s="185"/>
      <c r="AV66" s="185"/>
      <c r="AW66" s="185"/>
      <c r="AX66" s="185"/>
      <c r="AY66" s="185"/>
      <c r="AZ66" s="185"/>
      <c r="BA66" s="185"/>
      <c r="BB66" s="185"/>
      <c r="BC66" s="185"/>
      <c r="BD66" s="185"/>
      <c r="BE66" s="185"/>
      <c r="BF66" s="185"/>
      <c r="BG66" s="185"/>
      <c r="BH66" s="185"/>
      <c r="BI66" s="185"/>
      <c r="BJ66" s="185"/>
      <c r="BK66" s="186"/>
    </row>
    <row r="67" spans="1:63">
      <c r="A67" s="185"/>
      <c r="B67" s="185"/>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5"/>
      <c r="AJ67" s="185"/>
      <c r="AK67" s="185"/>
      <c r="AL67" s="185"/>
      <c r="AM67" s="185"/>
      <c r="AN67" s="185"/>
      <c r="AO67" s="185"/>
      <c r="AP67" s="185"/>
      <c r="AQ67" s="185"/>
      <c r="AR67" s="185"/>
      <c r="AS67" s="185"/>
      <c r="AT67" s="185"/>
      <c r="AU67" s="185"/>
      <c r="AV67" s="185"/>
      <c r="AW67" s="185"/>
      <c r="AX67" s="185"/>
      <c r="AY67" s="185"/>
      <c r="AZ67" s="185"/>
      <c r="BA67" s="185"/>
      <c r="BB67" s="185"/>
      <c r="BC67" s="185"/>
      <c r="BD67" s="185"/>
      <c r="BE67" s="185"/>
      <c r="BF67" s="185"/>
      <c r="BG67" s="185"/>
      <c r="BH67" s="185"/>
      <c r="BI67" s="185"/>
      <c r="BJ67" s="185"/>
      <c r="BK67" s="186"/>
    </row>
    <row r="68" spans="1:63">
      <c r="A68" s="185"/>
      <c r="B68" s="185"/>
      <c r="C68" s="185"/>
      <c r="D68" s="185"/>
      <c r="E68" s="185"/>
      <c r="F68" s="185"/>
      <c r="G68" s="185"/>
      <c r="H68" s="185"/>
      <c r="I68" s="185"/>
      <c r="J68" s="185"/>
      <c r="K68" s="185"/>
      <c r="L68" s="185"/>
      <c r="M68" s="185"/>
      <c r="N68" s="185"/>
      <c r="O68" s="185"/>
      <c r="P68" s="185"/>
      <c r="Q68" s="185"/>
      <c r="R68" s="185"/>
      <c r="S68" s="185"/>
      <c r="T68" s="185"/>
      <c r="U68" s="185"/>
      <c r="V68" s="185"/>
      <c r="W68" s="185"/>
      <c r="X68" s="185"/>
      <c r="Y68" s="185"/>
      <c r="Z68" s="185"/>
      <c r="AA68" s="185"/>
      <c r="AB68" s="185"/>
      <c r="AC68" s="185"/>
      <c r="AD68" s="185"/>
      <c r="AE68" s="185"/>
      <c r="AF68" s="185"/>
      <c r="AG68" s="185"/>
      <c r="AH68" s="185"/>
      <c r="AI68" s="185"/>
      <c r="AJ68" s="185"/>
      <c r="AK68" s="185"/>
      <c r="AL68" s="185"/>
      <c r="AM68" s="185"/>
      <c r="AN68" s="185"/>
      <c r="AO68" s="185"/>
      <c r="AP68" s="185"/>
      <c r="AQ68" s="185"/>
      <c r="AR68" s="185"/>
      <c r="AS68" s="185"/>
      <c r="AT68" s="185"/>
      <c r="AU68" s="185"/>
      <c r="AV68" s="185"/>
      <c r="AW68" s="185"/>
      <c r="AX68" s="185"/>
      <c r="AY68" s="185"/>
      <c r="AZ68" s="185"/>
      <c r="BA68" s="185"/>
      <c r="BB68" s="185"/>
      <c r="BC68" s="185"/>
      <c r="BD68" s="185"/>
      <c r="BE68" s="185"/>
      <c r="BF68" s="185"/>
      <c r="BG68" s="185"/>
      <c r="BH68" s="185"/>
      <c r="BI68" s="185"/>
      <c r="BJ68" s="185"/>
      <c r="BK68" s="186"/>
    </row>
    <row r="69" spans="1:63">
      <c r="A69" s="185"/>
      <c r="B69" s="185"/>
      <c r="C69" s="185"/>
      <c r="D69" s="185"/>
      <c r="E69" s="185"/>
      <c r="F69" s="185"/>
      <c r="G69" s="185"/>
      <c r="H69" s="185"/>
      <c r="I69" s="185"/>
      <c r="J69" s="185"/>
      <c r="K69" s="185"/>
      <c r="L69" s="185"/>
      <c r="M69" s="185"/>
      <c r="N69" s="185"/>
      <c r="O69" s="185"/>
      <c r="P69" s="185"/>
      <c r="Q69" s="185"/>
      <c r="R69" s="185"/>
      <c r="S69" s="185"/>
      <c r="T69" s="185"/>
      <c r="U69" s="185"/>
      <c r="V69" s="185"/>
      <c r="W69" s="185"/>
      <c r="X69" s="185"/>
      <c r="Y69" s="185"/>
      <c r="Z69" s="185"/>
      <c r="AA69" s="185"/>
      <c r="AB69" s="185"/>
      <c r="AC69" s="185"/>
      <c r="AD69" s="185"/>
      <c r="AE69" s="185"/>
      <c r="AF69" s="185"/>
      <c r="AG69" s="185"/>
      <c r="AH69" s="185"/>
      <c r="AI69" s="185"/>
      <c r="AJ69" s="185"/>
      <c r="AK69" s="185"/>
      <c r="AL69" s="185"/>
      <c r="AM69" s="185"/>
      <c r="AN69" s="185"/>
      <c r="AO69" s="185"/>
      <c r="AP69" s="185"/>
      <c r="AQ69" s="185"/>
      <c r="AR69" s="185"/>
      <c r="AS69" s="185"/>
      <c r="AT69" s="185"/>
      <c r="AU69" s="185"/>
      <c r="AV69" s="185"/>
      <c r="AW69" s="185"/>
      <c r="AX69" s="185"/>
      <c r="AY69" s="185"/>
      <c r="AZ69" s="185"/>
      <c r="BA69" s="185"/>
      <c r="BB69" s="185"/>
      <c r="BC69" s="185"/>
      <c r="BD69" s="185"/>
      <c r="BE69" s="185"/>
      <c r="BF69" s="185"/>
      <c r="BG69" s="185"/>
      <c r="BH69" s="185"/>
      <c r="BI69" s="185"/>
      <c r="BJ69" s="185"/>
      <c r="BK69" s="186"/>
    </row>
    <row r="70" spans="1:63">
      <c r="A70" s="185"/>
      <c r="B70" s="185"/>
      <c r="C70" s="185"/>
      <c r="D70" s="185"/>
      <c r="E70" s="185"/>
      <c r="F70" s="185"/>
      <c r="G70" s="185"/>
      <c r="H70" s="185"/>
      <c r="I70" s="185"/>
      <c r="J70" s="185"/>
      <c r="K70" s="185"/>
      <c r="L70" s="185"/>
      <c r="M70" s="185"/>
      <c r="N70" s="185"/>
      <c r="O70" s="185"/>
      <c r="P70" s="185"/>
      <c r="Q70" s="185"/>
      <c r="R70" s="185"/>
      <c r="S70" s="185"/>
      <c r="T70" s="185"/>
      <c r="U70" s="185"/>
      <c r="V70" s="185"/>
      <c r="W70" s="185"/>
      <c r="X70" s="185"/>
      <c r="Y70" s="185"/>
      <c r="Z70" s="185"/>
      <c r="AA70" s="185"/>
      <c r="AB70" s="185"/>
      <c r="AC70" s="185"/>
      <c r="AD70" s="185"/>
      <c r="AE70" s="185"/>
      <c r="AF70" s="185"/>
      <c r="AG70" s="185"/>
      <c r="AH70" s="185"/>
      <c r="AI70" s="185"/>
      <c r="AJ70" s="185"/>
      <c r="AK70" s="185"/>
      <c r="AL70" s="185"/>
      <c r="AM70" s="185"/>
      <c r="AN70" s="185"/>
      <c r="AO70" s="185"/>
      <c r="AP70" s="185"/>
      <c r="AQ70" s="185"/>
      <c r="AR70" s="185"/>
      <c r="AS70" s="185"/>
      <c r="AT70" s="185"/>
      <c r="AU70" s="185"/>
      <c r="AV70" s="185"/>
      <c r="AW70" s="185"/>
      <c r="AX70" s="185"/>
      <c r="AY70" s="185"/>
      <c r="AZ70" s="185"/>
      <c r="BA70" s="185"/>
      <c r="BB70" s="185"/>
      <c r="BC70" s="185"/>
      <c r="BD70" s="185"/>
      <c r="BE70" s="185"/>
      <c r="BF70" s="185"/>
      <c r="BG70" s="185"/>
      <c r="BH70" s="185"/>
      <c r="BI70" s="185"/>
      <c r="BJ70" s="185"/>
      <c r="BK70" s="186"/>
    </row>
    <row r="71" spans="1:63">
      <c r="A71" s="185"/>
      <c r="B71" s="185"/>
      <c r="C71" s="185"/>
      <c r="D71" s="185"/>
      <c r="E71" s="185"/>
      <c r="F71" s="185"/>
      <c r="G71" s="185"/>
      <c r="H71" s="185"/>
      <c r="I71" s="185"/>
      <c r="J71" s="185"/>
      <c r="K71" s="185"/>
      <c r="L71" s="185"/>
      <c r="M71" s="185"/>
      <c r="N71" s="185"/>
      <c r="O71" s="185"/>
      <c r="P71" s="185"/>
      <c r="Q71" s="185"/>
      <c r="R71" s="185"/>
      <c r="S71" s="185"/>
      <c r="T71" s="185"/>
      <c r="U71" s="185"/>
      <c r="V71" s="185"/>
      <c r="W71" s="185"/>
      <c r="X71" s="185"/>
      <c r="Y71" s="185"/>
      <c r="Z71" s="185"/>
      <c r="AA71" s="185"/>
      <c r="AB71" s="185"/>
      <c r="AC71" s="185"/>
      <c r="AD71" s="185"/>
      <c r="AE71" s="185"/>
      <c r="AF71" s="185"/>
      <c r="AG71" s="185"/>
      <c r="AH71" s="185"/>
      <c r="AI71" s="185"/>
      <c r="AJ71" s="185"/>
      <c r="AK71" s="185"/>
      <c r="AL71" s="185"/>
      <c r="AM71" s="185"/>
      <c r="AN71" s="185"/>
      <c r="AO71" s="185"/>
      <c r="AP71" s="185"/>
      <c r="AQ71" s="185"/>
      <c r="AR71" s="185"/>
      <c r="AS71" s="185"/>
      <c r="AT71" s="185"/>
      <c r="AU71" s="185"/>
      <c r="AV71" s="185"/>
      <c r="AW71" s="185"/>
      <c r="AX71" s="185"/>
      <c r="AY71" s="185"/>
      <c r="AZ71" s="185"/>
      <c r="BA71" s="185"/>
      <c r="BB71" s="185"/>
      <c r="BC71" s="185"/>
      <c r="BD71" s="185"/>
      <c r="BE71" s="185"/>
      <c r="BF71" s="185"/>
      <c r="BG71" s="185"/>
      <c r="BH71" s="185"/>
      <c r="BI71" s="185"/>
      <c r="BJ71" s="185"/>
      <c r="BK71" s="186"/>
    </row>
    <row r="72" spans="1:63">
      <c r="A72" s="185"/>
      <c r="B72" s="185"/>
      <c r="C72" s="185"/>
      <c r="D72" s="185"/>
      <c r="E72" s="185"/>
      <c r="F72" s="185"/>
      <c r="G72" s="185"/>
      <c r="H72" s="185"/>
      <c r="I72" s="185"/>
      <c r="J72" s="185"/>
      <c r="K72" s="185"/>
      <c r="L72" s="185"/>
      <c r="M72" s="185"/>
      <c r="N72" s="185"/>
      <c r="O72" s="185"/>
      <c r="P72" s="185"/>
      <c r="Q72" s="185"/>
      <c r="R72" s="185"/>
      <c r="S72" s="185"/>
      <c r="T72" s="185"/>
      <c r="U72" s="185"/>
      <c r="V72" s="185"/>
      <c r="W72" s="185"/>
      <c r="X72" s="185"/>
      <c r="Y72" s="185"/>
      <c r="Z72" s="185"/>
      <c r="AA72" s="185"/>
      <c r="AB72" s="185"/>
      <c r="AC72" s="185"/>
      <c r="AD72" s="185"/>
      <c r="AE72" s="185"/>
      <c r="AF72" s="185"/>
      <c r="AG72" s="185"/>
      <c r="AH72" s="185"/>
      <c r="AI72" s="185"/>
      <c r="AJ72" s="185"/>
      <c r="AK72" s="185"/>
      <c r="AL72" s="185"/>
      <c r="AM72" s="185"/>
      <c r="AN72" s="185"/>
      <c r="AO72" s="185"/>
      <c r="AP72" s="185"/>
      <c r="AQ72" s="185"/>
      <c r="AR72" s="185"/>
      <c r="AS72" s="185"/>
      <c r="AT72" s="185"/>
      <c r="AU72" s="185"/>
      <c r="AV72" s="185"/>
      <c r="AW72" s="185"/>
      <c r="AX72" s="185"/>
      <c r="AY72" s="185"/>
      <c r="AZ72" s="185"/>
      <c r="BA72" s="185"/>
      <c r="BB72" s="185"/>
      <c r="BC72" s="185"/>
      <c r="BD72" s="185"/>
      <c r="BE72" s="185"/>
      <c r="BF72" s="185"/>
      <c r="BG72" s="185"/>
      <c r="BH72" s="185"/>
      <c r="BI72" s="185"/>
      <c r="BJ72" s="185"/>
      <c r="BK72" s="186"/>
    </row>
    <row r="73" spans="1:63">
      <c r="A73" s="185"/>
      <c r="B73" s="185"/>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5"/>
      <c r="AJ73" s="185"/>
      <c r="AK73" s="185"/>
      <c r="AL73" s="185"/>
      <c r="AM73" s="185"/>
      <c r="AN73" s="185"/>
      <c r="AO73" s="185"/>
      <c r="AP73" s="185"/>
      <c r="AQ73" s="185"/>
      <c r="AR73" s="185"/>
      <c r="AS73" s="185"/>
      <c r="AT73" s="185"/>
      <c r="AU73" s="185"/>
      <c r="AV73" s="185"/>
      <c r="AW73" s="185"/>
      <c r="AX73" s="185"/>
      <c r="AY73" s="185"/>
      <c r="AZ73" s="185"/>
      <c r="BA73" s="185"/>
      <c r="BB73" s="185"/>
      <c r="BC73" s="185"/>
      <c r="BD73" s="185"/>
      <c r="BE73" s="185"/>
      <c r="BF73" s="185"/>
      <c r="BG73" s="185"/>
      <c r="BH73" s="185"/>
      <c r="BI73" s="185"/>
      <c r="BJ73" s="185"/>
      <c r="BK73" s="186"/>
    </row>
    <row r="74" spans="1:63">
      <c r="A74" s="185"/>
      <c r="B74" s="185"/>
      <c r="C74" s="185"/>
      <c r="D74" s="185"/>
      <c r="E74" s="185"/>
      <c r="F74" s="185"/>
      <c r="G74" s="185"/>
      <c r="H74" s="185"/>
      <c r="I74" s="185"/>
      <c r="J74" s="185"/>
      <c r="K74" s="185"/>
      <c r="L74" s="185"/>
      <c r="M74" s="185"/>
      <c r="N74" s="185"/>
      <c r="O74" s="185"/>
      <c r="P74" s="185"/>
      <c r="Q74" s="185"/>
      <c r="R74" s="185"/>
      <c r="S74" s="185"/>
      <c r="T74" s="185"/>
      <c r="U74" s="185"/>
      <c r="V74" s="185"/>
      <c r="W74" s="185"/>
      <c r="X74" s="185"/>
      <c r="Y74" s="185"/>
      <c r="Z74" s="185"/>
      <c r="AA74" s="185"/>
      <c r="AB74" s="185"/>
      <c r="AC74" s="185"/>
      <c r="AD74" s="185"/>
      <c r="AE74" s="185"/>
      <c r="AF74" s="185"/>
      <c r="AG74" s="185"/>
      <c r="AH74" s="185"/>
      <c r="AI74" s="185"/>
      <c r="AJ74" s="185"/>
      <c r="AK74" s="185"/>
      <c r="AL74" s="185"/>
      <c r="AM74" s="185"/>
      <c r="AN74" s="185"/>
      <c r="AO74" s="185"/>
      <c r="AP74" s="185"/>
      <c r="AQ74" s="185"/>
      <c r="AR74" s="185"/>
      <c r="AS74" s="185"/>
      <c r="AT74" s="185"/>
      <c r="AU74" s="185"/>
      <c r="AV74" s="185"/>
      <c r="AW74" s="185"/>
      <c r="AX74" s="185"/>
      <c r="AY74" s="185"/>
      <c r="AZ74" s="185"/>
      <c r="BA74" s="185"/>
      <c r="BB74" s="185"/>
      <c r="BC74" s="185"/>
      <c r="BD74" s="185"/>
      <c r="BE74" s="185"/>
      <c r="BF74" s="185"/>
      <c r="BG74" s="185"/>
      <c r="BH74" s="185"/>
      <c r="BI74" s="185"/>
      <c r="BJ74" s="185"/>
      <c r="BK74" s="186"/>
    </row>
    <row r="75" spans="1:63">
      <c r="A75" s="185"/>
      <c r="B75" s="185"/>
      <c r="C75" s="185"/>
      <c r="D75" s="185"/>
      <c r="E75" s="185"/>
      <c r="F75" s="185"/>
      <c r="G75" s="185"/>
      <c r="H75" s="185"/>
      <c r="I75" s="185"/>
      <c r="J75" s="185"/>
      <c r="K75" s="185"/>
      <c r="L75" s="185"/>
      <c r="M75" s="185"/>
      <c r="N75" s="185"/>
      <c r="O75" s="185"/>
      <c r="P75" s="185"/>
      <c r="Q75" s="185"/>
      <c r="R75" s="185"/>
      <c r="S75" s="185"/>
      <c r="T75" s="185"/>
      <c r="U75" s="185"/>
      <c r="V75" s="185"/>
      <c r="W75" s="185"/>
      <c r="X75" s="185"/>
      <c r="Y75" s="185"/>
      <c r="Z75" s="185"/>
      <c r="AA75" s="185"/>
      <c r="AB75" s="185"/>
      <c r="AC75" s="185"/>
      <c r="AD75" s="185"/>
      <c r="AE75" s="185"/>
      <c r="AF75" s="185"/>
      <c r="AG75" s="185"/>
      <c r="AH75" s="185"/>
      <c r="AI75" s="185"/>
      <c r="AJ75" s="185"/>
      <c r="AK75" s="185"/>
      <c r="AL75" s="185"/>
      <c r="AM75" s="185"/>
      <c r="AN75" s="185"/>
      <c r="AO75" s="185"/>
      <c r="AP75" s="185"/>
      <c r="AQ75" s="185"/>
      <c r="AR75" s="185"/>
      <c r="AS75" s="185"/>
      <c r="AT75" s="185"/>
      <c r="AU75" s="185"/>
      <c r="AV75" s="185"/>
      <c r="AW75" s="185"/>
      <c r="AX75" s="185"/>
      <c r="AY75" s="185"/>
      <c r="AZ75" s="185"/>
      <c r="BA75" s="185"/>
      <c r="BB75" s="185"/>
      <c r="BC75" s="185"/>
      <c r="BD75" s="185"/>
      <c r="BE75" s="185"/>
      <c r="BF75" s="185"/>
      <c r="BG75" s="185"/>
      <c r="BH75" s="185"/>
      <c r="BI75" s="185"/>
      <c r="BJ75" s="185"/>
      <c r="BK75" s="186"/>
    </row>
    <row r="76" spans="1:63">
      <c r="A76" s="185"/>
      <c r="B76" s="185"/>
      <c r="C76" s="185"/>
      <c r="D76" s="185"/>
      <c r="E76" s="185"/>
      <c r="F76" s="185"/>
      <c r="G76" s="185"/>
      <c r="H76" s="185"/>
      <c r="I76" s="185"/>
      <c r="J76" s="185"/>
      <c r="K76" s="185"/>
      <c r="L76" s="185"/>
      <c r="M76" s="185"/>
      <c r="N76" s="185"/>
      <c r="O76" s="185"/>
      <c r="P76" s="185"/>
      <c r="Q76" s="185"/>
      <c r="R76" s="185"/>
      <c r="S76" s="185"/>
      <c r="T76" s="185"/>
      <c r="U76" s="185"/>
      <c r="V76" s="185"/>
      <c r="W76" s="185"/>
      <c r="X76" s="185"/>
      <c r="Y76" s="185"/>
      <c r="Z76" s="185"/>
      <c r="AA76" s="185"/>
      <c r="AB76" s="185"/>
      <c r="AC76" s="185"/>
      <c r="AD76" s="185"/>
      <c r="AE76" s="185"/>
      <c r="AF76" s="185"/>
      <c r="AG76" s="185"/>
      <c r="AH76" s="185"/>
      <c r="AI76" s="185"/>
      <c r="AJ76" s="185"/>
      <c r="AK76" s="185"/>
      <c r="AL76" s="185"/>
      <c r="AM76" s="185"/>
      <c r="AN76" s="185"/>
      <c r="AO76" s="185"/>
      <c r="AP76" s="185"/>
      <c r="AQ76" s="185"/>
      <c r="AR76" s="185"/>
      <c r="AS76" s="185"/>
      <c r="AT76" s="185"/>
      <c r="AU76" s="185"/>
      <c r="AV76" s="185"/>
      <c r="AW76" s="185"/>
      <c r="AX76" s="185"/>
      <c r="AY76" s="185"/>
      <c r="AZ76" s="185"/>
      <c r="BA76" s="185"/>
      <c r="BB76" s="185"/>
      <c r="BC76" s="185"/>
      <c r="BD76" s="185"/>
      <c r="BE76" s="185"/>
      <c r="BF76" s="185"/>
      <c r="BG76" s="185"/>
      <c r="BH76" s="185"/>
      <c r="BI76" s="185"/>
      <c r="BJ76" s="185"/>
      <c r="BK76" s="186"/>
    </row>
    <row r="77" spans="1:63">
      <c r="A77" s="185"/>
      <c r="B77" s="185"/>
      <c r="C77" s="185"/>
      <c r="D77" s="185"/>
      <c r="E77" s="185"/>
      <c r="F77" s="185"/>
      <c r="G77" s="185"/>
      <c r="H77" s="185"/>
      <c r="I77" s="185"/>
      <c r="J77" s="185"/>
      <c r="K77" s="185"/>
      <c r="L77" s="185"/>
      <c r="M77" s="185"/>
      <c r="N77" s="185"/>
      <c r="O77" s="185"/>
      <c r="P77" s="185"/>
      <c r="Q77" s="185"/>
      <c r="R77" s="185"/>
      <c r="S77" s="185"/>
      <c r="T77" s="185"/>
      <c r="U77" s="185"/>
      <c r="V77" s="185"/>
      <c r="W77" s="185"/>
      <c r="X77" s="185"/>
      <c r="Y77" s="185"/>
      <c r="Z77" s="185"/>
      <c r="AA77" s="185"/>
      <c r="AB77" s="185"/>
      <c r="AC77" s="185"/>
      <c r="AD77" s="185"/>
      <c r="AE77" s="185"/>
      <c r="AF77" s="185"/>
      <c r="AG77" s="185"/>
      <c r="AH77" s="185"/>
      <c r="AI77" s="185"/>
      <c r="AJ77" s="185"/>
      <c r="AK77" s="185"/>
      <c r="AL77" s="185"/>
      <c r="AM77" s="185"/>
      <c r="AN77" s="185"/>
      <c r="AO77" s="185"/>
      <c r="AP77" s="185"/>
      <c r="AQ77" s="185"/>
      <c r="AR77" s="185"/>
      <c r="AS77" s="185"/>
      <c r="AT77" s="185"/>
      <c r="AU77" s="185"/>
      <c r="AV77" s="185"/>
      <c r="AW77" s="185"/>
      <c r="AX77" s="185"/>
      <c r="AY77" s="185"/>
      <c r="AZ77" s="185"/>
      <c r="BA77" s="185"/>
      <c r="BB77" s="185"/>
      <c r="BC77" s="185"/>
      <c r="BD77" s="185"/>
      <c r="BE77" s="185"/>
      <c r="BF77" s="185"/>
      <c r="BG77" s="185"/>
      <c r="BH77" s="185"/>
      <c r="BI77" s="185"/>
      <c r="BJ77" s="185"/>
      <c r="BK77" s="186"/>
    </row>
    <row r="78" spans="1:63">
      <c r="A78" s="185"/>
      <c r="B78" s="185"/>
      <c r="C78" s="185"/>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6"/>
    </row>
    <row r="79" spans="1:63">
      <c r="A79" s="185"/>
      <c r="B79" s="185"/>
      <c r="C79" s="185"/>
      <c r="D79" s="185"/>
      <c r="E79" s="185"/>
      <c r="F79" s="185"/>
      <c r="G79" s="185"/>
      <c r="H79" s="185"/>
      <c r="I79" s="185"/>
      <c r="J79" s="185"/>
      <c r="K79" s="185"/>
      <c r="L79" s="185"/>
      <c r="M79" s="185"/>
      <c r="N79" s="185"/>
      <c r="O79" s="185"/>
      <c r="P79" s="185"/>
      <c r="Q79" s="185"/>
      <c r="R79" s="185"/>
      <c r="S79" s="185"/>
      <c r="T79" s="185"/>
      <c r="U79" s="185"/>
      <c r="V79" s="185"/>
      <c r="W79" s="185"/>
      <c r="X79" s="185"/>
      <c r="Y79" s="185"/>
      <c r="Z79" s="185"/>
      <c r="AA79" s="185"/>
      <c r="AB79" s="185"/>
      <c r="AC79" s="185"/>
      <c r="AD79" s="185"/>
      <c r="AE79" s="185"/>
      <c r="AF79" s="185"/>
      <c r="AG79" s="185"/>
      <c r="AH79" s="185"/>
      <c r="AI79" s="185"/>
      <c r="AJ79" s="185"/>
      <c r="AK79" s="185"/>
      <c r="AL79" s="185"/>
      <c r="AM79" s="185"/>
      <c r="AN79" s="185"/>
      <c r="AO79" s="185"/>
      <c r="AP79" s="185"/>
      <c r="AQ79" s="185"/>
      <c r="AR79" s="185"/>
      <c r="AS79" s="185"/>
      <c r="AT79" s="185"/>
      <c r="AU79" s="185"/>
      <c r="AV79" s="185"/>
      <c r="AW79" s="185"/>
      <c r="AX79" s="185"/>
      <c r="AY79" s="185"/>
      <c r="AZ79" s="185"/>
      <c r="BA79" s="185"/>
      <c r="BB79" s="185"/>
      <c r="BC79" s="185"/>
      <c r="BD79" s="185"/>
      <c r="BE79" s="185"/>
      <c r="BF79" s="185"/>
      <c r="BG79" s="185"/>
      <c r="BH79" s="185"/>
      <c r="BI79" s="185"/>
      <c r="BJ79" s="185"/>
      <c r="BK79" s="186"/>
    </row>
    <row r="80" spans="1:63">
      <c r="A80" s="185"/>
      <c r="B80" s="185"/>
      <c r="C80" s="185"/>
      <c r="D80" s="185"/>
      <c r="E80" s="185"/>
      <c r="F80" s="185"/>
      <c r="G80" s="185"/>
      <c r="H80" s="185"/>
      <c r="I80" s="185"/>
      <c r="J80" s="185"/>
      <c r="K80" s="185"/>
      <c r="L80" s="185"/>
      <c r="M80" s="185"/>
      <c r="N80" s="185"/>
      <c r="O80" s="185"/>
      <c r="P80" s="185"/>
      <c r="Q80" s="185"/>
      <c r="R80" s="185"/>
      <c r="S80" s="185"/>
      <c r="T80" s="185"/>
      <c r="U80" s="185"/>
      <c r="V80" s="185"/>
      <c r="W80" s="185"/>
      <c r="X80" s="185"/>
      <c r="Y80" s="185"/>
      <c r="Z80" s="185"/>
      <c r="AA80" s="185"/>
      <c r="AB80" s="185"/>
      <c r="AC80" s="185"/>
      <c r="AD80" s="185"/>
      <c r="AE80" s="185"/>
      <c r="AF80" s="185"/>
      <c r="AG80" s="185"/>
      <c r="AH80" s="185"/>
      <c r="AI80" s="185"/>
      <c r="AJ80" s="185"/>
      <c r="AK80" s="185"/>
      <c r="AL80" s="185"/>
      <c r="AM80" s="185"/>
      <c r="AN80" s="185"/>
      <c r="AO80" s="185"/>
      <c r="AP80" s="185"/>
      <c r="AQ80" s="185"/>
      <c r="AR80" s="185"/>
      <c r="AS80" s="185"/>
      <c r="AT80" s="185"/>
      <c r="AU80" s="185"/>
      <c r="AV80" s="185"/>
      <c r="AW80" s="185"/>
      <c r="AX80" s="185"/>
      <c r="AY80" s="185"/>
      <c r="AZ80" s="185"/>
      <c r="BA80" s="185"/>
      <c r="BB80" s="185"/>
      <c r="BC80" s="185"/>
      <c r="BD80" s="185"/>
      <c r="BE80" s="185"/>
      <c r="BF80" s="185"/>
      <c r="BG80" s="185"/>
      <c r="BH80" s="185"/>
      <c r="BI80" s="185"/>
      <c r="BJ80" s="185"/>
      <c r="BK80" s="186"/>
    </row>
    <row r="81" spans="1:63">
      <c r="A81" s="185"/>
      <c r="B81" s="185"/>
      <c r="C81" s="185"/>
      <c r="D81" s="185"/>
      <c r="E81" s="185"/>
      <c r="F81" s="185"/>
      <c r="G81" s="185"/>
      <c r="H81" s="185"/>
      <c r="I81" s="185"/>
      <c r="J81" s="185"/>
      <c r="K81" s="185"/>
      <c r="L81" s="185"/>
      <c r="M81" s="185"/>
      <c r="N81" s="185"/>
      <c r="O81" s="185"/>
      <c r="P81" s="185"/>
      <c r="Q81" s="185"/>
      <c r="R81" s="185"/>
      <c r="S81" s="185"/>
      <c r="T81" s="185"/>
      <c r="U81" s="185"/>
      <c r="V81" s="185"/>
      <c r="W81" s="185"/>
      <c r="X81" s="185"/>
      <c r="Y81" s="185"/>
      <c r="Z81" s="185"/>
      <c r="AA81" s="185"/>
      <c r="AB81" s="185"/>
      <c r="AC81" s="185"/>
      <c r="AD81" s="185"/>
      <c r="AE81" s="185"/>
      <c r="AF81" s="185"/>
      <c r="AG81" s="185"/>
      <c r="AH81" s="185"/>
      <c r="AI81" s="185"/>
      <c r="AJ81" s="185"/>
      <c r="AK81" s="185"/>
      <c r="AL81" s="185"/>
      <c r="AM81" s="185"/>
      <c r="AN81" s="185"/>
      <c r="AO81" s="185"/>
      <c r="AP81" s="185"/>
      <c r="AQ81" s="185"/>
      <c r="AR81" s="185"/>
      <c r="AS81" s="185"/>
      <c r="AT81" s="185"/>
      <c r="AU81" s="185"/>
      <c r="AV81" s="185"/>
      <c r="AW81" s="185"/>
      <c r="AX81" s="185"/>
      <c r="AY81" s="185"/>
      <c r="AZ81" s="185"/>
      <c r="BA81" s="185"/>
      <c r="BB81" s="185"/>
      <c r="BC81" s="185"/>
      <c r="BD81" s="185"/>
      <c r="BE81" s="185"/>
      <c r="BF81" s="185"/>
      <c r="BG81" s="185"/>
      <c r="BH81" s="185"/>
      <c r="BI81" s="185"/>
      <c r="BJ81" s="185"/>
      <c r="BK81" s="186"/>
    </row>
    <row r="82" spans="1:63">
      <c r="A82" s="185"/>
      <c r="B82" s="185"/>
      <c r="C82" s="185"/>
      <c r="D82" s="185"/>
      <c r="E82" s="185"/>
      <c r="F82" s="185"/>
      <c r="G82" s="185"/>
      <c r="H82" s="185"/>
      <c r="I82" s="185"/>
      <c r="J82" s="185"/>
      <c r="K82" s="185"/>
      <c r="L82" s="185"/>
      <c r="M82" s="185"/>
      <c r="N82" s="185"/>
      <c r="O82" s="185"/>
      <c r="P82" s="185"/>
      <c r="Q82" s="185"/>
      <c r="R82" s="185"/>
      <c r="S82" s="185"/>
      <c r="T82" s="185"/>
      <c r="U82" s="185"/>
      <c r="V82" s="185"/>
      <c r="W82" s="185"/>
      <c r="X82" s="185"/>
      <c r="Y82" s="185"/>
      <c r="Z82" s="185"/>
      <c r="AA82" s="185"/>
      <c r="AB82" s="185"/>
      <c r="AC82" s="185"/>
      <c r="AD82" s="185"/>
      <c r="AE82" s="185"/>
      <c r="AF82" s="185"/>
      <c r="AG82" s="185"/>
      <c r="AH82" s="185"/>
      <c r="AI82" s="185"/>
      <c r="AJ82" s="185"/>
      <c r="AK82" s="185"/>
      <c r="AL82" s="185"/>
      <c r="AM82" s="185"/>
      <c r="AN82" s="185"/>
      <c r="AO82" s="185"/>
      <c r="AP82" s="185"/>
      <c r="AQ82" s="185"/>
      <c r="AR82" s="185"/>
      <c r="AS82" s="185"/>
      <c r="AT82" s="185"/>
      <c r="AU82" s="185"/>
      <c r="AV82" s="185"/>
      <c r="AW82" s="185"/>
      <c r="AX82" s="185"/>
      <c r="AY82" s="185"/>
      <c r="AZ82" s="185"/>
      <c r="BA82" s="185"/>
      <c r="BB82" s="185"/>
      <c r="BC82" s="185"/>
      <c r="BD82" s="185"/>
      <c r="BE82" s="185"/>
      <c r="BF82" s="185"/>
      <c r="BG82" s="185"/>
      <c r="BH82" s="185"/>
      <c r="BI82" s="185"/>
      <c r="BJ82" s="185"/>
      <c r="BK82" s="186"/>
    </row>
    <row r="83" spans="1:63">
      <c r="A83" s="185"/>
      <c r="B83" s="185"/>
      <c r="C83" s="185"/>
      <c r="D83" s="185"/>
      <c r="E83" s="185"/>
      <c r="F83" s="185"/>
      <c r="G83" s="185"/>
      <c r="H83" s="185"/>
      <c r="I83" s="185"/>
      <c r="J83" s="185"/>
      <c r="K83" s="185"/>
      <c r="L83" s="185"/>
      <c r="M83" s="185"/>
      <c r="N83" s="185"/>
      <c r="O83" s="185"/>
      <c r="P83" s="185"/>
      <c r="Q83" s="185"/>
      <c r="R83" s="185"/>
      <c r="S83" s="185"/>
      <c r="T83" s="185"/>
      <c r="U83" s="185"/>
      <c r="V83" s="185"/>
      <c r="W83" s="185"/>
      <c r="X83" s="185"/>
      <c r="Y83" s="185"/>
      <c r="Z83" s="185"/>
      <c r="AA83" s="185"/>
      <c r="AB83" s="185"/>
      <c r="AC83" s="185"/>
      <c r="AD83" s="185"/>
      <c r="AE83" s="185"/>
      <c r="AF83" s="185"/>
      <c r="AG83" s="185"/>
      <c r="AH83" s="185"/>
      <c r="AI83" s="185"/>
      <c r="AJ83" s="185"/>
      <c r="AK83" s="185"/>
      <c r="AL83" s="185"/>
      <c r="AM83" s="185"/>
      <c r="AN83" s="185"/>
      <c r="AO83" s="185"/>
      <c r="AP83" s="185"/>
      <c r="AQ83" s="185"/>
      <c r="AR83" s="185"/>
      <c r="AS83" s="185"/>
      <c r="AT83" s="185"/>
      <c r="AU83" s="185"/>
      <c r="AV83" s="185"/>
      <c r="AW83" s="185"/>
      <c r="AX83" s="185"/>
      <c r="AY83" s="185"/>
      <c r="AZ83" s="185"/>
      <c r="BA83" s="185"/>
      <c r="BB83" s="185"/>
      <c r="BC83" s="185"/>
      <c r="BD83" s="185"/>
      <c r="BE83" s="185"/>
      <c r="BF83" s="185"/>
      <c r="BG83" s="185"/>
      <c r="BH83" s="185"/>
      <c r="BI83" s="185"/>
      <c r="BJ83" s="185"/>
      <c r="BK83" s="186"/>
    </row>
    <row r="84" spans="1:63">
      <c r="A84" s="185"/>
      <c r="B84" s="185"/>
      <c r="C84" s="185"/>
      <c r="D84" s="185"/>
      <c r="E84" s="185"/>
      <c r="F84" s="185"/>
      <c r="G84" s="185"/>
      <c r="H84" s="185"/>
      <c r="I84" s="185"/>
      <c r="J84" s="185"/>
      <c r="K84" s="185"/>
      <c r="L84" s="185"/>
      <c r="M84" s="185"/>
      <c r="N84" s="185"/>
      <c r="O84" s="185"/>
      <c r="P84" s="185"/>
      <c r="Q84" s="185"/>
      <c r="R84" s="185"/>
      <c r="S84" s="185"/>
      <c r="T84" s="185"/>
      <c r="U84" s="185"/>
      <c r="V84" s="185"/>
      <c r="W84" s="185"/>
      <c r="X84" s="185"/>
      <c r="Y84" s="185"/>
      <c r="Z84" s="185"/>
      <c r="AA84" s="185"/>
      <c r="AB84" s="185"/>
      <c r="AC84" s="185"/>
      <c r="AD84" s="185"/>
      <c r="AE84" s="185"/>
      <c r="AF84" s="185"/>
      <c r="AG84" s="185"/>
      <c r="AH84" s="185"/>
      <c r="AI84" s="185"/>
      <c r="AJ84" s="185"/>
      <c r="AK84" s="185"/>
      <c r="AL84" s="185"/>
      <c r="AM84" s="185"/>
      <c r="AN84" s="185"/>
      <c r="AO84" s="185"/>
      <c r="AP84" s="185"/>
      <c r="AQ84" s="185"/>
      <c r="AR84" s="185"/>
      <c r="AS84" s="185"/>
      <c r="AT84" s="185"/>
      <c r="AU84" s="185"/>
      <c r="AV84" s="185"/>
      <c r="AW84" s="185"/>
      <c r="AX84" s="185"/>
      <c r="AY84" s="185"/>
      <c r="AZ84" s="185"/>
      <c r="BA84" s="185"/>
      <c r="BB84" s="185"/>
      <c r="BC84" s="185"/>
      <c r="BD84" s="185"/>
      <c r="BE84" s="185"/>
      <c r="BF84" s="185"/>
      <c r="BG84" s="185"/>
      <c r="BH84" s="185"/>
      <c r="BI84" s="185"/>
      <c r="BJ84" s="185"/>
      <c r="BK84" s="186"/>
    </row>
    <row r="85" spans="1:63">
      <c r="A85" s="185"/>
      <c r="B85" s="185"/>
      <c r="C85" s="185"/>
      <c r="D85" s="185"/>
      <c r="E85" s="185"/>
      <c r="F85" s="185"/>
      <c r="G85" s="185"/>
      <c r="H85" s="185"/>
      <c r="I85" s="185"/>
      <c r="J85" s="185"/>
      <c r="K85" s="185"/>
      <c r="L85" s="185"/>
      <c r="M85" s="185"/>
      <c r="N85" s="185"/>
      <c r="O85" s="185"/>
      <c r="P85" s="185"/>
      <c r="Q85" s="185"/>
      <c r="R85" s="185"/>
      <c r="S85" s="185"/>
      <c r="T85" s="185"/>
      <c r="U85" s="185"/>
      <c r="V85" s="185"/>
      <c r="W85" s="185"/>
      <c r="X85" s="185"/>
      <c r="Y85" s="185"/>
      <c r="Z85" s="185"/>
      <c r="AA85" s="185"/>
      <c r="AB85" s="185"/>
      <c r="AC85" s="185"/>
      <c r="AD85" s="185"/>
      <c r="AE85" s="185"/>
      <c r="AF85" s="185"/>
      <c r="AG85" s="185"/>
      <c r="AH85" s="185"/>
      <c r="AI85" s="185"/>
      <c r="AJ85" s="185"/>
      <c r="AK85" s="185"/>
      <c r="AL85" s="185"/>
      <c r="AM85" s="185"/>
      <c r="AN85" s="185"/>
      <c r="AO85" s="185"/>
      <c r="AP85" s="185"/>
      <c r="AQ85" s="185"/>
      <c r="AR85" s="185"/>
      <c r="AS85" s="185"/>
      <c r="AT85" s="185"/>
      <c r="AU85" s="185"/>
      <c r="AV85" s="185"/>
      <c r="AW85" s="185"/>
      <c r="AX85" s="185"/>
      <c r="AY85" s="185"/>
      <c r="AZ85" s="185"/>
      <c r="BA85" s="185"/>
      <c r="BB85" s="185"/>
      <c r="BC85" s="185"/>
      <c r="BD85" s="185"/>
      <c r="BE85" s="185"/>
      <c r="BF85" s="185"/>
      <c r="BG85" s="185"/>
      <c r="BH85" s="185"/>
      <c r="BI85" s="185"/>
      <c r="BJ85" s="185"/>
      <c r="BK85" s="186"/>
    </row>
    <row r="86" spans="1:63">
      <c r="A86" s="185"/>
      <c r="B86" s="185"/>
      <c r="C86" s="185"/>
      <c r="D86" s="185"/>
      <c r="E86" s="185"/>
      <c r="F86" s="185"/>
      <c r="G86" s="185"/>
      <c r="H86" s="185"/>
      <c r="I86" s="185"/>
      <c r="J86" s="185"/>
      <c r="K86" s="185"/>
      <c r="L86" s="185"/>
      <c r="M86" s="185"/>
      <c r="N86" s="185"/>
      <c r="O86" s="185"/>
      <c r="P86" s="185"/>
      <c r="Q86" s="185"/>
      <c r="R86" s="185"/>
      <c r="S86" s="185"/>
      <c r="T86" s="185"/>
      <c r="U86" s="185"/>
      <c r="V86" s="185"/>
      <c r="W86" s="185"/>
      <c r="X86" s="185"/>
      <c r="Y86" s="185"/>
      <c r="Z86" s="185"/>
      <c r="AA86" s="185"/>
      <c r="AB86" s="185"/>
      <c r="AC86" s="185"/>
      <c r="AD86" s="185"/>
      <c r="AE86" s="185"/>
      <c r="AF86" s="185"/>
      <c r="AG86" s="185"/>
      <c r="AH86" s="185"/>
      <c r="AI86" s="185"/>
      <c r="AJ86" s="185"/>
      <c r="AK86" s="185"/>
      <c r="AL86" s="185"/>
      <c r="AM86" s="185"/>
      <c r="AN86" s="185"/>
      <c r="AO86" s="185"/>
      <c r="AP86" s="185"/>
      <c r="AQ86" s="185"/>
      <c r="AR86" s="185"/>
      <c r="AS86" s="185"/>
      <c r="AT86" s="185"/>
      <c r="AU86" s="185"/>
      <c r="AV86" s="185"/>
      <c r="AW86" s="185"/>
      <c r="AX86" s="185"/>
      <c r="AY86" s="185"/>
      <c r="AZ86" s="185"/>
      <c r="BA86" s="185"/>
      <c r="BB86" s="185"/>
      <c r="BC86" s="185"/>
      <c r="BD86" s="185"/>
      <c r="BE86" s="185"/>
      <c r="BF86" s="185"/>
      <c r="BG86" s="185"/>
      <c r="BH86" s="185"/>
      <c r="BI86" s="185"/>
      <c r="BJ86" s="185"/>
      <c r="BK86" s="186"/>
    </row>
    <row r="87" spans="1:63">
      <c r="A87" s="185"/>
      <c r="B87" s="185"/>
      <c r="C87" s="185"/>
      <c r="D87" s="185"/>
      <c r="E87" s="185"/>
      <c r="F87" s="185"/>
      <c r="G87" s="185"/>
      <c r="H87" s="185"/>
      <c r="I87" s="185"/>
      <c r="J87" s="185"/>
      <c r="K87" s="185"/>
      <c r="L87" s="185"/>
      <c r="M87" s="185"/>
      <c r="N87" s="185"/>
      <c r="O87" s="185"/>
      <c r="P87" s="185"/>
      <c r="Q87" s="185"/>
      <c r="R87" s="185"/>
      <c r="S87" s="185"/>
      <c r="T87" s="185"/>
      <c r="U87" s="185"/>
      <c r="V87" s="185"/>
      <c r="W87" s="185"/>
      <c r="X87" s="185"/>
      <c r="Y87" s="185"/>
      <c r="Z87" s="185"/>
      <c r="AA87" s="185"/>
      <c r="AB87" s="185"/>
      <c r="AC87" s="185"/>
      <c r="AD87" s="185"/>
      <c r="AE87" s="185"/>
      <c r="AF87" s="185"/>
      <c r="AG87" s="185"/>
      <c r="AH87" s="185"/>
      <c r="AI87" s="185"/>
      <c r="AJ87" s="185"/>
      <c r="AK87" s="185"/>
      <c r="AL87" s="185"/>
      <c r="AM87" s="185"/>
      <c r="AN87" s="185"/>
      <c r="AO87" s="185"/>
      <c r="AP87" s="185"/>
      <c r="AQ87" s="185"/>
      <c r="AR87" s="185"/>
      <c r="AS87" s="185"/>
      <c r="AT87" s="185"/>
      <c r="AU87" s="185"/>
      <c r="AV87" s="185"/>
      <c r="AW87" s="185"/>
      <c r="AX87" s="185"/>
      <c r="AY87" s="185"/>
      <c r="AZ87" s="185"/>
      <c r="BA87" s="185"/>
      <c r="BB87" s="185"/>
      <c r="BC87" s="185"/>
      <c r="BD87" s="185"/>
      <c r="BE87" s="185"/>
      <c r="BF87" s="185"/>
      <c r="BG87" s="185"/>
      <c r="BH87" s="185"/>
      <c r="BI87" s="185"/>
      <c r="BJ87" s="185"/>
      <c r="BK87" s="186"/>
    </row>
    <row r="88" spans="1:63">
      <c r="A88" s="185"/>
      <c r="B88" s="185"/>
      <c r="C88" s="185"/>
      <c r="D88" s="185"/>
      <c r="E88" s="185"/>
      <c r="F88" s="185"/>
      <c r="G88" s="185"/>
      <c r="H88" s="185"/>
      <c r="I88" s="185"/>
      <c r="J88" s="185"/>
      <c r="K88" s="185"/>
      <c r="L88" s="185"/>
      <c r="M88" s="185"/>
      <c r="N88" s="185"/>
      <c r="O88" s="185"/>
      <c r="P88" s="185"/>
      <c r="Q88" s="185"/>
      <c r="R88" s="185"/>
      <c r="S88" s="185"/>
      <c r="T88" s="185"/>
      <c r="U88" s="185"/>
      <c r="V88" s="185"/>
      <c r="W88" s="185"/>
      <c r="X88" s="185"/>
      <c r="Y88" s="185"/>
      <c r="Z88" s="185"/>
      <c r="AA88" s="185"/>
      <c r="AB88" s="185"/>
      <c r="AC88" s="185"/>
      <c r="AD88" s="185"/>
      <c r="AE88" s="185"/>
      <c r="AF88" s="185"/>
      <c r="AG88" s="185"/>
      <c r="AH88" s="185"/>
      <c r="AI88" s="185"/>
      <c r="AJ88" s="185"/>
      <c r="AK88" s="185"/>
      <c r="AL88" s="185"/>
      <c r="AM88" s="185"/>
      <c r="AN88" s="185"/>
      <c r="AO88" s="185"/>
      <c r="AP88" s="185"/>
      <c r="AQ88" s="185"/>
      <c r="AR88" s="185"/>
      <c r="AS88" s="185"/>
      <c r="AT88" s="185"/>
      <c r="AU88" s="185"/>
      <c r="AV88" s="185"/>
      <c r="AW88" s="185"/>
      <c r="AX88" s="185"/>
      <c r="AY88" s="185"/>
      <c r="AZ88" s="185"/>
      <c r="BA88" s="185"/>
      <c r="BB88" s="185"/>
      <c r="BC88" s="185"/>
      <c r="BD88" s="185"/>
      <c r="BE88" s="185"/>
      <c r="BF88" s="185"/>
      <c r="BG88" s="185"/>
      <c r="BH88" s="185"/>
      <c r="BI88" s="185"/>
      <c r="BJ88" s="185"/>
      <c r="BK88" s="186"/>
    </row>
    <row r="89" spans="1:63">
      <c r="A89" s="185"/>
      <c r="B89" s="185"/>
      <c r="C89" s="185"/>
      <c r="D89" s="185"/>
      <c r="E89" s="185"/>
      <c r="F89" s="185"/>
      <c r="G89" s="185"/>
      <c r="H89" s="185"/>
      <c r="I89" s="185"/>
      <c r="J89" s="185"/>
      <c r="K89" s="185"/>
      <c r="L89" s="185"/>
      <c r="M89" s="185"/>
      <c r="N89" s="185"/>
      <c r="O89" s="185"/>
      <c r="P89" s="185"/>
      <c r="Q89" s="185"/>
      <c r="R89" s="185"/>
      <c r="S89" s="185"/>
      <c r="T89" s="185"/>
      <c r="U89" s="185"/>
      <c r="V89" s="185"/>
      <c r="W89" s="185"/>
      <c r="X89" s="185"/>
      <c r="Y89" s="185"/>
      <c r="Z89" s="185"/>
      <c r="AA89" s="185"/>
      <c r="AB89" s="185"/>
      <c r="AC89" s="185"/>
      <c r="AD89" s="185"/>
      <c r="AE89" s="185"/>
      <c r="AF89" s="185"/>
      <c r="AG89" s="185"/>
      <c r="AH89" s="185"/>
      <c r="AI89" s="185"/>
      <c r="AJ89" s="185"/>
      <c r="AK89" s="185"/>
      <c r="AL89" s="185"/>
      <c r="AM89" s="185"/>
      <c r="AN89" s="185"/>
      <c r="AO89" s="185"/>
      <c r="AP89" s="185"/>
      <c r="AQ89" s="185"/>
      <c r="AR89" s="185"/>
      <c r="AS89" s="185"/>
      <c r="AT89" s="185"/>
      <c r="AU89" s="185"/>
      <c r="AV89" s="185"/>
      <c r="AW89" s="185"/>
      <c r="AX89" s="185"/>
      <c r="AY89" s="185"/>
      <c r="AZ89" s="185"/>
      <c r="BA89" s="185"/>
      <c r="BB89" s="185"/>
      <c r="BC89" s="185"/>
      <c r="BD89" s="185"/>
      <c r="BE89" s="185"/>
      <c r="BF89" s="185"/>
      <c r="BG89" s="185"/>
      <c r="BH89" s="185"/>
      <c r="BI89" s="185"/>
      <c r="BJ89" s="185"/>
      <c r="BK89" s="186"/>
    </row>
    <row r="90" spans="1:63">
      <c r="A90" s="185"/>
      <c r="B90" s="185"/>
      <c r="C90" s="185"/>
      <c r="D90" s="185"/>
      <c r="E90" s="185"/>
      <c r="F90" s="185"/>
      <c r="G90" s="185"/>
      <c r="H90" s="185"/>
      <c r="I90" s="185"/>
      <c r="J90" s="185"/>
      <c r="K90" s="185"/>
      <c r="L90" s="185"/>
      <c r="M90" s="185"/>
      <c r="N90" s="185"/>
      <c r="O90" s="185"/>
      <c r="P90" s="185"/>
      <c r="Q90" s="185"/>
      <c r="R90" s="185"/>
      <c r="S90" s="185"/>
      <c r="T90" s="185"/>
      <c r="U90" s="185"/>
      <c r="V90" s="185"/>
      <c r="W90" s="185"/>
      <c r="X90" s="185"/>
      <c r="Y90" s="185"/>
      <c r="Z90" s="185"/>
      <c r="AA90" s="185"/>
      <c r="AB90" s="185"/>
      <c r="AC90" s="185"/>
      <c r="AD90" s="185"/>
      <c r="AE90" s="185"/>
      <c r="AF90" s="185"/>
      <c r="AG90" s="185"/>
      <c r="AH90" s="185"/>
      <c r="AI90" s="185"/>
      <c r="AJ90" s="185"/>
      <c r="AK90" s="185"/>
      <c r="AL90" s="185"/>
      <c r="AM90" s="185"/>
      <c r="AN90" s="185"/>
      <c r="AO90" s="185"/>
      <c r="AP90" s="185"/>
      <c r="AQ90" s="185"/>
      <c r="AR90" s="185"/>
      <c r="AS90" s="185"/>
      <c r="AT90" s="185"/>
      <c r="AU90" s="185"/>
      <c r="AV90" s="185"/>
      <c r="AW90" s="185"/>
      <c r="AX90" s="185"/>
      <c r="AY90" s="185"/>
      <c r="AZ90" s="185"/>
      <c r="BA90" s="185"/>
      <c r="BB90" s="185"/>
      <c r="BC90" s="185"/>
      <c r="BD90" s="185"/>
      <c r="BE90" s="185"/>
      <c r="BF90" s="185"/>
      <c r="BG90" s="185"/>
      <c r="BH90" s="185"/>
      <c r="BI90" s="185"/>
      <c r="BJ90" s="185"/>
      <c r="BK90" s="186"/>
    </row>
    <row r="91" spans="1:63">
      <c r="A91" s="185"/>
      <c r="B91" s="185"/>
      <c r="C91" s="185"/>
      <c r="D91" s="185"/>
      <c r="E91" s="185"/>
      <c r="F91" s="185"/>
      <c r="G91" s="185"/>
      <c r="H91" s="185"/>
      <c r="I91" s="185"/>
      <c r="J91" s="185"/>
      <c r="K91" s="185"/>
      <c r="L91" s="185"/>
      <c r="M91" s="185"/>
      <c r="N91" s="185"/>
      <c r="O91" s="185"/>
      <c r="P91" s="185"/>
      <c r="Q91" s="185"/>
      <c r="R91" s="185"/>
      <c r="S91" s="185"/>
      <c r="T91" s="185"/>
      <c r="U91" s="185"/>
      <c r="V91" s="185"/>
      <c r="W91" s="185"/>
      <c r="X91" s="185"/>
      <c r="Y91" s="185"/>
      <c r="Z91" s="185"/>
      <c r="AA91" s="185"/>
      <c r="AB91" s="185"/>
      <c r="AC91" s="185"/>
      <c r="AD91" s="185"/>
      <c r="AE91" s="185"/>
      <c r="AF91" s="185"/>
      <c r="AG91" s="185"/>
      <c r="AH91" s="185"/>
      <c r="AI91" s="185"/>
      <c r="AJ91" s="185"/>
      <c r="AK91" s="185"/>
      <c r="AL91" s="185"/>
      <c r="AM91" s="185"/>
      <c r="AN91" s="185"/>
      <c r="AO91" s="185"/>
      <c r="AP91" s="185"/>
      <c r="AQ91" s="185"/>
      <c r="AR91" s="185"/>
      <c r="AS91" s="185"/>
      <c r="AT91" s="185"/>
      <c r="AU91" s="185"/>
      <c r="AV91" s="185"/>
      <c r="AW91" s="185"/>
      <c r="AX91" s="185"/>
      <c r="AY91" s="185"/>
      <c r="AZ91" s="185"/>
      <c r="BA91" s="185"/>
      <c r="BB91" s="185"/>
      <c r="BC91" s="185"/>
      <c r="BD91" s="185"/>
      <c r="BE91" s="185"/>
      <c r="BF91" s="185"/>
      <c r="BG91" s="185"/>
      <c r="BH91" s="185"/>
      <c r="BI91" s="185"/>
      <c r="BJ91" s="185"/>
      <c r="BK91" s="186"/>
    </row>
    <row r="92" spans="1:63">
      <c r="A92" s="185"/>
      <c r="B92" s="185"/>
      <c r="C92" s="185"/>
      <c r="D92" s="185"/>
      <c r="E92" s="185"/>
      <c r="F92" s="185"/>
      <c r="G92" s="185"/>
      <c r="H92" s="185"/>
      <c r="I92" s="185"/>
      <c r="J92" s="185"/>
      <c r="K92" s="185"/>
      <c r="L92" s="185"/>
      <c r="M92" s="185"/>
      <c r="N92" s="185"/>
      <c r="O92" s="185"/>
      <c r="P92" s="185"/>
      <c r="Q92" s="185"/>
      <c r="R92" s="185"/>
      <c r="S92" s="185"/>
      <c r="T92" s="185"/>
      <c r="U92" s="185"/>
      <c r="V92" s="185"/>
      <c r="W92" s="185"/>
      <c r="X92" s="185"/>
      <c r="Y92" s="185"/>
      <c r="Z92" s="185"/>
      <c r="AA92" s="185"/>
      <c r="AB92" s="185"/>
      <c r="AC92" s="185"/>
      <c r="AD92" s="185"/>
      <c r="AE92" s="185"/>
      <c r="AF92" s="185"/>
      <c r="AG92" s="185"/>
      <c r="AH92" s="185"/>
      <c r="AI92" s="185"/>
      <c r="AJ92" s="185"/>
      <c r="AK92" s="185"/>
      <c r="AL92" s="185"/>
      <c r="AM92" s="185"/>
      <c r="AN92" s="185"/>
      <c r="AO92" s="185"/>
      <c r="AP92" s="185"/>
      <c r="AQ92" s="185"/>
      <c r="AR92" s="185"/>
      <c r="AS92" s="185"/>
      <c r="AT92" s="185"/>
      <c r="AU92" s="185"/>
      <c r="AV92" s="185"/>
      <c r="AW92" s="185"/>
      <c r="AX92" s="185"/>
      <c r="AY92" s="185"/>
      <c r="AZ92" s="185"/>
      <c r="BA92" s="185"/>
      <c r="BB92" s="185"/>
      <c r="BC92" s="185"/>
      <c r="BD92" s="185"/>
      <c r="BE92" s="185"/>
      <c r="BF92" s="185"/>
      <c r="BG92" s="185"/>
      <c r="BH92" s="185"/>
      <c r="BI92" s="185"/>
      <c r="BJ92" s="185"/>
      <c r="BK92" s="186"/>
    </row>
    <row r="93" spans="1:63">
      <c r="A93" s="185"/>
      <c r="B93" s="185"/>
      <c r="C93" s="185"/>
      <c r="D93" s="185"/>
      <c r="E93" s="185"/>
      <c r="F93" s="185"/>
      <c r="G93" s="185"/>
      <c r="H93" s="185"/>
      <c r="I93" s="185"/>
      <c r="J93" s="185"/>
      <c r="K93" s="185"/>
      <c r="L93" s="185"/>
      <c r="M93" s="185"/>
      <c r="N93" s="185"/>
      <c r="O93" s="185"/>
      <c r="P93" s="185"/>
      <c r="Q93" s="185"/>
      <c r="R93" s="185"/>
      <c r="S93" s="185"/>
      <c r="T93" s="185"/>
      <c r="U93" s="185"/>
      <c r="V93" s="185"/>
      <c r="W93" s="185"/>
      <c r="X93" s="185"/>
      <c r="Y93" s="185"/>
      <c r="Z93" s="185"/>
      <c r="AA93" s="185"/>
      <c r="AB93" s="185"/>
      <c r="AC93" s="185"/>
      <c r="AD93" s="185"/>
      <c r="AE93" s="185"/>
      <c r="AF93" s="185"/>
      <c r="AG93" s="185"/>
      <c r="AH93" s="185"/>
      <c r="AI93" s="185"/>
      <c r="AJ93" s="185"/>
      <c r="AK93" s="185"/>
      <c r="AL93" s="185"/>
      <c r="AM93" s="185"/>
      <c r="AN93" s="185"/>
      <c r="AO93" s="185"/>
      <c r="AP93" s="185"/>
      <c r="AQ93" s="185"/>
      <c r="AR93" s="185"/>
      <c r="AS93" s="185"/>
      <c r="AT93" s="185"/>
      <c r="AU93" s="185"/>
      <c r="AV93" s="185"/>
      <c r="AW93" s="185"/>
      <c r="AX93" s="185"/>
      <c r="AY93" s="185"/>
      <c r="AZ93" s="185"/>
      <c r="BA93" s="185"/>
      <c r="BB93" s="185"/>
      <c r="BC93" s="185"/>
      <c r="BD93" s="185"/>
      <c r="BE93" s="185"/>
      <c r="BF93" s="185"/>
      <c r="BG93" s="185"/>
      <c r="BH93" s="185"/>
      <c r="BI93" s="185"/>
      <c r="BJ93" s="185"/>
      <c r="BK93" s="186"/>
    </row>
    <row r="94" spans="1:63">
      <c r="A94" s="185"/>
      <c r="B94" s="185"/>
      <c r="C94" s="185"/>
      <c r="D94" s="185"/>
      <c r="E94" s="185"/>
      <c r="F94" s="185"/>
      <c r="G94" s="185"/>
      <c r="H94" s="185"/>
      <c r="I94" s="185"/>
      <c r="J94" s="185"/>
      <c r="K94" s="185"/>
      <c r="L94" s="185"/>
      <c r="M94" s="185"/>
      <c r="N94" s="185"/>
      <c r="O94" s="185"/>
      <c r="P94" s="185"/>
      <c r="Q94" s="185"/>
      <c r="R94" s="185"/>
      <c r="S94" s="185"/>
      <c r="T94" s="185"/>
      <c r="U94" s="185"/>
      <c r="V94" s="185"/>
      <c r="W94" s="185"/>
      <c r="X94" s="185"/>
      <c r="Y94" s="185"/>
      <c r="Z94" s="185"/>
      <c r="AA94" s="185"/>
      <c r="AB94" s="185"/>
      <c r="AC94" s="185"/>
      <c r="AD94" s="185"/>
      <c r="AE94" s="185"/>
      <c r="AF94" s="185"/>
      <c r="AG94" s="185"/>
      <c r="AH94" s="185"/>
      <c r="AI94" s="185"/>
      <c r="AJ94" s="185"/>
      <c r="AK94" s="185"/>
      <c r="AL94" s="185"/>
      <c r="AM94" s="185"/>
      <c r="AN94" s="185"/>
      <c r="AO94" s="185"/>
      <c r="AP94" s="185"/>
      <c r="AQ94" s="185"/>
      <c r="AR94" s="185"/>
      <c r="AS94" s="185"/>
      <c r="AT94" s="185"/>
      <c r="AU94" s="185"/>
      <c r="AV94" s="185"/>
      <c r="AW94" s="185"/>
      <c r="AX94" s="185"/>
      <c r="AY94" s="185"/>
      <c r="AZ94" s="185"/>
      <c r="BA94" s="185"/>
      <c r="BB94" s="185"/>
      <c r="BC94" s="185"/>
      <c r="BD94" s="185"/>
      <c r="BE94" s="185"/>
      <c r="BF94" s="185"/>
      <c r="BG94" s="185"/>
      <c r="BH94" s="185"/>
      <c r="BI94" s="185"/>
      <c r="BJ94" s="185"/>
      <c r="BK94" s="186"/>
    </row>
    <row r="95" spans="1:63">
      <c r="A95" s="185"/>
      <c r="B95" s="185"/>
      <c r="C95" s="185"/>
      <c r="D95" s="185"/>
      <c r="E95" s="185"/>
      <c r="F95" s="185"/>
      <c r="G95" s="185"/>
      <c r="H95" s="185"/>
      <c r="I95" s="185"/>
      <c r="J95" s="185"/>
      <c r="K95" s="185"/>
      <c r="L95" s="185"/>
      <c r="M95" s="185"/>
      <c r="N95" s="185"/>
      <c r="O95" s="185"/>
      <c r="P95" s="185"/>
      <c r="Q95" s="185"/>
      <c r="R95" s="185"/>
      <c r="S95" s="185"/>
      <c r="T95" s="185"/>
      <c r="U95" s="185"/>
      <c r="V95" s="185"/>
      <c r="W95" s="185"/>
      <c r="X95" s="185"/>
      <c r="Y95" s="185"/>
      <c r="Z95" s="185"/>
      <c r="AA95" s="185"/>
      <c r="AB95" s="185"/>
      <c r="AC95" s="185"/>
      <c r="AD95" s="185"/>
      <c r="AE95" s="185"/>
      <c r="AF95" s="185"/>
      <c r="AG95" s="185"/>
      <c r="AH95" s="185"/>
      <c r="AI95" s="185"/>
      <c r="AJ95" s="185"/>
      <c r="AK95" s="185"/>
      <c r="AL95" s="185"/>
      <c r="AM95" s="185"/>
      <c r="AN95" s="185"/>
      <c r="AO95" s="185"/>
      <c r="AP95" s="185"/>
      <c r="AQ95" s="185"/>
      <c r="AR95" s="185"/>
      <c r="AS95" s="185"/>
      <c r="AT95" s="185"/>
      <c r="AU95" s="185"/>
      <c r="AV95" s="185"/>
      <c r="AW95" s="185"/>
      <c r="AX95" s="185"/>
      <c r="AY95" s="185"/>
      <c r="AZ95" s="185"/>
      <c r="BA95" s="185"/>
      <c r="BB95" s="185"/>
      <c r="BC95" s="185"/>
      <c r="BD95" s="185"/>
      <c r="BE95" s="185"/>
      <c r="BF95" s="185"/>
      <c r="BG95" s="185"/>
      <c r="BH95" s="185"/>
      <c r="BI95" s="185"/>
      <c r="BJ95" s="185"/>
      <c r="BK95" s="186"/>
    </row>
    <row r="96" spans="1:63">
      <c r="A96" s="185"/>
      <c r="B96" s="185"/>
      <c r="C96" s="185"/>
      <c r="D96" s="185"/>
      <c r="E96" s="185"/>
      <c r="F96" s="185"/>
      <c r="G96" s="185"/>
      <c r="H96" s="185"/>
      <c r="I96" s="185"/>
      <c r="J96" s="185"/>
      <c r="K96" s="185"/>
      <c r="L96" s="185"/>
      <c r="M96" s="185"/>
      <c r="N96" s="185"/>
      <c r="O96" s="185"/>
      <c r="P96" s="185"/>
      <c r="Q96" s="185"/>
      <c r="R96" s="185"/>
      <c r="S96" s="185"/>
      <c r="T96" s="185"/>
      <c r="U96" s="185"/>
      <c r="V96" s="185"/>
      <c r="W96" s="185"/>
      <c r="X96" s="185"/>
      <c r="Y96" s="185"/>
      <c r="Z96" s="185"/>
      <c r="AA96" s="185"/>
      <c r="AB96" s="185"/>
      <c r="AC96" s="185"/>
      <c r="AD96" s="185"/>
      <c r="AE96" s="185"/>
      <c r="AF96" s="185"/>
      <c r="AG96" s="185"/>
      <c r="AH96" s="185"/>
      <c r="AI96" s="185"/>
      <c r="AJ96" s="185"/>
      <c r="AK96" s="185"/>
      <c r="AL96" s="185"/>
      <c r="AM96" s="185"/>
      <c r="AN96" s="185"/>
      <c r="AO96" s="185"/>
      <c r="AP96" s="185"/>
      <c r="AQ96" s="185"/>
      <c r="AR96" s="185"/>
      <c r="AS96" s="185"/>
      <c r="AT96" s="185"/>
      <c r="AU96" s="185"/>
      <c r="AV96" s="185"/>
      <c r="AW96" s="185"/>
      <c r="AX96" s="185"/>
      <c r="AY96" s="185"/>
      <c r="AZ96" s="185"/>
      <c r="BA96" s="185"/>
      <c r="BB96" s="185"/>
      <c r="BC96" s="185"/>
      <c r="BD96" s="185"/>
      <c r="BE96" s="185"/>
      <c r="BF96" s="185"/>
      <c r="BG96" s="185"/>
      <c r="BH96" s="185"/>
      <c r="BI96" s="185"/>
      <c r="BJ96" s="185"/>
      <c r="BK96" s="186"/>
    </row>
    <row r="97" spans="1:63">
      <c r="A97" s="185"/>
      <c r="B97" s="185"/>
      <c r="C97" s="185"/>
      <c r="D97" s="185"/>
      <c r="E97" s="185"/>
      <c r="F97" s="185"/>
      <c r="G97" s="185"/>
      <c r="H97" s="185"/>
      <c r="I97" s="185"/>
      <c r="J97" s="185"/>
      <c r="K97" s="185"/>
      <c r="L97" s="185"/>
      <c r="M97" s="185"/>
      <c r="N97" s="185"/>
      <c r="O97" s="185"/>
      <c r="P97" s="185"/>
      <c r="Q97" s="185"/>
      <c r="R97" s="185"/>
      <c r="S97" s="185"/>
      <c r="T97" s="185"/>
      <c r="U97" s="185"/>
      <c r="V97" s="185"/>
      <c r="W97" s="185"/>
      <c r="X97" s="185"/>
      <c r="Y97" s="185"/>
      <c r="Z97" s="185"/>
      <c r="AA97" s="185"/>
      <c r="AB97" s="185"/>
      <c r="AC97" s="185"/>
      <c r="AD97" s="185"/>
      <c r="AE97" s="185"/>
      <c r="AF97" s="185"/>
      <c r="AG97" s="185"/>
      <c r="AH97" s="185"/>
      <c r="AI97" s="185"/>
      <c r="AJ97" s="185"/>
      <c r="AK97" s="185"/>
      <c r="AL97" s="185"/>
      <c r="AM97" s="185"/>
      <c r="AN97" s="185"/>
      <c r="AO97" s="185"/>
      <c r="AP97" s="185"/>
      <c r="AQ97" s="185"/>
      <c r="AR97" s="185"/>
      <c r="AS97" s="185"/>
      <c r="AT97" s="185"/>
      <c r="AU97" s="185"/>
      <c r="AV97" s="185"/>
      <c r="AW97" s="185"/>
      <c r="AX97" s="185"/>
      <c r="AY97" s="185"/>
      <c r="AZ97" s="185"/>
      <c r="BA97" s="185"/>
      <c r="BB97" s="185"/>
      <c r="BC97" s="185"/>
      <c r="BD97" s="185"/>
      <c r="BE97" s="185"/>
      <c r="BF97" s="185"/>
      <c r="BG97" s="185"/>
      <c r="BH97" s="185"/>
      <c r="BI97" s="185"/>
      <c r="BJ97" s="185"/>
      <c r="BK97" s="186"/>
    </row>
    <row r="98" spans="1:63">
      <c r="A98" s="185"/>
      <c r="B98" s="185"/>
      <c r="C98" s="185"/>
      <c r="D98" s="185"/>
      <c r="E98" s="185"/>
      <c r="F98" s="185"/>
      <c r="G98" s="185"/>
      <c r="H98" s="185"/>
      <c r="I98" s="185"/>
      <c r="J98" s="185"/>
      <c r="K98" s="185"/>
      <c r="L98" s="185"/>
      <c r="M98" s="185"/>
      <c r="N98" s="185"/>
      <c r="O98" s="185"/>
      <c r="P98" s="185"/>
      <c r="Q98" s="185"/>
      <c r="R98" s="185"/>
      <c r="S98" s="185"/>
      <c r="T98" s="185"/>
      <c r="U98" s="185"/>
      <c r="V98" s="185"/>
      <c r="W98" s="185"/>
      <c r="X98" s="185"/>
      <c r="Y98" s="185"/>
      <c r="Z98" s="185"/>
      <c r="AA98" s="185"/>
      <c r="AB98" s="185"/>
      <c r="AC98" s="185"/>
      <c r="AD98" s="185"/>
      <c r="AE98" s="185"/>
      <c r="AF98" s="185"/>
      <c r="AG98" s="185"/>
      <c r="AH98" s="185"/>
      <c r="AI98" s="185"/>
      <c r="AJ98" s="185"/>
      <c r="AK98" s="185"/>
      <c r="AL98" s="185"/>
      <c r="AM98" s="185"/>
      <c r="AN98" s="185"/>
      <c r="AO98" s="185"/>
      <c r="AP98" s="185"/>
      <c r="AQ98" s="185"/>
      <c r="AR98" s="185"/>
      <c r="AS98" s="185"/>
      <c r="AT98" s="185"/>
      <c r="AU98" s="185"/>
      <c r="AV98" s="185"/>
      <c r="AW98" s="185"/>
      <c r="AX98" s="185"/>
      <c r="AY98" s="185"/>
      <c r="AZ98" s="185"/>
      <c r="BA98" s="185"/>
      <c r="BB98" s="185"/>
      <c r="BC98" s="185"/>
      <c r="BD98" s="185"/>
      <c r="BE98" s="185"/>
      <c r="BF98" s="185"/>
      <c r="BG98" s="185"/>
      <c r="BH98" s="185"/>
      <c r="BI98" s="185"/>
      <c r="BJ98" s="185"/>
      <c r="BK98" s="186"/>
    </row>
    <row r="99" spans="1:63">
      <c r="A99" s="185"/>
      <c r="B99" s="185"/>
      <c r="C99" s="185"/>
      <c r="D99" s="185"/>
      <c r="E99" s="185"/>
      <c r="F99" s="185"/>
      <c r="G99" s="185"/>
      <c r="H99" s="185"/>
      <c r="I99" s="185"/>
      <c r="J99" s="185"/>
      <c r="K99" s="185"/>
      <c r="L99" s="185"/>
      <c r="M99" s="185"/>
      <c r="N99" s="185"/>
      <c r="O99" s="185"/>
      <c r="P99" s="185"/>
      <c r="Q99" s="185"/>
      <c r="R99" s="185"/>
      <c r="S99" s="185"/>
      <c r="T99" s="185"/>
      <c r="U99" s="185"/>
      <c r="V99" s="185"/>
      <c r="W99" s="185"/>
      <c r="X99" s="185"/>
      <c r="Y99" s="185"/>
      <c r="Z99" s="185"/>
      <c r="AA99" s="185"/>
      <c r="AB99" s="185"/>
      <c r="AC99" s="185"/>
      <c r="AD99" s="185"/>
      <c r="AE99" s="185"/>
      <c r="AF99" s="185"/>
      <c r="AG99" s="185"/>
      <c r="AH99" s="185"/>
      <c r="AI99" s="185"/>
      <c r="AJ99" s="185"/>
      <c r="AK99" s="185"/>
      <c r="AL99" s="185"/>
      <c r="AM99" s="185"/>
      <c r="AN99" s="185"/>
      <c r="AO99" s="185"/>
      <c r="AP99" s="185"/>
      <c r="AQ99" s="185"/>
      <c r="AR99" s="185"/>
      <c r="AS99" s="185"/>
      <c r="AT99" s="185"/>
      <c r="AU99" s="185"/>
      <c r="AV99" s="185"/>
      <c r="AW99" s="185"/>
      <c r="AX99" s="185"/>
      <c r="AY99" s="185"/>
      <c r="AZ99" s="185"/>
      <c r="BA99" s="185"/>
      <c r="BB99" s="185"/>
      <c r="BC99" s="185"/>
      <c r="BD99" s="185"/>
      <c r="BE99" s="185"/>
      <c r="BF99" s="185"/>
      <c r="BG99" s="185"/>
      <c r="BH99" s="185"/>
      <c r="BI99" s="185"/>
      <c r="BJ99" s="185"/>
      <c r="BK99" s="186"/>
    </row>
    <row r="100" spans="1:63">
      <c r="A100" s="185"/>
      <c r="B100" s="185"/>
      <c r="C100" s="185"/>
      <c r="D100" s="185"/>
      <c r="E100" s="185"/>
      <c r="F100" s="185"/>
      <c r="G100" s="185"/>
      <c r="H100" s="185"/>
      <c r="I100" s="185"/>
      <c r="J100" s="185"/>
      <c r="K100" s="185"/>
      <c r="L100" s="185"/>
      <c r="M100" s="185"/>
      <c r="N100" s="185"/>
      <c r="O100" s="185"/>
      <c r="P100" s="185"/>
      <c r="Q100" s="185"/>
      <c r="R100" s="185"/>
      <c r="S100" s="185"/>
      <c r="T100" s="185"/>
      <c r="U100" s="185"/>
      <c r="V100" s="185"/>
      <c r="W100" s="185"/>
      <c r="X100" s="185"/>
      <c r="Y100" s="185"/>
      <c r="Z100" s="185"/>
      <c r="AA100" s="185"/>
      <c r="AB100" s="185"/>
      <c r="AC100" s="185"/>
      <c r="AD100" s="185"/>
      <c r="AE100" s="185"/>
      <c r="AF100" s="185"/>
      <c r="AG100" s="185"/>
      <c r="AH100" s="185"/>
      <c r="AI100" s="185"/>
      <c r="AJ100" s="185"/>
      <c r="AK100" s="185"/>
      <c r="AL100" s="185"/>
      <c r="AM100" s="185"/>
      <c r="AN100" s="185"/>
      <c r="AO100" s="185"/>
      <c r="AP100" s="185"/>
      <c r="AQ100" s="185"/>
      <c r="AR100" s="185"/>
      <c r="AS100" s="185"/>
      <c r="AT100" s="185"/>
      <c r="AU100" s="185"/>
      <c r="AV100" s="185"/>
      <c r="AW100" s="185"/>
      <c r="AX100" s="185"/>
      <c r="AY100" s="185"/>
      <c r="AZ100" s="185"/>
      <c r="BA100" s="185"/>
      <c r="BB100" s="185"/>
      <c r="BC100" s="185"/>
      <c r="BD100" s="185"/>
      <c r="BE100" s="185"/>
      <c r="BF100" s="185"/>
      <c r="BG100" s="185"/>
      <c r="BH100" s="185"/>
      <c r="BI100" s="185"/>
      <c r="BJ100" s="185"/>
      <c r="BK100" s="186"/>
    </row>
    <row r="101" spans="1:63">
      <c r="A101" s="185"/>
      <c r="B101" s="185"/>
      <c r="C101" s="185"/>
      <c r="D101" s="185"/>
      <c r="E101" s="185"/>
      <c r="F101" s="185"/>
      <c r="G101" s="185"/>
      <c r="H101" s="185"/>
      <c r="I101" s="185"/>
      <c r="J101" s="185"/>
      <c r="K101" s="185"/>
      <c r="L101" s="185"/>
      <c r="M101" s="185"/>
      <c r="N101" s="185"/>
      <c r="O101" s="185"/>
      <c r="P101" s="185"/>
      <c r="Q101" s="185"/>
      <c r="R101" s="185"/>
      <c r="S101" s="185"/>
      <c r="T101" s="185"/>
      <c r="U101" s="185"/>
      <c r="V101" s="185"/>
      <c r="W101" s="185"/>
      <c r="X101" s="185"/>
      <c r="Y101" s="185"/>
      <c r="Z101" s="185"/>
      <c r="AA101" s="185"/>
      <c r="AB101" s="185"/>
      <c r="AC101" s="185"/>
      <c r="AD101" s="185"/>
      <c r="AE101" s="185"/>
      <c r="AF101" s="185"/>
      <c r="AG101" s="185"/>
      <c r="AH101" s="185"/>
      <c r="AI101" s="185"/>
      <c r="AJ101" s="185"/>
      <c r="AK101" s="185"/>
      <c r="AL101" s="185"/>
      <c r="AM101" s="185"/>
      <c r="AN101" s="185"/>
      <c r="AO101" s="185"/>
      <c r="AP101" s="185"/>
      <c r="AQ101" s="185"/>
      <c r="AR101" s="185"/>
      <c r="AS101" s="185"/>
      <c r="AT101" s="185"/>
      <c r="AU101" s="185"/>
      <c r="AV101" s="185"/>
      <c r="AW101" s="185"/>
      <c r="AX101" s="185"/>
      <c r="AY101" s="185"/>
      <c r="AZ101" s="185"/>
      <c r="BA101" s="185"/>
      <c r="BB101" s="185"/>
      <c r="BC101" s="185"/>
      <c r="BD101" s="185"/>
      <c r="BE101" s="185"/>
      <c r="BF101" s="185"/>
      <c r="BG101" s="185"/>
      <c r="BH101" s="185"/>
      <c r="BI101" s="185"/>
      <c r="BJ101" s="185"/>
      <c r="BK101" s="186"/>
    </row>
    <row r="102" spans="1:63">
      <c r="A102" s="185"/>
      <c r="B102" s="185"/>
      <c r="C102" s="185"/>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6"/>
    </row>
    <row r="103" spans="1:63">
      <c r="A103" s="185"/>
      <c r="B103" s="185"/>
      <c r="C103" s="185"/>
      <c r="D103" s="185"/>
      <c r="E103" s="185"/>
      <c r="F103" s="185"/>
      <c r="G103" s="185"/>
      <c r="H103" s="185"/>
      <c r="I103" s="185"/>
      <c r="J103" s="185"/>
      <c r="K103" s="185"/>
      <c r="L103" s="185"/>
      <c r="M103" s="185"/>
      <c r="N103" s="185"/>
      <c r="O103" s="185"/>
      <c r="P103" s="185"/>
      <c r="Q103" s="185"/>
      <c r="R103" s="185"/>
      <c r="S103" s="185"/>
      <c r="T103" s="185"/>
      <c r="U103" s="185"/>
      <c r="V103" s="185"/>
      <c r="W103" s="185"/>
      <c r="X103" s="185"/>
      <c r="Y103" s="185"/>
      <c r="Z103" s="185"/>
      <c r="AA103" s="185"/>
      <c r="AB103" s="185"/>
      <c r="AC103" s="185"/>
      <c r="AD103" s="185"/>
      <c r="AE103" s="185"/>
      <c r="AF103" s="185"/>
      <c r="AG103" s="185"/>
      <c r="AH103" s="185"/>
      <c r="AI103" s="185"/>
      <c r="AJ103" s="185"/>
      <c r="AK103" s="185"/>
      <c r="AL103" s="185"/>
      <c r="AM103" s="185"/>
      <c r="AN103" s="185"/>
      <c r="AO103" s="185"/>
      <c r="AP103" s="185"/>
      <c r="AQ103" s="185"/>
      <c r="AR103" s="185"/>
      <c r="AS103" s="185"/>
      <c r="AT103" s="185"/>
      <c r="AU103" s="185"/>
      <c r="AV103" s="185"/>
      <c r="AW103" s="185"/>
      <c r="AX103" s="185"/>
      <c r="AY103" s="185"/>
      <c r="AZ103" s="185"/>
      <c r="BA103" s="185"/>
      <c r="BB103" s="185"/>
      <c r="BC103" s="185"/>
      <c r="BD103" s="185"/>
      <c r="BE103" s="185"/>
      <c r="BF103" s="185"/>
      <c r="BG103" s="185"/>
      <c r="BH103" s="185"/>
      <c r="BI103" s="185"/>
      <c r="BJ103" s="185"/>
      <c r="BK103" s="186"/>
    </row>
    <row r="104" spans="1:63">
      <c r="A104" s="185"/>
      <c r="B104" s="185"/>
      <c r="C104" s="185"/>
      <c r="D104" s="185"/>
      <c r="E104" s="185"/>
      <c r="F104" s="185"/>
      <c r="G104" s="185"/>
      <c r="H104" s="185"/>
      <c r="I104" s="185"/>
      <c r="J104" s="185"/>
      <c r="K104" s="185"/>
      <c r="L104" s="185"/>
      <c r="M104" s="185"/>
      <c r="N104" s="185"/>
      <c r="O104" s="185"/>
      <c r="P104" s="185"/>
      <c r="Q104" s="185"/>
      <c r="R104" s="185"/>
      <c r="S104" s="185"/>
      <c r="T104" s="185"/>
      <c r="U104" s="185"/>
      <c r="V104" s="185"/>
      <c r="W104" s="185"/>
      <c r="X104" s="185"/>
      <c r="Y104" s="185"/>
      <c r="Z104" s="185"/>
      <c r="AA104" s="185"/>
      <c r="AB104" s="185"/>
      <c r="AC104" s="185"/>
      <c r="AD104" s="185"/>
      <c r="AE104" s="185"/>
      <c r="AF104" s="185"/>
      <c r="AG104" s="185"/>
      <c r="AH104" s="185"/>
      <c r="AI104" s="185"/>
      <c r="AJ104" s="185"/>
      <c r="AK104" s="185"/>
      <c r="AL104" s="185"/>
      <c r="AM104" s="185"/>
      <c r="AN104" s="185"/>
      <c r="AO104" s="185"/>
      <c r="AP104" s="185"/>
      <c r="AQ104" s="185"/>
      <c r="AR104" s="185"/>
      <c r="AS104" s="185"/>
      <c r="AT104" s="185"/>
      <c r="AU104" s="185"/>
      <c r="AV104" s="185"/>
      <c r="AW104" s="185"/>
      <c r="AX104" s="185"/>
      <c r="AY104" s="185"/>
      <c r="AZ104" s="185"/>
      <c r="BA104" s="185"/>
      <c r="BB104" s="185"/>
      <c r="BC104" s="185"/>
      <c r="BD104" s="185"/>
      <c r="BE104" s="185"/>
      <c r="BF104" s="185"/>
      <c r="BG104" s="185"/>
      <c r="BH104" s="185"/>
      <c r="BI104" s="185"/>
      <c r="BJ104" s="185"/>
      <c r="BK104" s="186"/>
    </row>
    <row r="105" spans="1:63">
      <c r="A105" s="185"/>
      <c r="B105" s="185"/>
      <c r="C105" s="185"/>
      <c r="D105" s="185"/>
      <c r="E105" s="185"/>
      <c r="F105" s="185"/>
      <c r="G105" s="185"/>
      <c r="H105" s="185"/>
      <c r="I105" s="185"/>
      <c r="J105" s="185"/>
      <c r="K105" s="185"/>
      <c r="L105" s="185"/>
      <c r="M105" s="185"/>
      <c r="N105" s="185"/>
      <c r="O105" s="185"/>
      <c r="P105" s="185"/>
      <c r="Q105" s="185"/>
      <c r="R105" s="185"/>
      <c r="S105" s="185"/>
      <c r="T105" s="185"/>
      <c r="U105" s="185"/>
      <c r="V105" s="185"/>
      <c r="W105" s="185"/>
      <c r="X105" s="185"/>
      <c r="Y105" s="185"/>
      <c r="Z105" s="185"/>
      <c r="AA105" s="185"/>
      <c r="AB105" s="185"/>
      <c r="AC105" s="185"/>
      <c r="AD105" s="185"/>
      <c r="AE105" s="185"/>
      <c r="AF105" s="185"/>
      <c r="AG105" s="185"/>
      <c r="AH105" s="185"/>
      <c r="AI105" s="185"/>
      <c r="AJ105" s="185"/>
      <c r="AK105" s="185"/>
      <c r="AL105" s="185"/>
      <c r="AM105" s="185"/>
      <c r="AN105" s="185"/>
      <c r="AO105" s="185"/>
      <c r="AP105" s="185"/>
      <c r="AQ105" s="185"/>
      <c r="AR105" s="185"/>
      <c r="AS105" s="185"/>
      <c r="AT105" s="185"/>
      <c r="AU105" s="185"/>
      <c r="AV105" s="185"/>
      <c r="AW105" s="185"/>
      <c r="AX105" s="185"/>
      <c r="AY105" s="185"/>
      <c r="AZ105" s="185"/>
      <c r="BA105" s="185"/>
      <c r="BB105" s="185"/>
      <c r="BC105" s="185"/>
      <c r="BD105" s="185"/>
      <c r="BE105" s="185"/>
      <c r="BF105" s="185"/>
      <c r="BG105" s="185"/>
      <c r="BH105" s="185"/>
      <c r="BI105" s="185"/>
      <c r="BJ105" s="185"/>
      <c r="BK105" s="186"/>
    </row>
    <row r="106" spans="1:63">
      <c r="A106" s="185"/>
      <c r="B106" s="185"/>
      <c r="C106" s="185"/>
      <c r="D106" s="185"/>
      <c r="E106" s="185"/>
      <c r="F106" s="185"/>
      <c r="G106" s="185"/>
      <c r="H106" s="185"/>
      <c r="I106" s="185"/>
      <c r="J106" s="185"/>
      <c r="K106" s="185"/>
      <c r="L106" s="185"/>
      <c r="M106" s="185"/>
      <c r="N106" s="185"/>
      <c r="O106" s="185"/>
      <c r="P106" s="185"/>
      <c r="Q106" s="185"/>
      <c r="R106" s="185"/>
      <c r="S106" s="185"/>
      <c r="T106" s="185"/>
      <c r="U106" s="185"/>
      <c r="V106" s="185"/>
      <c r="W106" s="185"/>
      <c r="X106" s="185"/>
      <c r="Y106" s="185"/>
      <c r="Z106" s="185"/>
      <c r="AA106" s="185"/>
      <c r="AB106" s="185"/>
      <c r="AC106" s="185"/>
      <c r="AD106" s="185"/>
      <c r="AE106" s="185"/>
      <c r="AF106" s="185"/>
      <c r="AG106" s="185"/>
      <c r="AH106" s="185"/>
      <c r="AI106" s="185"/>
      <c r="AJ106" s="185"/>
      <c r="AK106" s="185"/>
      <c r="AL106" s="185"/>
      <c r="AM106" s="185"/>
      <c r="AN106" s="185"/>
      <c r="AO106" s="185"/>
      <c r="AP106" s="185"/>
      <c r="AQ106" s="185"/>
      <c r="AR106" s="185"/>
      <c r="AS106" s="185"/>
      <c r="AT106" s="185"/>
      <c r="AU106" s="185"/>
      <c r="AV106" s="185"/>
      <c r="AW106" s="185"/>
      <c r="AX106" s="185"/>
      <c r="AY106" s="185"/>
      <c r="AZ106" s="185"/>
      <c r="BA106" s="185"/>
      <c r="BB106" s="185"/>
      <c r="BC106" s="185"/>
      <c r="BD106" s="185"/>
      <c r="BE106" s="185"/>
      <c r="BF106" s="185"/>
      <c r="BG106" s="185"/>
      <c r="BH106" s="185"/>
      <c r="BI106" s="185"/>
      <c r="BJ106" s="185"/>
      <c r="BK106" s="186"/>
    </row>
    <row r="107" spans="1:63">
      <c r="A107" s="185"/>
      <c r="B107" s="185"/>
      <c r="C107" s="185"/>
      <c r="D107" s="185"/>
      <c r="E107" s="185"/>
      <c r="F107" s="185"/>
      <c r="G107" s="185"/>
      <c r="H107" s="185"/>
      <c r="I107" s="185"/>
      <c r="J107" s="185"/>
      <c r="K107" s="185"/>
      <c r="L107" s="185"/>
      <c r="M107" s="185"/>
      <c r="N107" s="185"/>
      <c r="O107" s="185"/>
      <c r="P107" s="185"/>
      <c r="Q107" s="185"/>
      <c r="R107" s="185"/>
      <c r="S107" s="185"/>
      <c r="T107" s="185"/>
      <c r="U107" s="185"/>
      <c r="V107" s="185"/>
      <c r="W107" s="185"/>
      <c r="X107" s="185"/>
      <c r="Y107" s="185"/>
      <c r="Z107" s="185"/>
      <c r="AA107" s="185"/>
      <c r="AB107" s="185"/>
      <c r="AC107" s="185"/>
      <c r="AD107" s="185"/>
      <c r="AE107" s="185"/>
      <c r="AF107" s="185"/>
      <c r="AG107" s="185"/>
      <c r="AH107" s="185"/>
      <c r="AI107" s="185"/>
      <c r="AJ107" s="185"/>
      <c r="AK107" s="185"/>
      <c r="AL107" s="185"/>
      <c r="AM107" s="185"/>
      <c r="AN107" s="185"/>
      <c r="AO107" s="185"/>
      <c r="AP107" s="185"/>
      <c r="AQ107" s="185"/>
      <c r="AR107" s="185"/>
      <c r="AS107" s="185"/>
      <c r="AT107" s="185"/>
      <c r="AU107" s="185"/>
      <c r="AV107" s="185"/>
      <c r="AW107" s="185"/>
      <c r="AX107" s="185"/>
      <c r="AY107" s="185"/>
      <c r="AZ107" s="185"/>
      <c r="BA107" s="185"/>
      <c r="BB107" s="185"/>
      <c r="BC107" s="185"/>
      <c r="BD107" s="185"/>
      <c r="BE107" s="185"/>
      <c r="BF107" s="185"/>
      <c r="BG107" s="185"/>
      <c r="BH107" s="185"/>
      <c r="BI107" s="185"/>
      <c r="BJ107" s="185"/>
      <c r="BK107" s="186"/>
    </row>
    <row r="108" spans="1:63">
      <c r="A108" s="185"/>
      <c r="B108" s="185"/>
      <c r="C108" s="185"/>
      <c r="D108" s="185"/>
      <c r="E108" s="185"/>
      <c r="F108" s="185"/>
      <c r="G108" s="185"/>
      <c r="H108" s="185"/>
      <c r="I108" s="185"/>
      <c r="J108" s="185"/>
      <c r="K108" s="185"/>
      <c r="L108" s="185"/>
      <c r="M108" s="185"/>
      <c r="N108" s="185"/>
      <c r="O108" s="185"/>
      <c r="P108" s="185"/>
      <c r="Q108" s="185"/>
      <c r="R108" s="185"/>
      <c r="S108" s="185"/>
      <c r="T108" s="185"/>
      <c r="U108" s="185"/>
      <c r="V108" s="185"/>
      <c r="W108" s="185"/>
      <c r="X108" s="185"/>
      <c r="Y108" s="185"/>
      <c r="Z108" s="185"/>
      <c r="AA108" s="185"/>
      <c r="AB108" s="185"/>
      <c r="AC108" s="185"/>
      <c r="AD108" s="185"/>
      <c r="AE108" s="185"/>
      <c r="AF108" s="185"/>
      <c r="AG108" s="185"/>
      <c r="AH108" s="185"/>
      <c r="AI108" s="185"/>
      <c r="AJ108" s="185"/>
      <c r="AK108" s="185"/>
      <c r="AL108" s="185"/>
      <c r="AM108" s="185"/>
      <c r="AN108" s="185"/>
      <c r="AO108" s="185"/>
      <c r="AP108" s="185"/>
      <c r="AQ108" s="185"/>
      <c r="AR108" s="185"/>
      <c r="AS108" s="185"/>
      <c r="AT108" s="185"/>
      <c r="AU108" s="185"/>
      <c r="AV108" s="185"/>
      <c r="AW108" s="185"/>
      <c r="AX108" s="185"/>
      <c r="AY108" s="185"/>
      <c r="AZ108" s="185"/>
      <c r="BA108" s="185"/>
      <c r="BB108" s="185"/>
      <c r="BC108" s="185"/>
      <c r="BD108" s="185"/>
      <c r="BE108" s="185"/>
      <c r="BF108" s="185"/>
      <c r="BG108" s="185"/>
      <c r="BH108" s="185"/>
      <c r="BI108" s="185"/>
      <c r="BJ108" s="185"/>
      <c r="BK108" s="186"/>
    </row>
    <row r="109" spans="1:63">
      <c r="A109" s="185"/>
      <c r="B109" s="185"/>
      <c r="C109" s="185"/>
      <c r="D109" s="185"/>
      <c r="E109" s="185"/>
      <c r="F109" s="185"/>
      <c r="G109" s="185"/>
      <c r="H109" s="185"/>
      <c r="I109" s="185"/>
      <c r="J109" s="185"/>
      <c r="K109" s="185"/>
      <c r="L109" s="185"/>
      <c r="M109" s="185"/>
      <c r="N109" s="185"/>
      <c r="O109" s="185"/>
      <c r="P109" s="185"/>
      <c r="Q109" s="185"/>
      <c r="R109" s="185"/>
      <c r="S109" s="185"/>
      <c r="T109" s="185"/>
      <c r="U109" s="185"/>
      <c r="V109" s="185"/>
      <c r="W109" s="185"/>
      <c r="X109" s="185"/>
      <c r="Y109" s="185"/>
      <c r="Z109" s="185"/>
      <c r="AA109" s="185"/>
      <c r="AB109" s="185"/>
      <c r="AC109" s="185"/>
      <c r="AD109" s="185"/>
      <c r="AE109" s="185"/>
      <c r="AF109" s="185"/>
      <c r="AG109" s="185"/>
      <c r="AH109" s="185"/>
      <c r="AI109" s="185"/>
      <c r="AJ109" s="185"/>
      <c r="AK109" s="185"/>
      <c r="AL109" s="185"/>
      <c r="AM109" s="185"/>
      <c r="AN109" s="185"/>
      <c r="AO109" s="185"/>
      <c r="AP109" s="185"/>
      <c r="AQ109" s="185"/>
      <c r="AR109" s="185"/>
      <c r="AS109" s="185"/>
      <c r="AT109" s="185"/>
      <c r="AU109" s="185"/>
      <c r="AV109" s="185"/>
      <c r="AW109" s="185"/>
      <c r="AX109" s="185"/>
      <c r="AY109" s="185"/>
      <c r="AZ109" s="185"/>
      <c r="BA109" s="185"/>
      <c r="BB109" s="185"/>
      <c r="BC109" s="185"/>
      <c r="BD109" s="185"/>
      <c r="BE109" s="185"/>
      <c r="BF109" s="185"/>
      <c r="BG109" s="185"/>
      <c r="BH109" s="185"/>
      <c r="BI109" s="185"/>
      <c r="BJ109" s="185"/>
      <c r="BK109" s="186"/>
    </row>
    <row r="110" spans="1:63">
      <c r="A110" s="185"/>
      <c r="B110" s="185"/>
      <c r="C110" s="185"/>
      <c r="D110" s="185"/>
      <c r="E110" s="185"/>
      <c r="F110" s="185"/>
      <c r="G110" s="185"/>
      <c r="H110" s="185"/>
      <c r="I110" s="185"/>
      <c r="J110" s="185"/>
      <c r="K110" s="185"/>
      <c r="L110" s="185"/>
      <c r="M110" s="185"/>
      <c r="N110" s="185"/>
      <c r="O110" s="185"/>
      <c r="P110" s="185"/>
      <c r="Q110" s="185"/>
      <c r="R110" s="185"/>
      <c r="S110" s="185"/>
      <c r="T110" s="185"/>
      <c r="U110" s="185"/>
      <c r="V110" s="185"/>
      <c r="W110" s="185"/>
      <c r="X110" s="185"/>
      <c r="Y110" s="185"/>
      <c r="Z110" s="185"/>
      <c r="AA110" s="185"/>
      <c r="AB110" s="185"/>
      <c r="AC110" s="185"/>
      <c r="AD110" s="185"/>
      <c r="AE110" s="185"/>
      <c r="AF110" s="185"/>
      <c r="AG110" s="185"/>
      <c r="AH110" s="185"/>
      <c r="AI110" s="185"/>
      <c r="AJ110" s="185"/>
      <c r="AK110" s="185"/>
      <c r="AL110" s="185"/>
      <c r="AM110" s="185"/>
      <c r="AN110" s="185"/>
      <c r="AO110" s="185"/>
      <c r="AP110" s="185"/>
      <c r="AQ110" s="185"/>
      <c r="AR110" s="185"/>
      <c r="AS110" s="185"/>
      <c r="AT110" s="185"/>
      <c r="AU110" s="185"/>
      <c r="AV110" s="185"/>
      <c r="AW110" s="185"/>
      <c r="AX110" s="185"/>
      <c r="AY110" s="185"/>
      <c r="AZ110" s="185"/>
      <c r="BA110" s="185"/>
      <c r="BB110" s="185"/>
      <c r="BC110" s="185"/>
      <c r="BD110" s="185"/>
      <c r="BE110" s="185"/>
      <c r="BF110" s="185"/>
      <c r="BG110" s="185"/>
      <c r="BH110" s="185"/>
      <c r="BI110" s="185"/>
      <c r="BJ110" s="185"/>
      <c r="BK110" s="186"/>
    </row>
    <row r="111" spans="1:63">
      <c r="A111" s="185"/>
      <c r="B111" s="185"/>
      <c r="C111" s="185"/>
      <c r="D111" s="185"/>
      <c r="E111" s="185"/>
      <c r="F111" s="185"/>
      <c r="G111" s="185"/>
      <c r="H111" s="185"/>
      <c r="I111" s="185"/>
      <c r="J111" s="185"/>
      <c r="K111" s="185"/>
      <c r="L111" s="185"/>
      <c r="M111" s="185"/>
      <c r="N111" s="185"/>
      <c r="O111" s="185"/>
      <c r="P111" s="185"/>
      <c r="Q111" s="185"/>
      <c r="R111" s="185"/>
      <c r="S111" s="185"/>
      <c r="T111" s="185"/>
      <c r="U111" s="185"/>
      <c r="V111" s="185"/>
      <c r="W111" s="185"/>
      <c r="X111" s="185"/>
      <c r="Y111" s="185"/>
      <c r="Z111" s="185"/>
      <c r="AA111" s="185"/>
      <c r="AB111" s="185"/>
      <c r="AC111" s="185"/>
      <c r="AD111" s="185"/>
      <c r="AE111" s="185"/>
      <c r="AF111" s="185"/>
      <c r="AG111" s="185"/>
      <c r="AH111" s="185"/>
      <c r="AI111" s="185"/>
      <c r="AJ111" s="185"/>
      <c r="AK111" s="185"/>
      <c r="AL111" s="185"/>
      <c r="AM111" s="185"/>
      <c r="AN111" s="185"/>
      <c r="AO111" s="185"/>
      <c r="AP111" s="185"/>
      <c r="AQ111" s="185"/>
      <c r="AR111" s="185"/>
      <c r="AS111" s="185"/>
      <c r="AT111" s="185"/>
      <c r="AU111" s="185"/>
      <c r="AV111" s="185"/>
      <c r="AW111" s="185"/>
      <c r="AX111" s="185"/>
      <c r="AY111" s="185"/>
      <c r="AZ111" s="185"/>
      <c r="BA111" s="185"/>
      <c r="BB111" s="185"/>
      <c r="BC111" s="185"/>
      <c r="BD111" s="185"/>
      <c r="BE111" s="185"/>
      <c r="BF111" s="185"/>
      <c r="BG111" s="185"/>
      <c r="BH111" s="185"/>
      <c r="BI111" s="185"/>
      <c r="BJ111" s="185"/>
      <c r="BK111" s="186"/>
    </row>
    <row r="112" spans="1:63">
      <c r="A112" s="185"/>
      <c r="B112" s="185"/>
      <c r="C112" s="185"/>
      <c r="D112" s="185"/>
      <c r="E112" s="185"/>
      <c r="F112" s="185"/>
      <c r="G112" s="185"/>
      <c r="H112" s="185"/>
      <c r="I112" s="185"/>
      <c r="J112" s="185"/>
      <c r="K112" s="185"/>
      <c r="L112" s="185"/>
      <c r="M112" s="185"/>
      <c r="N112" s="185"/>
      <c r="O112" s="185"/>
      <c r="P112" s="185"/>
      <c r="Q112" s="185"/>
      <c r="R112" s="185"/>
      <c r="S112" s="185"/>
      <c r="T112" s="185"/>
      <c r="U112" s="185"/>
      <c r="V112" s="185"/>
      <c r="W112" s="185"/>
      <c r="X112" s="185"/>
      <c r="Y112" s="185"/>
      <c r="Z112" s="185"/>
      <c r="AA112" s="185"/>
      <c r="AB112" s="185"/>
      <c r="AC112" s="185"/>
      <c r="AD112" s="185"/>
      <c r="AE112" s="185"/>
      <c r="AF112" s="185"/>
      <c r="AG112" s="185"/>
      <c r="AH112" s="185"/>
      <c r="AI112" s="185"/>
      <c r="AJ112" s="185"/>
      <c r="AK112" s="185"/>
      <c r="AL112" s="185"/>
      <c r="AM112" s="185"/>
      <c r="AN112" s="185"/>
      <c r="AO112" s="185"/>
      <c r="AP112" s="185"/>
      <c r="AQ112" s="185"/>
      <c r="AR112" s="185"/>
      <c r="AS112" s="185"/>
      <c r="AT112" s="185"/>
      <c r="AU112" s="185"/>
      <c r="AV112" s="185"/>
      <c r="AW112" s="185"/>
      <c r="AX112" s="185"/>
      <c r="AY112" s="185"/>
      <c r="AZ112" s="185"/>
      <c r="BA112" s="185"/>
      <c r="BB112" s="185"/>
      <c r="BC112" s="185"/>
      <c r="BD112" s="185"/>
      <c r="BE112" s="185"/>
      <c r="BF112" s="185"/>
      <c r="BG112" s="185"/>
      <c r="BH112" s="185"/>
      <c r="BI112" s="185"/>
      <c r="BJ112" s="185"/>
      <c r="BK112" s="186"/>
    </row>
    <row r="113" spans="1:63">
      <c r="A113" s="185"/>
      <c r="B113" s="185"/>
      <c r="C113" s="185"/>
      <c r="D113" s="185"/>
      <c r="E113" s="185"/>
      <c r="F113" s="185"/>
      <c r="G113" s="185"/>
      <c r="H113" s="185"/>
      <c r="I113" s="185"/>
      <c r="J113" s="185"/>
      <c r="K113" s="185"/>
      <c r="L113" s="185"/>
      <c r="M113" s="185"/>
      <c r="N113" s="185"/>
      <c r="O113" s="185"/>
      <c r="P113" s="185"/>
      <c r="Q113" s="185"/>
      <c r="R113" s="185"/>
      <c r="S113" s="185"/>
      <c r="T113" s="185"/>
      <c r="U113" s="185"/>
      <c r="V113" s="185"/>
      <c r="W113" s="185"/>
      <c r="X113" s="185"/>
      <c r="Y113" s="185"/>
      <c r="Z113" s="185"/>
      <c r="AA113" s="185"/>
      <c r="AB113" s="185"/>
      <c r="AC113" s="185"/>
      <c r="AD113" s="185"/>
      <c r="AE113" s="185"/>
      <c r="AF113" s="185"/>
      <c r="AG113" s="185"/>
      <c r="AH113" s="185"/>
      <c r="AI113" s="185"/>
      <c r="AJ113" s="185"/>
      <c r="AK113" s="185"/>
      <c r="AL113" s="185"/>
      <c r="AM113" s="185"/>
      <c r="AN113" s="185"/>
      <c r="AO113" s="185"/>
      <c r="AP113" s="185"/>
      <c r="AQ113" s="185"/>
      <c r="AR113" s="185"/>
      <c r="AS113" s="185"/>
      <c r="AT113" s="185"/>
      <c r="AU113" s="185"/>
      <c r="AV113" s="185"/>
      <c r="AW113" s="185"/>
      <c r="AX113" s="185"/>
      <c r="AY113" s="185"/>
      <c r="AZ113" s="185"/>
      <c r="BA113" s="185"/>
      <c r="BB113" s="185"/>
      <c r="BC113" s="185"/>
      <c r="BD113" s="185"/>
      <c r="BE113" s="185"/>
      <c r="BF113" s="185"/>
      <c r="BG113" s="185"/>
      <c r="BH113" s="185"/>
      <c r="BI113" s="185"/>
      <c r="BJ113" s="185"/>
      <c r="BK113" s="186"/>
    </row>
    <row r="114" spans="1:63">
      <c r="A114" s="185"/>
      <c r="B114" s="185"/>
      <c r="C114" s="185"/>
      <c r="D114" s="185"/>
      <c r="E114" s="185"/>
      <c r="F114" s="185"/>
      <c r="G114" s="185"/>
      <c r="H114" s="185"/>
      <c r="I114" s="185"/>
      <c r="J114" s="185"/>
      <c r="K114" s="185"/>
      <c r="L114" s="185"/>
      <c r="M114" s="185"/>
      <c r="N114" s="185"/>
      <c r="O114" s="185"/>
      <c r="P114" s="185"/>
      <c r="Q114" s="185"/>
      <c r="R114" s="185"/>
      <c r="S114" s="185"/>
      <c r="T114" s="185"/>
      <c r="U114" s="185"/>
      <c r="V114" s="185"/>
      <c r="W114" s="185"/>
      <c r="X114" s="185"/>
      <c r="Y114" s="185"/>
      <c r="Z114" s="185"/>
      <c r="AA114" s="185"/>
      <c r="AB114" s="185"/>
      <c r="AC114" s="185"/>
      <c r="AD114" s="185"/>
      <c r="AE114" s="185"/>
      <c r="AF114" s="185"/>
      <c r="AG114" s="185"/>
      <c r="AH114" s="185"/>
      <c r="AI114" s="185"/>
      <c r="AJ114" s="185"/>
      <c r="AK114" s="185"/>
      <c r="AL114" s="185"/>
      <c r="AM114" s="185"/>
      <c r="AN114" s="185"/>
      <c r="AO114" s="185"/>
      <c r="AP114" s="185"/>
      <c r="AQ114" s="185"/>
      <c r="AR114" s="185"/>
      <c r="AS114" s="185"/>
      <c r="AT114" s="185"/>
      <c r="AU114" s="185"/>
      <c r="AV114" s="185"/>
      <c r="AW114" s="185"/>
      <c r="AX114" s="185"/>
      <c r="AY114" s="185"/>
      <c r="AZ114" s="185"/>
      <c r="BA114" s="185"/>
      <c r="BB114" s="185"/>
      <c r="BC114" s="185"/>
      <c r="BD114" s="185"/>
      <c r="BE114" s="185"/>
      <c r="BF114" s="185"/>
      <c r="BG114" s="185"/>
      <c r="BH114" s="185"/>
      <c r="BI114" s="185"/>
      <c r="BJ114" s="185"/>
      <c r="BK114" s="186"/>
    </row>
    <row r="115" spans="1:63">
      <c r="A115" s="185"/>
      <c r="B115" s="185"/>
      <c r="C115" s="185"/>
      <c r="D115" s="185"/>
      <c r="E115" s="185"/>
      <c r="F115" s="185"/>
      <c r="G115" s="185"/>
      <c r="H115" s="185"/>
      <c r="I115" s="185"/>
      <c r="J115" s="185"/>
      <c r="K115" s="185"/>
      <c r="L115" s="185"/>
      <c r="M115" s="185"/>
      <c r="N115" s="185"/>
      <c r="O115" s="185"/>
      <c r="P115" s="185"/>
      <c r="Q115" s="185"/>
      <c r="R115" s="185"/>
      <c r="S115" s="185"/>
      <c r="T115" s="185"/>
      <c r="U115" s="185"/>
      <c r="V115" s="185"/>
      <c r="W115" s="185"/>
      <c r="X115" s="185"/>
      <c r="Y115" s="185"/>
      <c r="Z115" s="185"/>
      <c r="AA115" s="185"/>
      <c r="AB115" s="185"/>
      <c r="AC115" s="185"/>
      <c r="AD115" s="185"/>
      <c r="AE115" s="185"/>
      <c r="AF115" s="185"/>
      <c r="AG115" s="185"/>
      <c r="AH115" s="185"/>
      <c r="AI115" s="185"/>
      <c r="AJ115" s="185"/>
      <c r="AK115" s="185"/>
      <c r="AL115" s="185"/>
      <c r="AM115" s="185"/>
      <c r="AN115" s="185"/>
      <c r="AO115" s="185"/>
      <c r="AP115" s="185"/>
      <c r="AQ115" s="185"/>
      <c r="AR115" s="185"/>
      <c r="AS115" s="185"/>
      <c r="AT115" s="185"/>
      <c r="AU115" s="185"/>
      <c r="AV115" s="185"/>
      <c r="AW115" s="185"/>
      <c r="AX115" s="185"/>
      <c r="AY115" s="185"/>
      <c r="AZ115" s="185"/>
      <c r="BA115" s="185"/>
      <c r="BB115" s="185"/>
      <c r="BC115" s="185"/>
      <c r="BD115" s="185"/>
      <c r="BE115" s="185"/>
      <c r="BF115" s="185"/>
      <c r="BG115" s="185"/>
      <c r="BH115" s="185"/>
      <c r="BI115" s="185"/>
      <c r="BJ115" s="185"/>
      <c r="BK115" s="186"/>
    </row>
    <row r="116" spans="1:63">
      <c r="A116" s="185"/>
      <c r="B116" s="185"/>
      <c r="C116" s="185"/>
      <c r="D116" s="185"/>
      <c r="E116" s="185"/>
      <c r="F116" s="185"/>
      <c r="G116" s="185"/>
      <c r="H116" s="185"/>
      <c r="I116" s="185"/>
      <c r="J116" s="185"/>
      <c r="K116" s="185"/>
      <c r="L116" s="185"/>
      <c r="M116" s="185"/>
      <c r="N116" s="185"/>
      <c r="O116" s="185"/>
      <c r="P116" s="185"/>
      <c r="Q116" s="185"/>
      <c r="R116" s="185"/>
      <c r="S116" s="185"/>
      <c r="T116" s="185"/>
      <c r="U116" s="185"/>
      <c r="V116" s="185"/>
      <c r="W116" s="185"/>
      <c r="X116" s="185"/>
      <c r="Y116" s="185"/>
      <c r="Z116" s="185"/>
      <c r="AA116" s="185"/>
      <c r="AB116" s="185"/>
      <c r="AC116" s="185"/>
      <c r="AD116" s="185"/>
      <c r="AE116" s="185"/>
      <c r="AF116" s="185"/>
      <c r="AG116" s="185"/>
      <c r="AH116" s="185"/>
      <c r="AI116" s="185"/>
      <c r="AJ116" s="185"/>
      <c r="AK116" s="185"/>
      <c r="AL116" s="185"/>
      <c r="AM116" s="185"/>
      <c r="AN116" s="185"/>
      <c r="AO116" s="185"/>
      <c r="AP116" s="185"/>
      <c r="AQ116" s="185"/>
      <c r="AR116" s="185"/>
      <c r="AS116" s="185"/>
      <c r="AT116" s="185"/>
      <c r="AU116" s="185"/>
      <c r="AV116" s="185"/>
      <c r="AW116" s="185"/>
      <c r="AX116" s="185"/>
      <c r="AY116" s="185"/>
      <c r="AZ116" s="185"/>
      <c r="BA116" s="185"/>
      <c r="BB116" s="185"/>
      <c r="BC116" s="185"/>
      <c r="BD116" s="185"/>
      <c r="BE116" s="185"/>
      <c r="BF116" s="185"/>
      <c r="BG116" s="185"/>
      <c r="BH116" s="185"/>
      <c r="BI116" s="185"/>
      <c r="BJ116" s="185"/>
      <c r="BK116" s="186"/>
    </row>
    <row r="117" spans="1:63">
      <c r="A117" s="185"/>
      <c r="B117" s="185"/>
      <c r="C117" s="185"/>
      <c r="D117" s="185"/>
      <c r="E117" s="185"/>
      <c r="F117" s="185"/>
      <c r="G117" s="185"/>
      <c r="H117" s="185"/>
      <c r="I117" s="185"/>
      <c r="J117" s="185"/>
      <c r="K117" s="185"/>
      <c r="L117" s="185"/>
      <c r="M117" s="185"/>
      <c r="N117" s="185"/>
      <c r="O117" s="185"/>
      <c r="P117" s="185"/>
      <c r="Q117" s="185"/>
      <c r="R117" s="185"/>
      <c r="S117" s="185"/>
      <c r="T117" s="185"/>
      <c r="U117" s="185"/>
      <c r="V117" s="185"/>
      <c r="W117" s="185"/>
      <c r="X117" s="185"/>
      <c r="Y117" s="185"/>
      <c r="Z117" s="185"/>
      <c r="AA117" s="185"/>
      <c r="AB117" s="185"/>
      <c r="AC117" s="185"/>
      <c r="AD117" s="185"/>
      <c r="AE117" s="185"/>
      <c r="AF117" s="185"/>
      <c r="AG117" s="185"/>
      <c r="AH117" s="185"/>
      <c r="AI117" s="185"/>
      <c r="AJ117" s="185"/>
      <c r="AK117" s="185"/>
      <c r="AL117" s="185"/>
      <c r="AM117" s="185"/>
      <c r="AN117" s="185"/>
      <c r="AO117" s="185"/>
      <c r="AP117" s="185"/>
      <c r="AQ117" s="185"/>
      <c r="AR117" s="185"/>
      <c r="AS117" s="185"/>
      <c r="AT117" s="185"/>
      <c r="AU117" s="185"/>
      <c r="AV117" s="185"/>
      <c r="AW117" s="185"/>
      <c r="AX117" s="185"/>
      <c r="AY117" s="185"/>
      <c r="AZ117" s="185"/>
      <c r="BA117" s="185"/>
      <c r="BB117" s="185"/>
      <c r="BC117" s="185"/>
      <c r="BD117" s="185"/>
      <c r="BE117" s="185"/>
      <c r="BF117" s="185"/>
      <c r="BG117" s="185"/>
      <c r="BH117" s="185"/>
      <c r="BI117" s="185"/>
      <c r="BJ117" s="185"/>
      <c r="BK117" s="186"/>
    </row>
    <row r="118" spans="1:63">
      <c r="A118" s="185"/>
      <c r="B118" s="185"/>
      <c r="C118" s="185"/>
      <c r="D118" s="185"/>
      <c r="E118" s="185"/>
      <c r="F118" s="185"/>
      <c r="G118" s="185"/>
      <c r="H118" s="185"/>
      <c r="I118" s="185"/>
      <c r="J118" s="185"/>
      <c r="K118" s="185"/>
      <c r="L118" s="185"/>
      <c r="M118" s="185"/>
      <c r="N118" s="185"/>
      <c r="O118" s="185"/>
      <c r="P118" s="185"/>
      <c r="Q118" s="185"/>
      <c r="R118" s="185"/>
      <c r="S118" s="185"/>
      <c r="T118" s="185"/>
      <c r="U118" s="185"/>
      <c r="V118" s="185"/>
      <c r="W118" s="185"/>
      <c r="X118" s="185"/>
      <c r="Y118" s="185"/>
      <c r="Z118" s="185"/>
      <c r="AA118" s="185"/>
      <c r="AB118" s="185"/>
      <c r="AC118" s="185"/>
      <c r="AD118" s="185"/>
      <c r="AE118" s="185"/>
      <c r="AF118" s="185"/>
      <c r="AG118" s="185"/>
      <c r="AH118" s="185"/>
      <c r="AI118" s="185"/>
      <c r="AJ118" s="185"/>
      <c r="AK118" s="185"/>
      <c r="AL118" s="185"/>
      <c r="AM118" s="185"/>
      <c r="AN118" s="185"/>
      <c r="AO118" s="185"/>
      <c r="AP118" s="185"/>
      <c r="AQ118" s="185"/>
      <c r="AR118" s="185"/>
      <c r="AS118" s="185"/>
      <c r="AT118" s="185"/>
      <c r="AU118" s="185"/>
      <c r="AV118" s="185"/>
      <c r="AW118" s="185"/>
      <c r="AX118" s="185"/>
      <c r="AY118" s="185"/>
      <c r="AZ118" s="185"/>
      <c r="BA118" s="185"/>
      <c r="BB118" s="185"/>
      <c r="BC118" s="185"/>
      <c r="BD118" s="185"/>
      <c r="BE118" s="185"/>
      <c r="BF118" s="185"/>
      <c r="BG118" s="185"/>
      <c r="BH118" s="185"/>
      <c r="BI118" s="185"/>
      <c r="BJ118" s="185"/>
      <c r="BK118" s="186"/>
    </row>
    <row r="119" spans="1:63">
      <c r="A119" s="185"/>
      <c r="B119" s="185"/>
      <c r="C119" s="185"/>
      <c r="D119" s="185"/>
      <c r="E119" s="185"/>
      <c r="F119" s="185"/>
      <c r="G119" s="185"/>
      <c r="H119" s="185"/>
      <c r="I119" s="185"/>
      <c r="J119" s="185"/>
      <c r="K119" s="185"/>
      <c r="L119" s="185"/>
      <c r="M119" s="185"/>
      <c r="N119" s="185"/>
      <c r="O119" s="185"/>
      <c r="P119" s="185"/>
      <c r="Q119" s="185"/>
      <c r="R119" s="185"/>
      <c r="S119" s="185"/>
      <c r="T119" s="185"/>
      <c r="U119" s="185"/>
      <c r="V119" s="185"/>
      <c r="W119" s="185"/>
      <c r="X119" s="185"/>
      <c r="Y119" s="185"/>
      <c r="Z119" s="185"/>
      <c r="AA119" s="185"/>
      <c r="AB119" s="185"/>
      <c r="AC119" s="185"/>
      <c r="AD119" s="185"/>
      <c r="AE119" s="185"/>
      <c r="AF119" s="185"/>
      <c r="AG119" s="185"/>
      <c r="AH119" s="185"/>
      <c r="AI119" s="185"/>
      <c r="AJ119" s="185"/>
      <c r="AK119" s="185"/>
      <c r="AL119" s="185"/>
      <c r="AM119" s="185"/>
      <c r="AN119" s="185"/>
      <c r="AO119" s="185"/>
      <c r="AP119" s="185"/>
      <c r="AQ119" s="185"/>
      <c r="AR119" s="185"/>
      <c r="AS119" s="185"/>
      <c r="AT119" s="185"/>
      <c r="AU119" s="185"/>
      <c r="AV119" s="185"/>
      <c r="AW119" s="185"/>
      <c r="AX119" s="185"/>
      <c r="AY119" s="185"/>
      <c r="AZ119" s="185"/>
      <c r="BA119" s="185"/>
      <c r="BB119" s="185"/>
      <c r="BC119" s="185"/>
      <c r="BD119" s="185"/>
      <c r="BE119" s="185"/>
      <c r="BF119" s="185"/>
      <c r="BG119" s="185"/>
      <c r="BH119" s="185"/>
      <c r="BI119" s="185"/>
      <c r="BJ119" s="185"/>
      <c r="BK119" s="186"/>
    </row>
    <row r="120" spans="1:63">
      <c r="A120" s="185"/>
      <c r="B120" s="185"/>
      <c r="C120" s="185"/>
      <c r="D120" s="185"/>
      <c r="E120" s="185"/>
      <c r="F120" s="185"/>
      <c r="G120" s="185"/>
      <c r="H120" s="185"/>
      <c r="I120" s="185"/>
      <c r="J120" s="185"/>
      <c r="K120" s="185"/>
      <c r="L120" s="185"/>
      <c r="M120" s="185"/>
      <c r="N120" s="185"/>
      <c r="O120" s="185"/>
      <c r="P120" s="185"/>
      <c r="Q120" s="185"/>
      <c r="R120" s="185"/>
      <c r="S120" s="185"/>
      <c r="T120" s="185"/>
      <c r="U120" s="185"/>
      <c r="V120" s="185"/>
      <c r="W120" s="185"/>
      <c r="X120" s="185"/>
      <c r="Y120" s="185"/>
      <c r="Z120" s="185"/>
      <c r="AA120" s="185"/>
      <c r="AB120" s="185"/>
      <c r="AC120" s="185"/>
      <c r="AD120" s="185"/>
      <c r="AE120" s="185"/>
      <c r="AF120" s="185"/>
      <c r="AG120" s="185"/>
      <c r="AH120" s="185"/>
      <c r="AI120" s="185"/>
      <c r="AJ120" s="185"/>
      <c r="AK120" s="185"/>
      <c r="AL120" s="185"/>
      <c r="AM120" s="185"/>
      <c r="AN120" s="185"/>
      <c r="AO120" s="185"/>
      <c r="AP120" s="185"/>
      <c r="AQ120" s="185"/>
      <c r="AR120" s="185"/>
      <c r="AS120" s="185"/>
      <c r="AT120" s="185"/>
      <c r="AU120" s="185"/>
      <c r="AV120" s="185"/>
      <c r="AW120" s="185"/>
      <c r="AX120" s="185"/>
      <c r="AY120" s="185"/>
      <c r="AZ120" s="185"/>
      <c r="BA120" s="185"/>
      <c r="BB120" s="185"/>
      <c r="BC120" s="185"/>
      <c r="BD120" s="185"/>
      <c r="BE120" s="185"/>
      <c r="BF120" s="185"/>
      <c r="BG120" s="185"/>
      <c r="BH120" s="185"/>
      <c r="BI120" s="185"/>
      <c r="BJ120" s="185"/>
      <c r="BK120" s="186"/>
    </row>
    <row r="121" spans="1:63">
      <c r="A121" s="185"/>
      <c r="B121" s="185"/>
      <c r="C121" s="185"/>
      <c r="D121" s="185"/>
      <c r="E121" s="185"/>
      <c r="F121" s="185"/>
      <c r="G121" s="185"/>
      <c r="H121" s="185"/>
      <c r="I121" s="185"/>
      <c r="J121" s="185"/>
      <c r="K121" s="185"/>
      <c r="L121" s="185"/>
      <c r="M121" s="185"/>
      <c r="N121" s="185"/>
      <c r="O121" s="185"/>
      <c r="P121" s="185"/>
      <c r="Q121" s="185"/>
      <c r="R121" s="185"/>
      <c r="S121" s="185"/>
      <c r="T121" s="185"/>
      <c r="U121" s="185"/>
      <c r="V121" s="185"/>
      <c r="W121" s="185"/>
      <c r="X121" s="185"/>
      <c r="Y121" s="185"/>
      <c r="Z121" s="185"/>
      <c r="AA121" s="185"/>
      <c r="AB121" s="185"/>
      <c r="AC121" s="185"/>
      <c r="AD121" s="185"/>
      <c r="AE121" s="185"/>
      <c r="AF121" s="185"/>
      <c r="AG121" s="185"/>
      <c r="AH121" s="185"/>
      <c r="AI121" s="185"/>
      <c r="AJ121" s="185"/>
      <c r="AK121" s="185"/>
      <c r="AL121" s="185"/>
      <c r="AM121" s="185"/>
      <c r="AN121" s="185"/>
      <c r="AO121" s="185"/>
      <c r="AP121" s="185"/>
      <c r="AQ121" s="185"/>
      <c r="AR121" s="185"/>
      <c r="AS121" s="185"/>
      <c r="AT121" s="185"/>
      <c r="AU121" s="185"/>
      <c r="AV121" s="185"/>
      <c r="AW121" s="185"/>
      <c r="AX121" s="185"/>
      <c r="AY121" s="185"/>
      <c r="AZ121" s="185"/>
      <c r="BA121" s="185"/>
      <c r="BB121" s="185"/>
      <c r="BC121" s="185"/>
      <c r="BD121" s="185"/>
      <c r="BE121" s="185"/>
      <c r="BF121" s="185"/>
      <c r="BG121" s="185"/>
      <c r="BH121" s="185"/>
      <c r="BI121" s="185"/>
      <c r="BJ121" s="185"/>
      <c r="BK121" s="186"/>
    </row>
    <row r="122" spans="1:63">
      <c r="A122" s="185"/>
      <c r="B122" s="185"/>
      <c r="C122" s="185"/>
      <c r="D122" s="185"/>
      <c r="E122" s="185"/>
      <c r="F122" s="185"/>
      <c r="G122" s="185"/>
      <c r="H122" s="185"/>
      <c r="I122" s="185"/>
      <c r="J122" s="185"/>
      <c r="K122" s="185"/>
      <c r="L122" s="185"/>
      <c r="M122" s="185"/>
      <c r="N122" s="185"/>
      <c r="O122" s="185"/>
      <c r="P122" s="185"/>
      <c r="Q122" s="185"/>
      <c r="R122" s="185"/>
      <c r="S122" s="185"/>
      <c r="T122" s="185"/>
      <c r="U122" s="185"/>
      <c r="V122" s="185"/>
      <c r="W122" s="185"/>
      <c r="X122" s="185"/>
      <c r="Y122" s="185"/>
      <c r="Z122" s="185"/>
      <c r="AA122" s="185"/>
      <c r="AB122" s="185"/>
      <c r="AC122" s="185"/>
      <c r="AD122" s="185"/>
      <c r="AE122" s="185"/>
      <c r="AF122" s="185"/>
      <c r="AG122" s="185"/>
      <c r="AH122" s="185"/>
      <c r="AI122" s="185"/>
      <c r="AJ122" s="185"/>
      <c r="AK122" s="185"/>
      <c r="AL122" s="185"/>
      <c r="AM122" s="185"/>
      <c r="AN122" s="185"/>
      <c r="AO122" s="185"/>
      <c r="AP122" s="185"/>
      <c r="AQ122" s="185"/>
      <c r="AR122" s="185"/>
      <c r="AS122" s="185"/>
      <c r="AT122" s="185"/>
      <c r="AU122" s="185"/>
      <c r="AV122" s="185"/>
      <c r="AW122" s="185"/>
      <c r="AX122" s="185"/>
      <c r="AY122" s="185"/>
      <c r="AZ122" s="185"/>
      <c r="BA122" s="185"/>
      <c r="BB122" s="185"/>
      <c r="BC122" s="185"/>
      <c r="BD122" s="185"/>
      <c r="BE122" s="185"/>
      <c r="BF122" s="185"/>
      <c r="BG122" s="185"/>
      <c r="BH122" s="185"/>
      <c r="BI122" s="185"/>
      <c r="BJ122" s="185"/>
      <c r="BK122" s="186"/>
    </row>
    <row r="123" spans="1:63">
      <c r="A123" s="185"/>
      <c r="B123" s="185"/>
      <c r="C123" s="185"/>
      <c r="D123" s="185"/>
      <c r="E123" s="185"/>
      <c r="F123" s="185"/>
      <c r="G123" s="185"/>
      <c r="H123" s="185"/>
      <c r="I123" s="185"/>
      <c r="J123" s="185"/>
      <c r="K123" s="185"/>
      <c r="L123" s="185"/>
      <c r="M123" s="185"/>
      <c r="N123" s="185"/>
      <c r="O123" s="185"/>
      <c r="P123" s="185"/>
      <c r="Q123" s="185"/>
      <c r="R123" s="185"/>
      <c r="S123" s="185"/>
      <c r="T123" s="185"/>
      <c r="U123" s="185"/>
      <c r="V123" s="185"/>
      <c r="W123" s="185"/>
      <c r="X123" s="185"/>
      <c r="Y123" s="185"/>
      <c r="Z123" s="185"/>
      <c r="AA123" s="185"/>
      <c r="AB123" s="185"/>
      <c r="AC123" s="185"/>
      <c r="AD123" s="185"/>
      <c r="AE123" s="185"/>
      <c r="AF123" s="185"/>
      <c r="AG123" s="185"/>
      <c r="AH123" s="185"/>
      <c r="AI123" s="185"/>
      <c r="AJ123" s="185"/>
      <c r="AK123" s="185"/>
      <c r="AL123" s="185"/>
      <c r="AM123" s="185"/>
      <c r="AN123" s="185"/>
      <c r="AO123" s="185"/>
      <c r="AP123" s="185"/>
      <c r="AQ123" s="185"/>
      <c r="AR123" s="185"/>
      <c r="AS123" s="185"/>
      <c r="AT123" s="185"/>
      <c r="AU123" s="185"/>
      <c r="AV123" s="185"/>
      <c r="AW123" s="185"/>
      <c r="AX123" s="185"/>
      <c r="AY123" s="185"/>
      <c r="AZ123" s="185"/>
      <c r="BA123" s="185"/>
      <c r="BB123" s="185"/>
      <c r="BC123" s="185"/>
      <c r="BD123" s="185"/>
      <c r="BE123" s="185"/>
      <c r="BF123" s="185"/>
      <c r="BG123" s="185"/>
      <c r="BH123" s="185"/>
      <c r="BI123" s="185"/>
      <c r="BJ123" s="185"/>
      <c r="BK123" s="186"/>
    </row>
    <row r="124" spans="1:63">
      <c r="A124" s="185"/>
      <c r="B124" s="185"/>
      <c r="C124" s="185"/>
      <c r="D124" s="185"/>
      <c r="E124" s="185"/>
      <c r="F124" s="185"/>
      <c r="G124" s="185"/>
      <c r="H124" s="185"/>
      <c r="I124" s="185"/>
      <c r="J124" s="185"/>
      <c r="K124" s="185"/>
      <c r="L124" s="185"/>
      <c r="M124" s="185"/>
      <c r="N124" s="185"/>
      <c r="O124" s="185"/>
      <c r="P124" s="185"/>
      <c r="Q124" s="185"/>
      <c r="R124" s="185"/>
      <c r="S124" s="185"/>
      <c r="T124" s="185"/>
      <c r="U124" s="185"/>
      <c r="V124" s="185"/>
      <c r="W124" s="185"/>
      <c r="X124" s="185"/>
      <c r="Y124" s="185"/>
      <c r="Z124" s="185"/>
      <c r="AA124" s="185"/>
      <c r="AB124" s="185"/>
      <c r="AC124" s="185"/>
      <c r="AD124" s="185"/>
      <c r="AE124" s="185"/>
      <c r="AF124" s="185"/>
      <c r="AG124" s="185"/>
      <c r="AH124" s="185"/>
      <c r="AI124" s="185"/>
      <c r="AJ124" s="185"/>
      <c r="AK124" s="185"/>
      <c r="AL124" s="185"/>
      <c r="AM124" s="185"/>
      <c r="AN124" s="185"/>
      <c r="AO124" s="185"/>
      <c r="AP124" s="185"/>
      <c r="AQ124" s="185"/>
      <c r="AR124" s="185"/>
      <c r="AS124" s="185"/>
      <c r="AT124" s="185"/>
      <c r="AU124" s="185"/>
      <c r="AV124" s="185"/>
      <c r="AW124" s="185"/>
      <c r="AX124" s="185"/>
      <c r="AY124" s="185"/>
      <c r="AZ124" s="185"/>
      <c r="BA124" s="185"/>
      <c r="BB124" s="185"/>
      <c r="BC124" s="185"/>
      <c r="BD124" s="185"/>
      <c r="BE124" s="185"/>
      <c r="BF124" s="185"/>
      <c r="BG124" s="185"/>
      <c r="BH124" s="185"/>
      <c r="BI124" s="185"/>
      <c r="BJ124" s="185"/>
      <c r="BK124" s="186"/>
    </row>
    <row r="125" spans="1:63">
      <c r="A125" s="185"/>
      <c r="B125" s="185"/>
      <c r="C125" s="185"/>
      <c r="D125" s="185"/>
      <c r="E125" s="185"/>
      <c r="F125" s="185"/>
      <c r="G125" s="185"/>
      <c r="H125" s="185"/>
      <c r="I125" s="185"/>
      <c r="J125" s="185"/>
      <c r="K125" s="185"/>
      <c r="L125" s="185"/>
      <c r="M125" s="185"/>
      <c r="N125" s="185"/>
      <c r="O125" s="185"/>
      <c r="P125" s="185"/>
      <c r="Q125" s="185"/>
      <c r="R125" s="185"/>
      <c r="S125" s="185"/>
      <c r="T125" s="185"/>
      <c r="U125" s="185"/>
      <c r="V125" s="185"/>
      <c r="W125" s="185"/>
      <c r="X125" s="185"/>
      <c r="Y125" s="185"/>
      <c r="Z125" s="185"/>
      <c r="AA125" s="185"/>
      <c r="AB125" s="185"/>
      <c r="AC125" s="185"/>
      <c r="AD125" s="185"/>
      <c r="AE125" s="185"/>
      <c r="AF125" s="185"/>
      <c r="AG125" s="185"/>
      <c r="AH125" s="185"/>
      <c r="AI125" s="185"/>
      <c r="AJ125" s="185"/>
      <c r="AK125" s="185"/>
      <c r="AL125" s="185"/>
      <c r="AM125" s="185"/>
      <c r="AN125" s="185"/>
      <c r="AO125" s="185"/>
      <c r="AP125" s="185"/>
      <c r="AQ125" s="185"/>
      <c r="AR125" s="185"/>
      <c r="AS125" s="185"/>
      <c r="AT125" s="185"/>
      <c r="AU125" s="185"/>
      <c r="AV125" s="185"/>
      <c r="AW125" s="185"/>
      <c r="AX125" s="185"/>
      <c r="AY125" s="185"/>
      <c r="AZ125" s="185"/>
      <c r="BA125" s="185"/>
      <c r="BB125" s="185"/>
      <c r="BC125" s="185"/>
      <c r="BD125" s="185"/>
      <c r="BE125" s="185"/>
      <c r="BF125" s="185"/>
      <c r="BG125" s="185"/>
      <c r="BH125" s="185"/>
      <c r="BI125" s="185"/>
      <c r="BJ125" s="185"/>
      <c r="BK125" s="186"/>
    </row>
    <row r="126" spans="1:63">
      <c r="A126" s="185"/>
      <c r="B126" s="185"/>
      <c r="C126" s="185"/>
      <c r="D126" s="185"/>
      <c r="E126" s="185"/>
      <c r="F126" s="185"/>
      <c r="G126" s="185"/>
      <c r="H126" s="185"/>
      <c r="I126" s="185"/>
      <c r="J126" s="185"/>
      <c r="K126" s="185"/>
      <c r="L126" s="185"/>
      <c r="M126" s="185"/>
      <c r="N126" s="185"/>
      <c r="O126" s="185"/>
      <c r="P126" s="185"/>
      <c r="Q126" s="185"/>
      <c r="R126" s="185"/>
      <c r="S126" s="185"/>
      <c r="T126" s="185"/>
      <c r="U126" s="185"/>
      <c r="V126" s="185"/>
      <c r="W126" s="185"/>
      <c r="X126" s="185"/>
      <c r="Y126" s="185"/>
      <c r="Z126" s="185"/>
      <c r="AA126" s="185"/>
      <c r="AB126" s="185"/>
      <c r="AC126" s="185"/>
      <c r="AD126" s="185"/>
      <c r="AE126" s="185"/>
      <c r="AF126" s="185"/>
      <c r="AG126" s="185"/>
      <c r="AH126" s="185"/>
      <c r="AI126" s="185"/>
      <c r="AJ126" s="185"/>
      <c r="AK126" s="185"/>
      <c r="AL126" s="185"/>
      <c r="AM126" s="185"/>
      <c r="AN126" s="185"/>
      <c r="AO126" s="185"/>
      <c r="AP126" s="185"/>
      <c r="AQ126" s="185"/>
      <c r="AR126" s="185"/>
      <c r="AS126" s="185"/>
      <c r="AT126" s="185"/>
      <c r="AU126" s="185"/>
      <c r="AV126" s="185"/>
      <c r="AW126" s="185"/>
      <c r="AX126" s="185"/>
      <c r="AY126" s="185"/>
      <c r="AZ126" s="185"/>
      <c r="BA126" s="185"/>
      <c r="BB126" s="185"/>
      <c r="BC126" s="185"/>
      <c r="BD126" s="185"/>
      <c r="BE126" s="185"/>
      <c r="BF126" s="185"/>
      <c r="BG126" s="185"/>
      <c r="BH126" s="185"/>
      <c r="BI126" s="185"/>
      <c r="BJ126" s="185"/>
      <c r="BK126" s="186"/>
    </row>
    <row r="127" spans="1:63">
      <c r="A127" s="185"/>
      <c r="B127" s="185"/>
      <c r="C127" s="185"/>
      <c r="D127" s="185"/>
      <c r="E127" s="185"/>
      <c r="F127" s="185"/>
      <c r="G127" s="185"/>
      <c r="H127" s="185"/>
      <c r="I127" s="185"/>
      <c r="J127" s="185"/>
      <c r="K127" s="185"/>
      <c r="L127" s="185"/>
      <c r="M127" s="185"/>
      <c r="N127" s="185"/>
      <c r="O127" s="185"/>
      <c r="P127" s="185"/>
      <c r="Q127" s="185"/>
      <c r="R127" s="185"/>
      <c r="S127" s="185"/>
      <c r="T127" s="185"/>
      <c r="U127" s="185"/>
      <c r="V127" s="185"/>
      <c r="W127" s="185"/>
      <c r="X127" s="185"/>
      <c r="Y127" s="185"/>
      <c r="Z127" s="185"/>
      <c r="AA127" s="185"/>
      <c r="AB127" s="185"/>
      <c r="AC127" s="185"/>
      <c r="AD127" s="185"/>
      <c r="AE127" s="185"/>
      <c r="AF127" s="185"/>
      <c r="AG127" s="185"/>
      <c r="AH127" s="185"/>
      <c r="AI127" s="185"/>
      <c r="AJ127" s="185"/>
      <c r="AK127" s="185"/>
      <c r="AL127" s="185"/>
      <c r="AM127" s="185"/>
      <c r="AN127" s="185"/>
      <c r="AO127" s="185"/>
      <c r="AP127" s="185"/>
      <c r="AQ127" s="185"/>
      <c r="AR127" s="185"/>
      <c r="AS127" s="185"/>
      <c r="AT127" s="185"/>
      <c r="AU127" s="185"/>
      <c r="AV127" s="185"/>
      <c r="AW127" s="185"/>
      <c r="AX127" s="185"/>
      <c r="AY127" s="185"/>
      <c r="AZ127" s="185"/>
      <c r="BA127" s="185"/>
      <c r="BB127" s="185"/>
      <c r="BC127" s="185"/>
      <c r="BD127" s="185"/>
      <c r="BE127" s="185"/>
      <c r="BF127" s="185"/>
      <c r="BG127" s="185"/>
      <c r="BH127" s="185"/>
      <c r="BI127" s="185"/>
      <c r="BJ127" s="185"/>
      <c r="BK127" s="186"/>
    </row>
    <row r="128" spans="1:63">
      <c r="A128" s="185"/>
      <c r="B128" s="185"/>
      <c r="C128" s="185"/>
      <c r="D128" s="185"/>
      <c r="E128" s="185"/>
      <c r="F128" s="185"/>
      <c r="G128" s="185"/>
      <c r="H128" s="185"/>
      <c r="I128" s="185"/>
      <c r="J128" s="185"/>
      <c r="K128" s="185"/>
      <c r="L128" s="185"/>
      <c r="M128" s="185"/>
      <c r="N128" s="185"/>
      <c r="O128" s="185"/>
      <c r="P128" s="185"/>
      <c r="Q128" s="185"/>
      <c r="R128" s="185"/>
      <c r="S128" s="185"/>
      <c r="T128" s="185"/>
      <c r="U128" s="185"/>
      <c r="V128" s="185"/>
      <c r="W128" s="185"/>
      <c r="X128" s="185"/>
      <c r="Y128" s="185"/>
      <c r="Z128" s="185"/>
      <c r="AA128" s="185"/>
      <c r="AB128" s="185"/>
      <c r="AC128" s="185"/>
      <c r="AD128" s="185"/>
      <c r="AE128" s="185"/>
      <c r="AF128" s="185"/>
      <c r="AG128" s="185"/>
      <c r="AH128" s="185"/>
      <c r="AI128" s="185"/>
      <c r="AJ128" s="185"/>
      <c r="AK128" s="185"/>
      <c r="AL128" s="185"/>
      <c r="AM128" s="185"/>
      <c r="AN128" s="185"/>
      <c r="AO128" s="185"/>
      <c r="AP128" s="185"/>
      <c r="AQ128" s="185"/>
      <c r="AR128" s="185"/>
      <c r="AS128" s="185"/>
      <c r="AT128" s="185"/>
      <c r="AU128" s="185"/>
      <c r="AV128" s="185"/>
      <c r="AW128" s="185"/>
      <c r="AX128" s="185"/>
      <c r="AY128" s="185"/>
      <c r="AZ128" s="185"/>
      <c r="BA128" s="185"/>
      <c r="BB128" s="185"/>
      <c r="BC128" s="185"/>
      <c r="BD128" s="185"/>
      <c r="BE128" s="185"/>
      <c r="BF128" s="185"/>
      <c r="BG128" s="185"/>
      <c r="BH128" s="185"/>
      <c r="BI128" s="185"/>
      <c r="BJ128" s="185"/>
      <c r="BK128" s="186"/>
    </row>
    <row r="129" spans="1:63">
      <c r="A129" s="185"/>
      <c r="B129" s="185"/>
      <c r="C129" s="185"/>
      <c r="D129" s="185"/>
      <c r="E129" s="185"/>
      <c r="F129" s="185"/>
      <c r="G129" s="185"/>
      <c r="H129" s="185"/>
      <c r="I129" s="185"/>
      <c r="J129" s="185"/>
      <c r="K129" s="185"/>
      <c r="L129" s="185"/>
      <c r="M129" s="185"/>
      <c r="N129" s="185"/>
      <c r="O129" s="185"/>
      <c r="P129" s="185"/>
      <c r="Q129" s="185"/>
      <c r="R129" s="185"/>
      <c r="S129" s="185"/>
      <c r="T129" s="185"/>
      <c r="U129" s="185"/>
      <c r="V129" s="185"/>
      <c r="W129" s="185"/>
      <c r="X129" s="185"/>
      <c r="Y129" s="185"/>
      <c r="Z129" s="185"/>
      <c r="AA129" s="185"/>
      <c r="AB129" s="185"/>
      <c r="AC129" s="185"/>
      <c r="AD129" s="185"/>
      <c r="AE129" s="185"/>
      <c r="AF129" s="185"/>
      <c r="AG129" s="185"/>
      <c r="AH129" s="185"/>
      <c r="AI129" s="185"/>
      <c r="AJ129" s="185"/>
      <c r="AK129" s="185"/>
      <c r="AL129" s="185"/>
      <c r="AM129" s="185"/>
      <c r="AN129" s="185"/>
      <c r="AO129" s="185"/>
      <c r="AP129" s="185"/>
      <c r="AQ129" s="185"/>
      <c r="AR129" s="185"/>
      <c r="AS129" s="185"/>
      <c r="AT129" s="185"/>
      <c r="AU129" s="185"/>
      <c r="AV129" s="185"/>
      <c r="AW129" s="185"/>
      <c r="AX129" s="185"/>
      <c r="AY129" s="185"/>
      <c r="AZ129" s="185"/>
      <c r="BA129" s="185"/>
      <c r="BB129" s="185"/>
      <c r="BC129" s="185"/>
      <c r="BD129" s="185"/>
      <c r="BE129" s="185"/>
      <c r="BF129" s="185"/>
      <c r="BG129" s="185"/>
      <c r="BH129" s="185"/>
      <c r="BI129" s="185"/>
      <c r="BJ129" s="185"/>
      <c r="BK129" s="186"/>
    </row>
    <row r="130" spans="1:63">
      <c r="A130" s="185"/>
      <c r="B130" s="185"/>
      <c r="C130" s="185"/>
      <c r="D130" s="185"/>
      <c r="E130" s="185"/>
      <c r="F130" s="185"/>
      <c r="G130" s="185"/>
      <c r="H130" s="185"/>
      <c r="I130" s="185"/>
      <c r="J130" s="185"/>
      <c r="K130" s="185"/>
      <c r="L130" s="185"/>
      <c r="M130" s="185"/>
      <c r="N130" s="185"/>
      <c r="O130" s="185"/>
      <c r="P130" s="185"/>
      <c r="Q130" s="185"/>
      <c r="R130" s="185"/>
      <c r="S130" s="185"/>
      <c r="T130" s="185"/>
      <c r="U130" s="185"/>
      <c r="V130" s="185"/>
      <c r="W130" s="185"/>
      <c r="X130" s="185"/>
      <c r="Y130" s="185"/>
      <c r="Z130" s="185"/>
      <c r="AA130" s="185"/>
      <c r="AB130" s="185"/>
      <c r="AC130" s="185"/>
      <c r="AD130" s="185"/>
      <c r="AE130" s="185"/>
      <c r="AF130" s="185"/>
      <c r="AG130" s="185"/>
      <c r="AH130" s="185"/>
      <c r="AI130" s="185"/>
      <c r="AJ130" s="185"/>
      <c r="AK130" s="185"/>
      <c r="AL130" s="185"/>
      <c r="AM130" s="185"/>
      <c r="AN130" s="185"/>
      <c r="AO130" s="185"/>
      <c r="AP130" s="185"/>
      <c r="AQ130" s="185"/>
      <c r="AR130" s="185"/>
      <c r="AS130" s="185"/>
      <c r="AT130" s="185"/>
      <c r="AU130" s="185"/>
      <c r="AV130" s="185"/>
      <c r="AW130" s="185"/>
      <c r="AX130" s="185"/>
      <c r="AY130" s="185"/>
      <c r="AZ130" s="185"/>
      <c r="BA130" s="185"/>
      <c r="BB130" s="185"/>
      <c r="BC130" s="185"/>
      <c r="BD130" s="185"/>
      <c r="BE130" s="185"/>
      <c r="BF130" s="185"/>
      <c r="BG130" s="185"/>
      <c r="BH130" s="185"/>
      <c r="BI130" s="185"/>
      <c r="BJ130" s="185"/>
      <c r="BK130" s="186"/>
    </row>
    <row r="131" spans="1:63">
      <c r="A131" s="185"/>
      <c r="B131" s="185"/>
      <c r="C131" s="185"/>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6"/>
    </row>
    <row r="132" spans="1:63">
      <c r="A132" s="185"/>
      <c r="B132" s="185"/>
      <c r="C132" s="185"/>
      <c r="D132" s="185"/>
      <c r="E132" s="185"/>
      <c r="F132" s="185"/>
      <c r="G132" s="185"/>
      <c r="H132" s="185"/>
      <c r="I132" s="185"/>
      <c r="J132" s="185"/>
      <c r="K132" s="185"/>
      <c r="L132" s="185"/>
      <c r="M132" s="185"/>
      <c r="N132" s="185"/>
      <c r="O132" s="185"/>
      <c r="P132" s="185"/>
      <c r="Q132" s="185"/>
      <c r="R132" s="185"/>
      <c r="S132" s="185"/>
      <c r="T132" s="185"/>
      <c r="U132" s="185"/>
      <c r="V132" s="185"/>
      <c r="W132" s="185"/>
      <c r="X132" s="185"/>
      <c r="Y132" s="185"/>
      <c r="Z132" s="185"/>
      <c r="AA132" s="185"/>
      <c r="AB132" s="185"/>
      <c r="AC132" s="185"/>
      <c r="AD132" s="185"/>
      <c r="AE132" s="185"/>
      <c r="AF132" s="185"/>
      <c r="AG132" s="185"/>
      <c r="AH132" s="185"/>
      <c r="AI132" s="185"/>
      <c r="AJ132" s="185"/>
      <c r="AK132" s="185"/>
      <c r="AL132" s="185"/>
      <c r="AM132" s="185"/>
      <c r="AN132" s="185"/>
      <c r="AO132" s="185"/>
      <c r="AP132" s="185"/>
      <c r="AQ132" s="185"/>
      <c r="AR132" s="185"/>
      <c r="AS132" s="185"/>
      <c r="AT132" s="185"/>
      <c r="AU132" s="185"/>
      <c r="AV132" s="185"/>
      <c r="AW132" s="185"/>
      <c r="AX132" s="185"/>
      <c r="AY132" s="185"/>
      <c r="AZ132" s="185"/>
      <c r="BA132" s="185"/>
      <c r="BB132" s="185"/>
      <c r="BC132" s="185"/>
      <c r="BD132" s="185"/>
      <c r="BE132" s="185"/>
      <c r="BF132" s="185"/>
      <c r="BG132" s="185"/>
      <c r="BH132" s="185"/>
      <c r="BI132" s="185"/>
      <c r="BJ132" s="185"/>
      <c r="BK132" s="186"/>
    </row>
    <row r="133" spans="1:63">
      <c r="A133" s="185"/>
      <c r="B133" s="185"/>
      <c r="C133" s="185"/>
      <c r="D133" s="185"/>
      <c r="E133" s="185"/>
      <c r="F133" s="185"/>
      <c r="G133" s="185"/>
      <c r="H133" s="185"/>
      <c r="I133" s="185"/>
      <c r="J133" s="185"/>
      <c r="K133" s="185"/>
      <c r="L133" s="185"/>
      <c r="M133" s="185"/>
      <c r="N133" s="185"/>
      <c r="O133" s="185"/>
      <c r="P133" s="185"/>
      <c r="Q133" s="185"/>
      <c r="R133" s="185"/>
      <c r="S133" s="185"/>
      <c r="T133" s="185"/>
      <c r="U133" s="185"/>
      <c r="V133" s="185"/>
      <c r="W133" s="185"/>
      <c r="X133" s="185"/>
      <c r="Y133" s="185"/>
      <c r="Z133" s="185"/>
      <c r="AA133" s="185"/>
      <c r="AB133" s="185"/>
      <c r="AC133" s="185"/>
      <c r="AD133" s="185"/>
      <c r="AE133" s="185"/>
      <c r="AF133" s="185"/>
      <c r="AG133" s="185"/>
      <c r="AH133" s="185"/>
      <c r="AI133" s="185"/>
      <c r="AJ133" s="185"/>
      <c r="AK133" s="185"/>
      <c r="AL133" s="185"/>
      <c r="AM133" s="185"/>
      <c r="AN133" s="185"/>
      <c r="AO133" s="185"/>
      <c r="AP133" s="185"/>
      <c r="AQ133" s="185"/>
      <c r="AR133" s="185"/>
      <c r="AS133" s="185"/>
      <c r="AT133" s="185"/>
      <c r="AU133" s="185"/>
      <c r="AV133" s="185"/>
      <c r="AW133" s="185"/>
      <c r="AX133" s="185"/>
      <c r="AY133" s="185"/>
      <c r="AZ133" s="185"/>
      <c r="BA133" s="185"/>
      <c r="BB133" s="185"/>
      <c r="BC133" s="185"/>
      <c r="BD133" s="185"/>
      <c r="BE133" s="185"/>
      <c r="BF133" s="185"/>
      <c r="BG133" s="185"/>
      <c r="BH133" s="185"/>
      <c r="BI133" s="185"/>
      <c r="BJ133" s="185"/>
      <c r="BK133" s="186"/>
    </row>
    <row r="134" spans="1:63">
      <c r="A134" s="185"/>
      <c r="B134" s="185"/>
      <c r="C134" s="185"/>
      <c r="D134" s="185"/>
      <c r="E134" s="185"/>
      <c r="F134" s="185"/>
      <c r="G134" s="185"/>
      <c r="H134" s="185"/>
      <c r="I134" s="185"/>
      <c r="J134" s="185"/>
      <c r="K134" s="185"/>
      <c r="L134" s="185"/>
      <c r="M134" s="185"/>
      <c r="N134" s="185"/>
      <c r="O134" s="185"/>
      <c r="P134" s="185"/>
      <c r="Q134" s="185"/>
      <c r="R134" s="185"/>
      <c r="S134" s="185"/>
      <c r="T134" s="185"/>
      <c r="U134" s="185"/>
      <c r="V134" s="185"/>
      <c r="W134" s="185"/>
      <c r="X134" s="185"/>
      <c r="Y134" s="185"/>
      <c r="Z134" s="185"/>
      <c r="AA134" s="185"/>
      <c r="AB134" s="185"/>
      <c r="AC134" s="185"/>
      <c r="AD134" s="185"/>
      <c r="AE134" s="185"/>
      <c r="AF134" s="185"/>
      <c r="AG134" s="185"/>
      <c r="AH134" s="185"/>
      <c r="AI134" s="185"/>
      <c r="AJ134" s="185"/>
      <c r="AK134" s="185"/>
      <c r="AL134" s="185"/>
      <c r="AM134" s="185"/>
      <c r="AN134" s="185"/>
      <c r="AO134" s="185"/>
      <c r="AP134" s="185"/>
      <c r="AQ134" s="185"/>
      <c r="AR134" s="185"/>
      <c r="AS134" s="185"/>
      <c r="AT134" s="185"/>
      <c r="AU134" s="185"/>
      <c r="AV134" s="185"/>
      <c r="AW134" s="185"/>
      <c r="AX134" s="185"/>
      <c r="AY134" s="185"/>
      <c r="AZ134" s="185"/>
      <c r="BA134" s="185"/>
      <c r="BB134" s="185"/>
      <c r="BC134" s="185"/>
      <c r="BD134" s="185"/>
      <c r="BE134" s="185"/>
      <c r="BF134" s="185"/>
      <c r="BG134" s="185"/>
      <c r="BH134" s="185"/>
      <c r="BI134" s="185"/>
      <c r="BJ134" s="185"/>
      <c r="BK134" s="186"/>
    </row>
    <row r="135" spans="1:63">
      <c r="A135" s="185"/>
      <c r="B135" s="185"/>
      <c r="C135" s="185"/>
      <c r="D135" s="185"/>
      <c r="E135" s="185"/>
      <c r="F135" s="185"/>
      <c r="G135" s="185"/>
      <c r="H135" s="185"/>
      <c r="I135" s="185"/>
      <c r="J135" s="185"/>
      <c r="K135" s="185"/>
      <c r="L135" s="185"/>
      <c r="M135" s="185"/>
      <c r="N135" s="185"/>
      <c r="O135" s="185"/>
      <c r="P135" s="185"/>
      <c r="Q135" s="185"/>
      <c r="R135" s="185"/>
      <c r="S135" s="185"/>
      <c r="T135" s="185"/>
      <c r="U135" s="185"/>
      <c r="V135" s="185"/>
      <c r="W135" s="185"/>
      <c r="X135" s="185"/>
      <c r="Y135" s="185"/>
      <c r="Z135" s="185"/>
      <c r="AA135" s="185"/>
      <c r="AB135" s="185"/>
      <c r="AC135" s="185"/>
      <c r="AD135" s="185"/>
      <c r="AE135" s="185"/>
      <c r="AF135" s="185"/>
      <c r="AG135" s="185"/>
      <c r="AH135" s="185"/>
      <c r="AI135" s="185"/>
      <c r="AJ135" s="185"/>
      <c r="AK135" s="185"/>
      <c r="AL135" s="185"/>
      <c r="AM135" s="185"/>
      <c r="AN135" s="185"/>
      <c r="AO135" s="185"/>
      <c r="AP135" s="185"/>
      <c r="AQ135" s="185"/>
      <c r="AR135" s="185"/>
      <c r="AS135" s="185"/>
      <c r="AT135" s="185"/>
      <c r="AU135" s="185"/>
      <c r="AV135" s="185"/>
      <c r="AW135" s="185"/>
      <c r="AX135" s="185"/>
      <c r="AY135" s="185"/>
      <c r="AZ135" s="185"/>
      <c r="BA135" s="185"/>
      <c r="BB135" s="185"/>
      <c r="BC135" s="185"/>
      <c r="BD135" s="185"/>
      <c r="BE135" s="185"/>
      <c r="BF135" s="185"/>
      <c r="BG135" s="185"/>
      <c r="BH135" s="185"/>
      <c r="BI135" s="185"/>
      <c r="BJ135" s="185"/>
      <c r="BK135" s="186"/>
    </row>
    <row r="136" spans="1:63">
      <c r="A136" s="185"/>
      <c r="B136" s="185"/>
      <c r="C136" s="185"/>
      <c r="D136" s="185"/>
      <c r="E136" s="185"/>
      <c r="F136" s="185"/>
      <c r="G136" s="185"/>
      <c r="H136" s="185"/>
      <c r="I136" s="185"/>
      <c r="J136" s="185"/>
      <c r="K136" s="185"/>
      <c r="L136" s="185"/>
      <c r="M136" s="185"/>
      <c r="N136" s="185"/>
      <c r="O136" s="185"/>
      <c r="P136" s="185"/>
      <c r="Q136" s="185"/>
      <c r="R136" s="185"/>
      <c r="S136" s="185"/>
      <c r="T136" s="185"/>
      <c r="U136" s="185"/>
      <c r="V136" s="185"/>
      <c r="W136" s="185"/>
      <c r="X136" s="185"/>
      <c r="Y136" s="185"/>
      <c r="Z136" s="185"/>
      <c r="AA136" s="185"/>
      <c r="AB136" s="185"/>
      <c r="AC136" s="185"/>
      <c r="AD136" s="185"/>
      <c r="AE136" s="185"/>
      <c r="AF136" s="185"/>
      <c r="AG136" s="185"/>
      <c r="AH136" s="185"/>
      <c r="AI136" s="185"/>
      <c r="AJ136" s="185"/>
      <c r="AK136" s="185"/>
      <c r="AL136" s="185"/>
      <c r="AM136" s="185"/>
      <c r="AN136" s="185"/>
      <c r="AO136" s="185"/>
      <c r="AP136" s="185"/>
      <c r="AQ136" s="185"/>
      <c r="AR136" s="185"/>
      <c r="AS136" s="185"/>
      <c r="AT136" s="185"/>
      <c r="AU136" s="185"/>
      <c r="AV136" s="185"/>
      <c r="AW136" s="185"/>
      <c r="AX136" s="185"/>
      <c r="AY136" s="185"/>
      <c r="AZ136" s="185"/>
      <c r="BA136" s="185"/>
      <c r="BB136" s="185"/>
      <c r="BC136" s="185"/>
      <c r="BD136" s="185"/>
      <c r="BE136" s="185"/>
      <c r="BF136" s="185"/>
      <c r="BG136" s="185"/>
      <c r="BH136" s="185"/>
      <c r="BI136" s="185"/>
      <c r="BJ136" s="185"/>
      <c r="BK136" s="186"/>
    </row>
    <row r="137" spans="1:63">
      <c r="A137" s="185"/>
      <c r="B137" s="185"/>
      <c r="C137" s="185"/>
      <c r="D137" s="185"/>
      <c r="E137" s="185"/>
      <c r="F137" s="185"/>
      <c r="G137" s="185"/>
      <c r="H137" s="185"/>
      <c r="I137" s="185"/>
      <c r="J137" s="185"/>
      <c r="K137" s="185"/>
      <c r="L137" s="185"/>
      <c r="M137" s="185"/>
      <c r="N137" s="185"/>
      <c r="O137" s="185"/>
      <c r="P137" s="185"/>
      <c r="Q137" s="185"/>
      <c r="R137" s="185"/>
      <c r="S137" s="185"/>
      <c r="T137" s="185"/>
      <c r="U137" s="185"/>
      <c r="V137" s="185"/>
      <c r="W137" s="185"/>
      <c r="X137" s="185"/>
      <c r="Y137" s="185"/>
      <c r="Z137" s="185"/>
      <c r="AA137" s="185"/>
      <c r="AB137" s="185"/>
      <c r="AC137" s="185"/>
      <c r="AD137" s="185"/>
      <c r="AE137" s="185"/>
      <c r="AF137" s="185"/>
      <c r="AG137" s="185"/>
      <c r="AH137" s="185"/>
      <c r="AI137" s="185"/>
      <c r="AJ137" s="185"/>
      <c r="AK137" s="185"/>
      <c r="AL137" s="185"/>
      <c r="AM137" s="185"/>
      <c r="AN137" s="185"/>
      <c r="AO137" s="185"/>
      <c r="AP137" s="185"/>
      <c r="AQ137" s="185"/>
      <c r="AR137" s="185"/>
      <c r="AS137" s="185"/>
      <c r="AT137" s="185"/>
      <c r="AU137" s="185"/>
      <c r="AV137" s="185"/>
      <c r="AW137" s="185"/>
      <c r="AX137" s="185"/>
      <c r="AY137" s="185"/>
      <c r="AZ137" s="185"/>
      <c r="BA137" s="185"/>
      <c r="BB137" s="185"/>
      <c r="BC137" s="185"/>
      <c r="BD137" s="185"/>
      <c r="BE137" s="185"/>
      <c r="BF137" s="185"/>
      <c r="BG137" s="185"/>
      <c r="BH137" s="185"/>
      <c r="BI137" s="185"/>
      <c r="BJ137" s="185"/>
      <c r="BK137" s="186"/>
    </row>
    <row r="138" spans="1:63">
      <c r="A138" s="185"/>
      <c r="B138" s="185"/>
      <c r="C138" s="185"/>
      <c r="D138" s="185"/>
      <c r="E138" s="185"/>
      <c r="F138" s="185"/>
      <c r="G138" s="185"/>
      <c r="H138" s="185"/>
      <c r="I138" s="185"/>
      <c r="J138" s="185"/>
      <c r="K138" s="185"/>
      <c r="L138" s="185"/>
      <c r="M138" s="185"/>
      <c r="N138" s="185"/>
      <c r="O138" s="185"/>
      <c r="P138" s="185"/>
      <c r="Q138" s="185"/>
      <c r="R138" s="185"/>
      <c r="S138" s="185"/>
      <c r="T138" s="185"/>
      <c r="U138" s="185"/>
      <c r="V138" s="185"/>
      <c r="W138" s="185"/>
      <c r="X138" s="185"/>
      <c r="Y138" s="185"/>
      <c r="Z138" s="185"/>
      <c r="AA138" s="185"/>
      <c r="AB138" s="185"/>
      <c r="AC138" s="185"/>
      <c r="AD138" s="185"/>
      <c r="AE138" s="185"/>
      <c r="AF138" s="185"/>
      <c r="AG138" s="185"/>
      <c r="AH138" s="185"/>
      <c r="AI138" s="185"/>
      <c r="AJ138" s="185"/>
      <c r="AK138" s="185"/>
      <c r="AL138" s="185"/>
      <c r="AM138" s="185"/>
      <c r="AN138" s="185"/>
      <c r="AO138" s="185"/>
      <c r="AP138" s="185"/>
      <c r="AQ138" s="185"/>
      <c r="AR138" s="185"/>
      <c r="AS138" s="185"/>
      <c r="AT138" s="185"/>
      <c r="AU138" s="185"/>
      <c r="AV138" s="185"/>
      <c r="AW138" s="185"/>
      <c r="AX138" s="185"/>
      <c r="AY138" s="185"/>
      <c r="AZ138" s="185"/>
      <c r="BA138" s="185"/>
      <c r="BB138" s="185"/>
      <c r="BC138" s="185"/>
      <c r="BD138" s="185"/>
      <c r="BE138" s="185"/>
      <c r="BF138" s="185"/>
      <c r="BG138" s="185"/>
      <c r="BH138" s="185"/>
      <c r="BI138" s="185"/>
      <c r="BJ138" s="185"/>
      <c r="BK138" s="186"/>
    </row>
    <row r="139" spans="1:63">
      <c r="A139" s="185"/>
      <c r="B139" s="185"/>
      <c r="C139" s="185"/>
      <c r="D139" s="185"/>
      <c r="E139" s="185"/>
      <c r="F139" s="185"/>
      <c r="G139" s="185"/>
      <c r="H139" s="185"/>
      <c r="I139" s="185"/>
      <c r="J139" s="185"/>
      <c r="K139" s="185"/>
      <c r="L139" s="185"/>
      <c r="M139" s="185"/>
      <c r="N139" s="185"/>
      <c r="O139" s="185"/>
      <c r="P139" s="185"/>
      <c r="Q139" s="185"/>
      <c r="R139" s="185"/>
      <c r="S139" s="185"/>
      <c r="T139" s="185"/>
      <c r="U139" s="185"/>
      <c r="V139" s="185"/>
      <c r="W139" s="185"/>
      <c r="X139" s="185"/>
      <c r="Y139" s="185"/>
      <c r="Z139" s="185"/>
      <c r="AA139" s="185"/>
      <c r="AB139" s="185"/>
      <c r="AC139" s="185"/>
      <c r="AD139" s="185"/>
      <c r="AE139" s="185"/>
      <c r="AF139" s="185"/>
      <c r="AG139" s="185"/>
      <c r="AH139" s="185"/>
      <c r="AI139" s="185"/>
      <c r="AJ139" s="185"/>
      <c r="AK139" s="185"/>
      <c r="AL139" s="185"/>
      <c r="AM139" s="185"/>
      <c r="AN139" s="185"/>
      <c r="AO139" s="185"/>
      <c r="AP139" s="185"/>
      <c r="AQ139" s="185"/>
      <c r="AR139" s="185"/>
      <c r="AS139" s="185"/>
      <c r="AT139" s="185"/>
      <c r="AU139" s="185"/>
      <c r="AV139" s="185"/>
      <c r="AW139" s="185"/>
      <c r="AX139" s="185"/>
      <c r="AY139" s="185"/>
      <c r="AZ139" s="185"/>
      <c r="BA139" s="185"/>
      <c r="BB139" s="185"/>
      <c r="BC139" s="185"/>
      <c r="BD139" s="185"/>
      <c r="BE139" s="185"/>
      <c r="BF139" s="185"/>
      <c r="BG139" s="185"/>
      <c r="BH139" s="185"/>
      <c r="BI139" s="185"/>
      <c r="BJ139" s="185"/>
      <c r="BK139" s="186"/>
    </row>
    <row r="140" spans="1:63">
      <c r="A140" s="185"/>
      <c r="B140" s="185"/>
      <c r="C140" s="185"/>
      <c r="D140" s="185"/>
      <c r="E140" s="185"/>
      <c r="F140" s="185"/>
      <c r="G140" s="185"/>
      <c r="H140" s="185"/>
      <c r="I140" s="185"/>
      <c r="J140" s="185"/>
      <c r="K140" s="185"/>
      <c r="L140" s="185"/>
      <c r="M140" s="185"/>
      <c r="N140" s="185"/>
      <c r="O140" s="185"/>
      <c r="P140" s="185"/>
      <c r="Q140" s="185"/>
      <c r="R140" s="185"/>
      <c r="S140" s="185"/>
      <c r="T140" s="185"/>
      <c r="U140" s="185"/>
      <c r="V140" s="185"/>
      <c r="W140" s="185"/>
      <c r="X140" s="185"/>
      <c r="Y140" s="185"/>
      <c r="Z140" s="185"/>
      <c r="AA140" s="185"/>
      <c r="AB140" s="185"/>
      <c r="AC140" s="185"/>
      <c r="AD140" s="185"/>
      <c r="AE140" s="185"/>
      <c r="AF140" s="185"/>
      <c r="AG140" s="185"/>
      <c r="AH140" s="185"/>
      <c r="AI140" s="185"/>
      <c r="AJ140" s="185"/>
      <c r="AK140" s="185"/>
      <c r="AL140" s="185"/>
      <c r="AM140" s="185"/>
      <c r="AN140" s="185"/>
      <c r="AO140" s="185"/>
      <c r="AP140" s="185"/>
      <c r="AQ140" s="185"/>
      <c r="AR140" s="185"/>
      <c r="AS140" s="185"/>
      <c r="AT140" s="185"/>
      <c r="AU140" s="185"/>
      <c r="AV140" s="185"/>
      <c r="AW140" s="185"/>
      <c r="AX140" s="185"/>
      <c r="AY140" s="185"/>
      <c r="AZ140" s="185"/>
      <c r="BA140" s="185"/>
      <c r="BB140" s="185"/>
      <c r="BC140" s="185"/>
      <c r="BD140" s="185"/>
      <c r="BE140" s="185"/>
      <c r="BF140" s="185"/>
      <c r="BG140" s="185"/>
      <c r="BH140" s="185"/>
      <c r="BI140" s="185"/>
      <c r="BJ140" s="185"/>
      <c r="BK140" s="186"/>
    </row>
    <row r="141" spans="1:63">
      <c r="A141" s="185"/>
      <c r="B141" s="185"/>
      <c r="C141" s="185"/>
      <c r="D141" s="185"/>
      <c r="E141" s="185"/>
      <c r="F141" s="185"/>
      <c r="G141" s="185"/>
      <c r="H141" s="185"/>
      <c r="I141" s="185"/>
      <c r="J141" s="185"/>
      <c r="K141" s="185"/>
      <c r="L141" s="185"/>
      <c r="M141" s="185"/>
      <c r="N141" s="185"/>
      <c r="O141" s="185"/>
      <c r="P141" s="185"/>
      <c r="Q141" s="185"/>
      <c r="R141" s="185"/>
      <c r="S141" s="185"/>
      <c r="T141" s="185"/>
      <c r="U141" s="185"/>
      <c r="V141" s="185"/>
      <c r="W141" s="185"/>
      <c r="X141" s="185"/>
      <c r="Y141" s="185"/>
      <c r="Z141" s="185"/>
      <c r="AA141" s="185"/>
      <c r="AB141" s="185"/>
      <c r="AC141" s="185"/>
      <c r="AD141" s="185"/>
      <c r="AE141" s="185"/>
      <c r="AF141" s="185"/>
      <c r="AG141" s="185"/>
      <c r="AH141" s="185"/>
      <c r="AI141" s="185"/>
      <c r="AJ141" s="185"/>
      <c r="AK141" s="185"/>
      <c r="AL141" s="185"/>
      <c r="AM141" s="185"/>
      <c r="AN141" s="185"/>
      <c r="AO141" s="185"/>
      <c r="AP141" s="185"/>
      <c r="AQ141" s="185"/>
      <c r="AR141" s="185"/>
      <c r="AS141" s="185"/>
      <c r="AT141" s="185"/>
      <c r="AU141" s="185"/>
      <c r="AV141" s="185"/>
      <c r="AW141" s="185"/>
      <c r="AX141" s="185"/>
      <c r="AY141" s="185"/>
      <c r="AZ141" s="185"/>
      <c r="BA141" s="185"/>
      <c r="BB141" s="185"/>
      <c r="BC141" s="185"/>
      <c r="BD141" s="185"/>
      <c r="BE141" s="185"/>
      <c r="BF141" s="185"/>
      <c r="BG141" s="185"/>
      <c r="BH141" s="185"/>
      <c r="BI141" s="185"/>
      <c r="BJ141" s="185"/>
      <c r="BK141" s="186"/>
    </row>
    <row r="142" spans="1:63">
      <c r="A142" s="185"/>
      <c r="B142" s="185"/>
      <c r="C142" s="185"/>
      <c r="D142" s="185"/>
      <c r="E142" s="185"/>
      <c r="F142" s="185"/>
      <c r="G142" s="185"/>
      <c r="H142" s="185"/>
      <c r="I142" s="185"/>
      <c r="J142" s="185"/>
      <c r="K142" s="185"/>
      <c r="L142" s="185"/>
      <c r="M142" s="185"/>
      <c r="N142" s="185"/>
      <c r="O142" s="185"/>
      <c r="P142" s="185"/>
      <c r="Q142" s="185"/>
      <c r="R142" s="185"/>
      <c r="S142" s="185"/>
      <c r="T142" s="185"/>
      <c r="U142" s="185"/>
      <c r="V142" s="185"/>
      <c r="W142" s="185"/>
      <c r="X142" s="185"/>
      <c r="Y142" s="185"/>
      <c r="Z142" s="185"/>
      <c r="AA142" s="185"/>
      <c r="AB142" s="185"/>
      <c r="AC142" s="185"/>
      <c r="AD142" s="185"/>
      <c r="AE142" s="185"/>
      <c r="AF142" s="185"/>
      <c r="AG142" s="185"/>
      <c r="AH142" s="185"/>
      <c r="AI142" s="185"/>
      <c r="AJ142" s="185"/>
      <c r="AK142" s="185"/>
      <c r="AL142" s="185"/>
      <c r="AM142" s="185"/>
      <c r="AN142" s="185"/>
      <c r="AO142" s="185"/>
      <c r="AP142" s="185"/>
      <c r="AQ142" s="185"/>
      <c r="AR142" s="185"/>
      <c r="AS142" s="185"/>
      <c r="AT142" s="185"/>
      <c r="AU142" s="185"/>
      <c r="AV142" s="185"/>
      <c r="AW142" s="185"/>
      <c r="AX142" s="185"/>
      <c r="AY142" s="185"/>
      <c r="AZ142" s="185"/>
      <c r="BA142" s="185"/>
      <c r="BB142" s="185"/>
      <c r="BC142" s="185"/>
      <c r="BD142" s="185"/>
      <c r="BE142" s="185"/>
      <c r="BF142" s="185"/>
      <c r="BG142" s="185"/>
      <c r="BH142" s="185"/>
      <c r="BI142" s="185"/>
      <c r="BJ142" s="185"/>
      <c r="BK142" s="186"/>
    </row>
    <row r="143" spans="1:63">
      <c r="A143" s="185"/>
      <c r="B143" s="185"/>
      <c r="C143" s="185"/>
      <c r="D143" s="185"/>
      <c r="E143" s="185"/>
      <c r="F143" s="185"/>
      <c r="G143" s="185"/>
      <c r="H143" s="185"/>
      <c r="I143" s="185"/>
      <c r="J143" s="185"/>
      <c r="K143" s="185"/>
      <c r="L143" s="185"/>
      <c r="M143" s="185"/>
      <c r="N143" s="185"/>
      <c r="O143" s="185"/>
      <c r="P143" s="185"/>
      <c r="Q143" s="185"/>
      <c r="R143" s="185"/>
      <c r="S143" s="185"/>
      <c r="T143" s="185"/>
      <c r="U143" s="185"/>
      <c r="V143" s="185"/>
      <c r="W143" s="185"/>
      <c r="X143" s="185"/>
      <c r="Y143" s="185"/>
      <c r="Z143" s="185"/>
      <c r="AA143" s="185"/>
      <c r="AB143" s="185"/>
      <c r="AC143" s="185"/>
      <c r="AD143" s="185"/>
      <c r="AE143" s="185"/>
      <c r="AF143" s="185"/>
      <c r="AG143" s="185"/>
      <c r="AH143" s="185"/>
      <c r="AI143" s="185"/>
      <c r="AJ143" s="185"/>
      <c r="AK143" s="185"/>
      <c r="AL143" s="185"/>
      <c r="AM143" s="185"/>
      <c r="AN143" s="185"/>
      <c r="AO143" s="185"/>
      <c r="AP143" s="185"/>
      <c r="AQ143" s="185"/>
      <c r="AR143" s="185"/>
      <c r="AS143" s="185"/>
      <c r="AT143" s="185"/>
      <c r="AU143" s="185"/>
      <c r="AV143" s="185"/>
      <c r="AW143" s="185"/>
      <c r="AX143" s="185"/>
      <c r="AY143" s="185"/>
      <c r="AZ143" s="185"/>
      <c r="BA143" s="185"/>
      <c r="BB143" s="185"/>
      <c r="BC143" s="185"/>
      <c r="BD143" s="185"/>
      <c r="BE143" s="185"/>
      <c r="BF143" s="185"/>
      <c r="BG143" s="185"/>
      <c r="BH143" s="185"/>
      <c r="BI143" s="185"/>
      <c r="BJ143" s="185"/>
      <c r="BK143" s="186"/>
    </row>
    <row r="144" spans="1:63">
      <c r="A144" s="185"/>
      <c r="B144" s="185"/>
      <c r="C144" s="185"/>
      <c r="D144" s="185"/>
      <c r="E144" s="185"/>
      <c r="F144" s="185"/>
      <c r="G144" s="185"/>
      <c r="H144" s="185"/>
      <c r="I144" s="185"/>
      <c r="J144" s="185"/>
      <c r="K144" s="185"/>
      <c r="L144" s="185"/>
      <c r="M144" s="185"/>
      <c r="N144" s="185"/>
      <c r="O144" s="185"/>
      <c r="P144" s="185"/>
      <c r="Q144" s="185"/>
      <c r="R144" s="185"/>
      <c r="S144" s="185"/>
      <c r="T144" s="185"/>
      <c r="U144" s="185"/>
      <c r="V144" s="185"/>
      <c r="W144" s="185"/>
      <c r="X144" s="185"/>
      <c r="Y144" s="185"/>
      <c r="Z144" s="185"/>
      <c r="AA144" s="185"/>
      <c r="AB144" s="185"/>
      <c r="AC144" s="185"/>
      <c r="AD144" s="185"/>
      <c r="AE144" s="185"/>
      <c r="AF144" s="185"/>
      <c r="AG144" s="185"/>
      <c r="AH144" s="185"/>
      <c r="AI144" s="185"/>
      <c r="AJ144" s="185"/>
      <c r="AK144" s="185"/>
      <c r="AL144" s="185"/>
      <c r="AM144" s="185"/>
      <c r="AN144" s="185"/>
      <c r="AO144" s="185"/>
      <c r="AP144" s="185"/>
      <c r="AQ144" s="185"/>
      <c r="AR144" s="185"/>
      <c r="AS144" s="185"/>
      <c r="AT144" s="185"/>
      <c r="AU144" s="185"/>
      <c r="AV144" s="185"/>
      <c r="AW144" s="185"/>
      <c r="AX144" s="185"/>
      <c r="AY144" s="185"/>
      <c r="AZ144" s="185"/>
      <c r="BA144" s="185"/>
      <c r="BB144" s="185"/>
      <c r="BC144" s="185"/>
      <c r="BD144" s="185"/>
      <c r="BE144" s="185"/>
      <c r="BF144" s="185"/>
      <c r="BG144" s="185"/>
      <c r="BH144" s="185"/>
      <c r="BI144" s="185"/>
      <c r="BJ144" s="185"/>
      <c r="BK144" s="186"/>
    </row>
    <row r="145" spans="1:63">
      <c r="A145" s="185"/>
      <c r="B145" s="185"/>
      <c r="C145" s="185"/>
      <c r="D145" s="185"/>
      <c r="E145" s="185"/>
      <c r="F145" s="185"/>
      <c r="G145" s="185"/>
      <c r="H145" s="185"/>
      <c r="I145" s="185"/>
      <c r="J145" s="185"/>
      <c r="K145" s="185"/>
      <c r="L145" s="185"/>
      <c r="M145" s="185"/>
      <c r="N145" s="185"/>
      <c r="O145" s="185"/>
      <c r="P145" s="185"/>
      <c r="Q145" s="185"/>
      <c r="R145" s="185"/>
      <c r="S145" s="185"/>
      <c r="T145" s="185"/>
      <c r="U145" s="185"/>
      <c r="V145" s="185"/>
      <c r="W145" s="185"/>
      <c r="X145" s="185"/>
      <c r="Y145" s="185"/>
      <c r="Z145" s="185"/>
      <c r="AA145" s="185"/>
      <c r="AB145" s="185"/>
      <c r="AC145" s="185"/>
      <c r="AD145" s="185"/>
      <c r="AE145" s="185"/>
      <c r="AF145" s="185"/>
      <c r="AG145" s="185"/>
      <c r="AH145" s="185"/>
      <c r="AI145" s="185"/>
      <c r="AJ145" s="185"/>
      <c r="AK145" s="185"/>
      <c r="AL145" s="185"/>
      <c r="AM145" s="185"/>
      <c r="AN145" s="185"/>
      <c r="AO145" s="185"/>
      <c r="AP145" s="185"/>
      <c r="AQ145" s="185"/>
      <c r="AR145" s="185"/>
      <c r="AS145" s="185"/>
      <c r="AT145" s="185"/>
      <c r="AU145" s="185"/>
      <c r="AV145" s="185"/>
      <c r="AW145" s="185"/>
      <c r="AX145" s="185"/>
      <c r="AY145" s="185"/>
      <c r="AZ145" s="185"/>
      <c r="BA145" s="185"/>
      <c r="BB145" s="185"/>
      <c r="BC145" s="185"/>
      <c r="BD145" s="185"/>
      <c r="BE145" s="185"/>
      <c r="BF145" s="185"/>
      <c r="BG145" s="185"/>
      <c r="BH145" s="185"/>
      <c r="BI145" s="185"/>
      <c r="BJ145" s="185"/>
      <c r="BK145" s="186"/>
    </row>
    <row r="146" spans="1:63">
      <c r="A146" s="185"/>
      <c r="B146" s="185"/>
      <c r="C146" s="185"/>
      <c r="D146" s="185"/>
      <c r="E146" s="185"/>
      <c r="F146" s="185"/>
      <c r="G146" s="185"/>
      <c r="H146" s="185"/>
      <c r="I146" s="185"/>
      <c r="J146" s="185"/>
      <c r="K146" s="185"/>
      <c r="L146" s="185"/>
      <c r="M146" s="185"/>
      <c r="N146" s="185"/>
      <c r="O146" s="185"/>
      <c r="P146" s="185"/>
      <c r="Q146" s="185"/>
      <c r="R146" s="185"/>
      <c r="S146" s="185"/>
      <c r="T146" s="185"/>
      <c r="U146" s="185"/>
      <c r="V146" s="185"/>
      <c r="W146" s="185"/>
      <c r="X146" s="185"/>
      <c r="Y146" s="185"/>
      <c r="Z146" s="185"/>
      <c r="AA146" s="185"/>
      <c r="AB146" s="185"/>
      <c r="AC146" s="185"/>
      <c r="AD146" s="185"/>
      <c r="AE146" s="185"/>
      <c r="AF146" s="185"/>
      <c r="AG146" s="185"/>
      <c r="AH146" s="185"/>
      <c r="AI146" s="185"/>
      <c r="AJ146" s="185"/>
      <c r="AK146" s="185"/>
      <c r="AL146" s="185"/>
      <c r="AM146" s="185"/>
      <c r="AN146" s="185"/>
      <c r="AO146" s="185"/>
      <c r="AP146" s="185"/>
      <c r="AQ146" s="185"/>
      <c r="AR146" s="185"/>
      <c r="AS146" s="185"/>
      <c r="AT146" s="185"/>
      <c r="AU146" s="185"/>
      <c r="AV146" s="185"/>
      <c r="AW146" s="185"/>
      <c r="AX146" s="185"/>
      <c r="AY146" s="185"/>
      <c r="AZ146" s="185"/>
      <c r="BA146" s="185"/>
      <c r="BB146" s="185"/>
      <c r="BC146" s="185"/>
      <c r="BD146" s="185"/>
      <c r="BE146" s="185"/>
      <c r="BF146" s="185"/>
      <c r="BG146" s="185"/>
      <c r="BH146" s="185"/>
      <c r="BI146" s="185"/>
      <c r="BJ146" s="185"/>
      <c r="BK146" s="186"/>
    </row>
    <row r="147" spans="1:63">
      <c r="A147" s="185"/>
      <c r="B147" s="185"/>
      <c r="C147" s="185"/>
      <c r="D147" s="185"/>
      <c r="E147" s="185"/>
      <c r="F147" s="185"/>
      <c r="G147" s="185"/>
      <c r="H147" s="185"/>
      <c r="I147" s="185"/>
      <c r="J147" s="185"/>
      <c r="K147" s="185"/>
      <c r="L147" s="185"/>
      <c r="M147" s="185"/>
      <c r="N147" s="185"/>
      <c r="O147" s="185"/>
      <c r="P147" s="185"/>
      <c r="Q147" s="185"/>
      <c r="R147" s="185"/>
      <c r="S147" s="185"/>
      <c r="T147" s="185"/>
      <c r="U147" s="185"/>
      <c r="V147" s="185"/>
      <c r="W147" s="185"/>
      <c r="X147" s="185"/>
      <c r="Y147" s="185"/>
      <c r="Z147" s="185"/>
      <c r="AA147" s="185"/>
      <c r="AB147" s="185"/>
      <c r="AC147" s="185"/>
      <c r="AD147" s="185"/>
      <c r="AE147" s="185"/>
      <c r="AF147" s="185"/>
      <c r="AG147" s="185"/>
      <c r="AH147" s="185"/>
      <c r="AI147" s="185"/>
      <c r="AJ147" s="185"/>
      <c r="AK147" s="185"/>
      <c r="AL147" s="185"/>
      <c r="AM147" s="185"/>
      <c r="AN147" s="185"/>
      <c r="AO147" s="185"/>
      <c r="AP147" s="185"/>
      <c r="AQ147" s="185"/>
      <c r="AR147" s="185"/>
      <c r="AS147" s="185"/>
      <c r="AT147" s="185"/>
      <c r="AU147" s="185"/>
      <c r="AV147" s="185"/>
      <c r="AW147" s="185"/>
      <c r="AX147" s="185"/>
      <c r="AY147" s="185"/>
      <c r="AZ147" s="185"/>
      <c r="BA147" s="185"/>
      <c r="BB147" s="185"/>
      <c r="BC147" s="185"/>
      <c r="BD147" s="185"/>
      <c r="BE147" s="185"/>
      <c r="BF147" s="185"/>
      <c r="BG147" s="185"/>
      <c r="BH147" s="185"/>
      <c r="BI147" s="185"/>
      <c r="BJ147" s="185"/>
      <c r="BK147" s="186"/>
    </row>
    <row r="148" spans="1:63">
      <c r="A148" s="185"/>
      <c r="B148" s="185"/>
      <c r="C148" s="185"/>
      <c r="D148" s="185"/>
      <c r="E148" s="185"/>
      <c r="F148" s="185"/>
      <c r="G148" s="185"/>
      <c r="H148" s="185"/>
      <c r="I148" s="185"/>
      <c r="J148" s="185"/>
      <c r="K148" s="185"/>
      <c r="L148" s="185"/>
      <c r="M148" s="185"/>
      <c r="N148" s="185"/>
      <c r="O148" s="185"/>
      <c r="P148" s="185"/>
      <c r="Q148" s="185"/>
      <c r="R148" s="185"/>
      <c r="S148" s="185"/>
      <c r="T148" s="185"/>
      <c r="U148" s="185"/>
      <c r="V148" s="185"/>
      <c r="W148" s="185"/>
      <c r="X148" s="185"/>
      <c r="Y148" s="185"/>
      <c r="Z148" s="185"/>
      <c r="AA148" s="185"/>
      <c r="AB148" s="185"/>
      <c r="AC148" s="185"/>
      <c r="AD148" s="185"/>
      <c r="AE148" s="185"/>
      <c r="AF148" s="185"/>
      <c r="AG148" s="185"/>
      <c r="AH148" s="185"/>
      <c r="AI148" s="185"/>
      <c r="AJ148" s="185"/>
      <c r="AK148" s="185"/>
      <c r="AL148" s="185"/>
      <c r="AM148" s="185"/>
      <c r="AN148" s="185"/>
      <c r="AO148" s="185"/>
      <c r="AP148" s="185"/>
      <c r="AQ148" s="185"/>
      <c r="AR148" s="185"/>
      <c r="AS148" s="185"/>
      <c r="AT148" s="185"/>
      <c r="AU148" s="185"/>
      <c r="AV148" s="185"/>
      <c r="AW148" s="185"/>
      <c r="AX148" s="185"/>
      <c r="AY148" s="185"/>
      <c r="AZ148" s="185"/>
      <c r="BA148" s="185"/>
      <c r="BB148" s="185"/>
      <c r="BC148" s="185"/>
      <c r="BD148" s="185"/>
      <c r="BE148" s="185"/>
      <c r="BF148" s="185"/>
      <c r="BG148" s="185"/>
      <c r="BH148" s="185"/>
      <c r="BI148" s="185"/>
      <c r="BJ148" s="185"/>
      <c r="BK148" s="186"/>
    </row>
    <row r="149" spans="1:63">
      <c r="A149" s="185"/>
      <c r="B149" s="185"/>
      <c r="C149" s="185"/>
      <c r="D149" s="185"/>
      <c r="E149" s="185"/>
      <c r="F149" s="185"/>
      <c r="G149" s="185"/>
      <c r="H149" s="185"/>
      <c r="I149" s="185"/>
      <c r="J149" s="185"/>
      <c r="K149" s="185"/>
      <c r="L149" s="185"/>
      <c r="M149" s="185"/>
      <c r="N149" s="185"/>
      <c r="O149" s="185"/>
      <c r="P149" s="185"/>
      <c r="Q149" s="185"/>
      <c r="R149" s="185"/>
      <c r="S149" s="185"/>
      <c r="T149" s="185"/>
      <c r="U149" s="185"/>
      <c r="V149" s="185"/>
      <c r="W149" s="185"/>
      <c r="X149" s="185"/>
      <c r="Y149" s="185"/>
      <c r="Z149" s="185"/>
      <c r="AA149" s="185"/>
      <c r="AB149" s="185"/>
      <c r="AC149" s="185"/>
      <c r="AD149" s="185"/>
      <c r="AE149" s="185"/>
      <c r="AF149" s="185"/>
      <c r="AG149" s="185"/>
      <c r="AH149" s="185"/>
      <c r="AI149" s="185"/>
      <c r="AJ149" s="185"/>
      <c r="AK149" s="185"/>
      <c r="AL149" s="185"/>
      <c r="AM149" s="185"/>
      <c r="AN149" s="185"/>
      <c r="AO149" s="185"/>
      <c r="AP149" s="185"/>
      <c r="AQ149" s="185"/>
      <c r="AR149" s="185"/>
      <c r="AS149" s="185"/>
      <c r="AT149" s="185"/>
      <c r="AU149" s="185"/>
      <c r="AV149" s="185"/>
      <c r="AW149" s="185"/>
      <c r="AX149" s="185"/>
      <c r="AY149" s="185"/>
      <c r="AZ149" s="185"/>
      <c r="BA149" s="185"/>
      <c r="BB149" s="185"/>
      <c r="BC149" s="185"/>
      <c r="BD149" s="185"/>
      <c r="BE149" s="185"/>
      <c r="BF149" s="185"/>
      <c r="BG149" s="185"/>
      <c r="BH149" s="185"/>
      <c r="BI149" s="185"/>
      <c r="BJ149" s="185"/>
      <c r="BK149" s="186"/>
    </row>
    <row r="150" spans="1:63">
      <c r="A150" s="185"/>
      <c r="B150" s="185"/>
      <c r="C150" s="185"/>
      <c r="D150" s="185"/>
      <c r="E150" s="185"/>
      <c r="F150" s="185"/>
      <c r="G150" s="185"/>
      <c r="H150" s="185"/>
      <c r="I150" s="185"/>
      <c r="J150" s="185"/>
      <c r="K150" s="185"/>
      <c r="L150" s="185"/>
      <c r="M150" s="185"/>
      <c r="N150" s="185"/>
      <c r="O150" s="185"/>
      <c r="P150" s="185"/>
      <c r="Q150" s="185"/>
      <c r="R150" s="185"/>
      <c r="S150" s="185"/>
      <c r="T150" s="185"/>
      <c r="U150" s="185"/>
      <c r="V150" s="185"/>
      <c r="W150" s="185"/>
      <c r="X150" s="185"/>
      <c r="Y150" s="185"/>
      <c r="Z150" s="185"/>
      <c r="AA150" s="185"/>
      <c r="AB150" s="185"/>
      <c r="AC150" s="185"/>
      <c r="AD150" s="185"/>
      <c r="AE150" s="185"/>
      <c r="AF150" s="185"/>
      <c r="AG150" s="185"/>
      <c r="AH150" s="185"/>
      <c r="AI150" s="185"/>
      <c r="AJ150" s="185"/>
      <c r="AK150" s="185"/>
      <c r="AL150" s="185"/>
      <c r="AM150" s="185"/>
      <c r="AN150" s="185"/>
      <c r="AO150" s="185"/>
      <c r="AP150" s="185"/>
      <c r="AQ150" s="185"/>
      <c r="AR150" s="185"/>
      <c r="AS150" s="185"/>
      <c r="AT150" s="185"/>
      <c r="AU150" s="185"/>
      <c r="AV150" s="185"/>
      <c r="AW150" s="185"/>
      <c r="AX150" s="185"/>
      <c r="AY150" s="185"/>
      <c r="AZ150" s="185"/>
      <c r="BA150" s="185"/>
      <c r="BB150" s="185"/>
      <c r="BC150" s="185"/>
      <c r="BD150" s="185"/>
      <c r="BE150" s="185"/>
      <c r="BF150" s="185"/>
      <c r="BG150" s="185"/>
      <c r="BH150" s="185"/>
      <c r="BI150" s="185"/>
      <c r="BJ150" s="185"/>
      <c r="BK150" s="186"/>
    </row>
    <row r="151" spans="1:63">
      <c r="A151" s="185"/>
      <c r="B151" s="185"/>
      <c r="C151" s="185"/>
      <c r="D151" s="185"/>
      <c r="E151" s="185"/>
      <c r="F151" s="185"/>
      <c r="G151" s="185"/>
      <c r="H151" s="185"/>
      <c r="I151" s="185"/>
      <c r="J151" s="185"/>
      <c r="K151" s="185"/>
      <c r="L151" s="185"/>
      <c r="M151" s="185"/>
      <c r="N151" s="185"/>
      <c r="O151" s="185"/>
      <c r="P151" s="185"/>
      <c r="Q151" s="185"/>
      <c r="R151" s="185"/>
      <c r="S151" s="185"/>
      <c r="T151" s="185"/>
      <c r="U151" s="185"/>
      <c r="V151" s="185"/>
      <c r="W151" s="185"/>
      <c r="X151" s="185"/>
      <c r="Y151" s="185"/>
      <c r="Z151" s="185"/>
      <c r="AA151" s="185"/>
      <c r="AB151" s="185"/>
      <c r="AC151" s="185"/>
      <c r="AD151" s="185"/>
      <c r="AE151" s="185"/>
      <c r="AF151" s="185"/>
      <c r="AG151" s="185"/>
      <c r="AH151" s="185"/>
      <c r="AI151" s="185"/>
      <c r="AJ151" s="185"/>
      <c r="AK151" s="185"/>
      <c r="AL151" s="185"/>
      <c r="AM151" s="185"/>
      <c r="AN151" s="185"/>
      <c r="AO151" s="185"/>
      <c r="AP151" s="185"/>
      <c r="AQ151" s="185"/>
      <c r="AR151" s="185"/>
      <c r="AS151" s="185"/>
      <c r="AT151" s="185"/>
      <c r="AU151" s="185"/>
      <c r="AV151" s="185"/>
      <c r="AW151" s="185"/>
      <c r="AX151" s="185"/>
      <c r="AY151" s="185"/>
      <c r="AZ151" s="185"/>
      <c r="BA151" s="185"/>
      <c r="BB151" s="185"/>
      <c r="BC151" s="185"/>
      <c r="BD151" s="185"/>
      <c r="BE151" s="185"/>
      <c r="BF151" s="185"/>
      <c r="BG151" s="185"/>
      <c r="BH151" s="185"/>
      <c r="BI151" s="185"/>
      <c r="BJ151" s="185"/>
      <c r="BK151" s="186"/>
    </row>
    <row r="152" spans="1:63">
      <c r="A152" s="185"/>
      <c r="B152" s="185"/>
      <c r="C152" s="185"/>
      <c r="D152" s="185"/>
      <c r="E152" s="185"/>
      <c r="F152" s="185"/>
      <c r="G152" s="185"/>
      <c r="H152" s="185"/>
      <c r="I152" s="185"/>
      <c r="J152" s="185"/>
      <c r="K152" s="185"/>
      <c r="L152" s="185"/>
      <c r="M152" s="185"/>
      <c r="N152" s="185"/>
      <c r="O152" s="185"/>
      <c r="P152" s="185"/>
      <c r="Q152" s="185"/>
      <c r="R152" s="185"/>
      <c r="S152" s="185"/>
      <c r="T152" s="185"/>
      <c r="U152" s="185"/>
      <c r="V152" s="185"/>
      <c r="W152" s="185"/>
      <c r="X152" s="185"/>
      <c r="Y152" s="185"/>
      <c r="Z152" s="185"/>
      <c r="AA152" s="185"/>
      <c r="AB152" s="185"/>
      <c r="AC152" s="185"/>
      <c r="AD152" s="185"/>
      <c r="AE152" s="185"/>
      <c r="AF152" s="185"/>
      <c r="AG152" s="185"/>
      <c r="AH152" s="185"/>
      <c r="AI152" s="185"/>
      <c r="AJ152" s="185"/>
      <c r="AK152" s="185"/>
      <c r="AL152" s="185"/>
      <c r="AM152" s="185"/>
      <c r="AN152" s="185"/>
      <c r="AO152" s="185"/>
      <c r="AP152" s="185"/>
      <c r="AQ152" s="185"/>
      <c r="AR152" s="185"/>
      <c r="AS152" s="185"/>
      <c r="AT152" s="185"/>
      <c r="AU152" s="185"/>
      <c r="AV152" s="185"/>
      <c r="AW152" s="185"/>
      <c r="AX152" s="185"/>
      <c r="AY152" s="185"/>
      <c r="AZ152" s="185"/>
      <c r="BA152" s="185"/>
      <c r="BB152" s="185"/>
      <c r="BC152" s="185"/>
      <c r="BD152" s="185"/>
      <c r="BE152" s="185"/>
      <c r="BF152" s="185"/>
      <c r="BG152" s="185"/>
      <c r="BH152" s="185"/>
      <c r="BI152" s="185"/>
      <c r="BJ152" s="185"/>
      <c r="BK152" s="186"/>
    </row>
    <row r="153" spans="1:63">
      <c r="A153" s="185"/>
      <c r="B153" s="185"/>
      <c r="C153" s="185"/>
      <c r="D153" s="185"/>
      <c r="E153" s="185"/>
      <c r="F153" s="185"/>
      <c r="G153" s="185"/>
      <c r="H153" s="185"/>
      <c r="I153" s="185"/>
      <c r="J153" s="185"/>
      <c r="K153" s="185"/>
      <c r="L153" s="185"/>
      <c r="M153" s="185"/>
      <c r="N153" s="185"/>
      <c r="O153" s="185"/>
      <c r="P153" s="185"/>
      <c r="Q153" s="185"/>
      <c r="R153" s="185"/>
      <c r="S153" s="185"/>
      <c r="T153" s="185"/>
      <c r="U153" s="185"/>
      <c r="V153" s="185"/>
      <c r="W153" s="185"/>
      <c r="X153" s="185"/>
      <c r="Y153" s="185"/>
      <c r="Z153" s="185"/>
      <c r="AA153" s="185"/>
      <c r="AB153" s="185"/>
      <c r="AC153" s="185"/>
      <c r="AD153" s="185"/>
      <c r="AE153" s="185"/>
      <c r="AF153" s="185"/>
      <c r="AG153" s="185"/>
      <c r="AH153" s="185"/>
      <c r="AI153" s="185"/>
      <c r="AJ153" s="185"/>
      <c r="AK153" s="185"/>
      <c r="AL153" s="185"/>
      <c r="AM153" s="185"/>
      <c r="AN153" s="185"/>
      <c r="AO153" s="185"/>
      <c r="AP153" s="185"/>
      <c r="AQ153" s="185"/>
      <c r="AR153" s="185"/>
      <c r="AS153" s="185"/>
      <c r="AT153" s="185"/>
      <c r="AU153" s="185"/>
      <c r="AV153" s="185"/>
      <c r="AW153" s="185"/>
      <c r="AX153" s="185"/>
      <c r="AY153" s="185"/>
      <c r="AZ153" s="185"/>
      <c r="BA153" s="185"/>
      <c r="BB153" s="185"/>
      <c r="BC153" s="185"/>
      <c r="BD153" s="185"/>
      <c r="BE153" s="185"/>
      <c r="BF153" s="185"/>
      <c r="BG153" s="185"/>
      <c r="BH153" s="185"/>
      <c r="BI153" s="185"/>
      <c r="BJ153" s="185"/>
      <c r="BK153" s="186"/>
    </row>
    <row r="154" spans="1:63">
      <c r="A154" s="185"/>
      <c r="B154" s="185"/>
      <c r="C154" s="185"/>
      <c r="D154" s="185"/>
      <c r="E154" s="185"/>
      <c r="F154" s="185"/>
      <c r="G154" s="185"/>
      <c r="H154" s="185"/>
      <c r="I154" s="185"/>
      <c r="J154" s="185"/>
      <c r="K154" s="185"/>
      <c r="L154" s="185"/>
      <c r="M154" s="185"/>
      <c r="N154" s="185"/>
      <c r="O154" s="185"/>
      <c r="P154" s="185"/>
      <c r="Q154" s="185"/>
      <c r="R154" s="185"/>
      <c r="S154" s="185"/>
      <c r="T154" s="185"/>
      <c r="U154" s="185"/>
      <c r="V154" s="185"/>
      <c r="W154" s="185"/>
      <c r="X154" s="185"/>
      <c r="Y154" s="185"/>
      <c r="Z154" s="185"/>
      <c r="AA154" s="185"/>
      <c r="AB154" s="185"/>
      <c r="AC154" s="185"/>
      <c r="AD154" s="185"/>
      <c r="AE154" s="185"/>
      <c r="AF154" s="185"/>
      <c r="AG154" s="185"/>
      <c r="AH154" s="185"/>
      <c r="AI154" s="185"/>
      <c r="AJ154" s="185"/>
      <c r="AK154" s="185"/>
      <c r="AL154" s="185"/>
      <c r="AM154" s="185"/>
      <c r="AN154" s="185"/>
      <c r="AO154" s="185"/>
      <c r="AP154" s="185"/>
      <c r="AQ154" s="185"/>
      <c r="AR154" s="185"/>
      <c r="AS154" s="185"/>
      <c r="AT154" s="185"/>
      <c r="AU154" s="185"/>
      <c r="AV154" s="185"/>
      <c r="AW154" s="185"/>
      <c r="AX154" s="185"/>
      <c r="AY154" s="185"/>
      <c r="AZ154" s="185"/>
      <c r="BA154" s="185"/>
      <c r="BB154" s="185"/>
      <c r="BC154" s="185"/>
      <c r="BD154" s="185"/>
      <c r="BE154" s="185"/>
      <c r="BF154" s="185"/>
      <c r="BG154" s="185"/>
      <c r="BH154" s="185"/>
      <c r="BI154" s="185"/>
      <c r="BJ154" s="185"/>
      <c r="BK154" s="186"/>
    </row>
    <row r="155" spans="1:63">
      <c r="A155" s="185"/>
      <c r="B155" s="185"/>
      <c r="C155" s="185"/>
      <c r="D155" s="185"/>
      <c r="E155" s="185"/>
      <c r="F155" s="185"/>
      <c r="G155" s="185"/>
      <c r="H155" s="185"/>
      <c r="I155" s="185"/>
      <c r="J155" s="185"/>
      <c r="K155" s="185"/>
      <c r="L155" s="185"/>
      <c r="M155" s="185"/>
      <c r="N155" s="185"/>
      <c r="O155" s="185"/>
      <c r="P155" s="185"/>
      <c r="Q155" s="185"/>
      <c r="R155" s="185"/>
      <c r="S155" s="185"/>
      <c r="T155" s="185"/>
      <c r="U155" s="185"/>
      <c r="V155" s="185"/>
      <c r="W155" s="185"/>
      <c r="X155" s="185"/>
      <c r="Y155" s="185"/>
      <c r="Z155" s="185"/>
      <c r="AA155" s="185"/>
      <c r="AB155" s="185"/>
      <c r="AC155" s="185"/>
      <c r="AD155" s="185"/>
      <c r="AE155" s="185"/>
      <c r="AF155" s="185"/>
      <c r="AG155" s="185"/>
      <c r="AH155" s="185"/>
      <c r="AI155" s="185"/>
      <c r="AJ155" s="185"/>
      <c r="AK155" s="185"/>
      <c r="AL155" s="185"/>
      <c r="AM155" s="185"/>
      <c r="AN155" s="185"/>
      <c r="AO155" s="185"/>
      <c r="AP155" s="185"/>
      <c r="AQ155" s="185"/>
      <c r="AR155" s="185"/>
      <c r="AS155" s="185"/>
      <c r="AT155" s="185"/>
      <c r="AU155" s="185"/>
      <c r="AV155" s="185"/>
      <c r="AW155" s="185"/>
      <c r="AX155" s="185"/>
      <c r="AY155" s="185"/>
      <c r="AZ155" s="185"/>
      <c r="BA155" s="185"/>
      <c r="BB155" s="185"/>
      <c r="BC155" s="185"/>
      <c r="BD155" s="185"/>
      <c r="BE155" s="185"/>
      <c r="BF155" s="185"/>
      <c r="BG155" s="185"/>
      <c r="BH155" s="185"/>
      <c r="BI155" s="185"/>
      <c r="BJ155" s="185"/>
      <c r="BK155" s="186"/>
    </row>
    <row r="156" spans="1:63">
      <c r="A156" s="185"/>
      <c r="B156" s="185"/>
      <c r="C156" s="185"/>
      <c r="D156" s="185"/>
      <c r="E156" s="185"/>
      <c r="F156" s="185"/>
      <c r="G156" s="185"/>
      <c r="H156" s="185"/>
      <c r="I156" s="185"/>
      <c r="J156" s="185"/>
      <c r="K156" s="185"/>
      <c r="L156" s="185"/>
      <c r="M156" s="185"/>
      <c r="N156" s="185"/>
      <c r="O156" s="185"/>
      <c r="P156" s="185"/>
      <c r="Q156" s="185"/>
      <c r="R156" s="185"/>
      <c r="S156" s="185"/>
      <c r="T156" s="185"/>
      <c r="U156" s="185"/>
      <c r="V156" s="185"/>
      <c r="W156" s="185"/>
      <c r="X156" s="185"/>
      <c r="Y156" s="185"/>
      <c r="Z156" s="185"/>
      <c r="AA156" s="185"/>
      <c r="AB156" s="185"/>
      <c r="AC156" s="185"/>
      <c r="AD156" s="185"/>
      <c r="AE156" s="185"/>
      <c r="AF156" s="185"/>
      <c r="AG156" s="185"/>
      <c r="AH156" s="185"/>
      <c r="AI156" s="185"/>
      <c r="AJ156" s="185"/>
      <c r="AK156" s="185"/>
      <c r="AL156" s="185"/>
      <c r="AM156" s="185"/>
      <c r="AN156" s="185"/>
      <c r="AO156" s="185"/>
      <c r="AP156" s="185"/>
      <c r="AQ156" s="185"/>
      <c r="AR156" s="185"/>
      <c r="AS156" s="185"/>
      <c r="AT156" s="185"/>
      <c r="AU156" s="185"/>
      <c r="AV156" s="185"/>
      <c r="AW156" s="185"/>
      <c r="AX156" s="185"/>
      <c r="AY156" s="185"/>
      <c r="AZ156" s="185"/>
      <c r="BA156" s="185"/>
      <c r="BB156" s="185"/>
      <c r="BC156" s="185"/>
      <c r="BD156" s="185"/>
      <c r="BE156" s="185"/>
      <c r="BF156" s="185"/>
      <c r="BG156" s="185"/>
      <c r="BH156" s="185"/>
      <c r="BI156" s="185"/>
      <c r="BJ156" s="185"/>
      <c r="BK156" s="186"/>
    </row>
    <row r="157" spans="1:63">
      <c r="A157" s="185"/>
      <c r="B157" s="185"/>
      <c r="C157" s="185"/>
      <c r="D157" s="185"/>
      <c r="E157" s="185"/>
      <c r="F157" s="185"/>
      <c r="G157" s="185"/>
      <c r="H157" s="185"/>
      <c r="I157" s="185"/>
      <c r="J157" s="185"/>
      <c r="K157" s="185"/>
      <c r="L157" s="185"/>
      <c r="M157" s="185"/>
      <c r="N157" s="185"/>
      <c r="O157" s="185"/>
      <c r="P157" s="185"/>
      <c r="Q157" s="185"/>
      <c r="R157" s="185"/>
      <c r="S157" s="185"/>
      <c r="T157" s="185"/>
      <c r="U157" s="185"/>
      <c r="V157" s="185"/>
      <c r="W157" s="185"/>
      <c r="X157" s="185"/>
      <c r="Y157" s="185"/>
      <c r="Z157" s="185"/>
      <c r="AA157" s="185"/>
      <c r="AB157" s="185"/>
      <c r="AC157" s="185"/>
      <c r="AD157" s="185"/>
      <c r="AE157" s="185"/>
      <c r="AF157" s="185"/>
      <c r="AG157" s="185"/>
      <c r="AH157" s="185"/>
      <c r="AI157" s="185"/>
      <c r="AJ157" s="185"/>
      <c r="AK157" s="185"/>
      <c r="AL157" s="185"/>
      <c r="AM157" s="185"/>
      <c r="AN157" s="185"/>
      <c r="AO157" s="185"/>
      <c r="AP157" s="185"/>
      <c r="AQ157" s="185"/>
      <c r="AR157" s="185"/>
      <c r="AS157" s="185"/>
      <c r="AT157" s="185"/>
      <c r="AU157" s="185"/>
      <c r="AV157" s="185"/>
      <c r="AW157" s="185"/>
      <c r="AX157" s="185"/>
      <c r="AY157" s="185"/>
      <c r="AZ157" s="185"/>
      <c r="BA157" s="185"/>
      <c r="BB157" s="185"/>
      <c r="BC157" s="185"/>
      <c r="BD157" s="185"/>
      <c r="BE157" s="185"/>
      <c r="BF157" s="185"/>
      <c r="BG157" s="185"/>
      <c r="BH157" s="185"/>
      <c r="BI157" s="185"/>
      <c r="BJ157" s="185"/>
      <c r="BK157" s="186"/>
    </row>
    <row r="158" spans="1:63">
      <c r="A158" s="185"/>
      <c r="B158" s="185"/>
      <c r="C158" s="185"/>
      <c r="D158" s="185"/>
      <c r="E158" s="185"/>
      <c r="F158" s="185"/>
      <c r="G158" s="185"/>
      <c r="H158" s="185"/>
      <c r="I158" s="185"/>
      <c r="J158" s="185"/>
      <c r="K158" s="185"/>
      <c r="L158" s="185"/>
      <c r="M158" s="185"/>
      <c r="N158" s="185"/>
      <c r="O158" s="185"/>
      <c r="P158" s="185"/>
      <c r="Q158" s="185"/>
      <c r="R158" s="185"/>
      <c r="S158" s="185"/>
      <c r="T158" s="185"/>
      <c r="U158" s="185"/>
      <c r="V158" s="185"/>
      <c r="W158" s="185"/>
      <c r="X158" s="185"/>
      <c r="Y158" s="185"/>
      <c r="Z158" s="185"/>
      <c r="AA158" s="185"/>
      <c r="AB158" s="185"/>
      <c r="AC158" s="185"/>
      <c r="AD158" s="185"/>
      <c r="AE158" s="185"/>
      <c r="AF158" s="185"/>
      <c r="AG158" s="185"/>
      <c r="AH158" s="185"/>
      <c r="AI158" s="185"/>
      <c r="AJ158" s="185"/>
      <c r="AK158" s="185"/>
      <c r="AL158" s="185"/>
      <c r="AM158" s="185"/>
      <c r="AN158" s="185"/>
      <c r="AO158" s="185"/>
      <c r="AP158" s="185"/>
      <c r="AQ158" s="185"/>
      <c r="AR158" s="185"/>
      <c r="AS158" s="185"/>
      <c r="AT158" s="185"/>
      <c r="AU158" s="185"/>
      <c r="AV158" s="185"/>
      <c r="AW158" s="185"/>
      <c r="AX158" s="185"/>
      <c r="AY158" s="185"/>
      <c r="AZ158" s="185"/>
      <c r="BA158" s="185"/>
      <c r="BB158" s="185"/>
      <c r="BC158" s="185"/>
      <c r="BD158" s="185"/>
      <c r="BE158" s="185"/>
      <c r="BF158" s="185"/>
      <c r="BG158" s="185"/>
      <c r="BH158" s="185"/>
      <c r="BI158" s="185"/>
      <c r="BJ158" s="185"/>
      <c r="BK158" s="186"/>
    </row>
    <row r="159" spans="1:63">
      <c r="A159" s="185"/>
      <c r="B159" s="185"/>
      <c r="C159" s="185"/>
      <c r="D159" s="185"/>
      <c r="E159" s="185"/>
      <c r="F159" s="185"/>
      <c r="G159" s="185"/>
      <c r="H159" s="185"/>
      <c r="I159" s="185"/>
      <c r="J159" s="185"/>
      <c r="K159" s="185"/>
      <c r="L159" s="185"/>
      <c r="M159" s="185"/>
      <c r="N159" s="185"/>
      <c r="O159" s="185"/>
      <c r="P159" s="185"/>
      <c r="Q159" s="185"/>
      <c r="R159" s="185"/>
      <c r="S159" s="185"/>
      <c r="T159" s="185"/>
      <c r="U159" s="185"/>
      <c r="V159" s="185"/>
      <c r="W159" s="185"/>
      <c r="X159" s="185"/>
      <c r="Y159" s="185"/>
      <c r="Z159" s="185"/>
      <c r="AA159" s="185"/>
      <c r="AB159" s="185"/>
      <c r="AC159" s="185"/>
      <c r="AD159" s="185"/>
      <c r="AE159" s="185"/>
      <c r="AF159" s="185"/>
      <c r="AG159" s="185"/>
      <c r="AH159" s="185"/>
      <c r="AI159" s="185"/>
      <c r="AJ159" s="185"/>
      <c r="AK159" s="185"/>
      <c r="AL159" s="185"/>
      <c r="AM159" s="185"/>
      <c r="AN159" s="185"/>
      <c r="AO159" s="185"/>
      <c r="AP159" s="185"/>
      <c r="AQ159" s="185"/>
      <c r="AR159" s="185"/>
      <c r="AS159" s="185"/>
      <c r="AT159" s="185"/>
      <c r="AU159" s="185"/>
      <c r="AV159" s="185"/>
      <c r="AW159" s="185"/>
      <c r="AX159" s="185"/>
      <c r="AY159" s="185"/>
      <c r="AZ159" s="185"/>
      <c r="BA159" s="185"/>
      <c r="BB159" s="185"/>
      <c r="BC159" s="185"/>
      <c r="BD159" s="185"/>
      <c r="BE159" s="185"/>
      <c r="BF159" s="185"/>
      <c r="BG159" s="185"/>
      <c r="BH159" s="185"/>
      <c r="BI159" s="185"/>
      <c r="BJ159" s="185"/>
      <c r="BK159" s="186"/>
    </row>
    <row r="160" spans="1:63">
      <c r="A160" s="185"/>
      <c r="B160" s="185"/>
      <c r="C160" s="185"/>
      <c r="D160" s="185"/>
      <c r="E160" s="185"/>
      <c r="F160" s="185"/>
      <c r="G160" s="185"/>
      <c r="H160" s="185"/>
      <c r="I160" s="185"/>
      <c r="J160" s="185"/>
      <c r="K160" s="185"/>
      <c r="L160" s="185"/>
      <c r="M160" s="185"/>
      <c r="N160" s="185"/>
      <c r="O160" s="185"/>
      <c r="P160" s="185"/>
      <c r="Q160" s="185"/>
      <c r="R160" s="185"/>
      <c r="S160" s="185"/>
      <c r="T160" s="185"/>
      <c r="U160" s="185"/>
      <c r="V160" s="185"/>
      <c r="W160" s="185"/>
      <c r="X160" s="185"/>
      <c r="Y160" s="185"/>
      <c r="Z160" s="185"/>
      <c r="AA160" s="185"/>
      <c r="AB160" s="185"/>
      <c r="AC160" s="185"/>
      <c r="AD160" s="185"/>
      <c r="AE160" s="185"/>
      <c r="AF160" s="185"/>
      <c r="AG160" s="185"/>
      <c r="AH160" s="185"/>
      <c r="AI160" s="185"/>
      <c r="AJ160" s="185"/>
      <c r="AK160" s="185"/>
      <c r="AL160" s="185"/>
      <c r="AM160" s="185"/>
      <c r="AN160" s="185"/>
      <c r="AO160" s="185"/>
      <c r="AP160" s="185"/>
      <c r="AQ160" s="185"/>
      <c r="AR160" s="185"/>
      <c r="AS160" s="185"/>
      <c r="AT160" s="185"/>
      <c r="AU160" s="185"/>
      <c r="AV160" s="185"/>
      <c r="AW160" s="185"/>
      <c r="AX160" s="185"/>
      <c r="AY160" s="185"/>
      <c r="AZ160" s="185"/>
      <c r="BA160" s="185"/>
      <c r="BB160" s="185"/>
      <c r="BC160" s="185"/>
      <c r="BD160" s="185"/>
      <c r="BE160" s="185"/>
      <c r="BF160" s="185"/>
      <c r="BG160" s="185"/>
      <c r="BH160" s="185"/>
      <c r="BI160" s="185"/>
      <c r="BJ160" s="185"/>
      <c r="BK160" s="186"/>
    </row>
    <row r="161" spans="1:63">
      <c r="A161" s="185"/>
      <c r="B161" s="185"/>
      <c r="C161" s="185"/>
      <c r="D161" s="185"/>
      <c r="E161" s="185"/>
      <c r="F161" s="185"/>
      <c r="G161" s="185"/>
      <c r="H161" s="185"/>
      <c r="I161" s="185"/>
      <c r="J161" s="185"/>
      <c r="K161" s="185"/>
      <c r="L161" s="185"/>
      <c r="M161" s="185"/>
      <c r="N161" s="185"/>
      <c r="O161" s="185"/>
      <c r="P161" s="185"/>
      <c r="Q161" s="185"/>
      <c r="R161" s="185"/>
      <c r="S161" s="185"/>
      <c r="T161" s="185"/>
      <c r="U161" s="185"/>
      <c r="V161" s="185"/>
      <c r="W161" s="185"/>
      <c r="X161" s="185"/>
      <c r="Y161" s="185"/>
      <c r="Z161" s="185"/>
      <c r="AA161" s="185"/>
      <c r="AB161" s="185"/>
      <c r="AC161" s="185"/>
      <c r="AD161" s="185"/>
      <c r="AE161" s="185"/>
      <c r="AF161" s="185"/>
      <c r="AG161" s="185"/>
      <c r="AH161" s="185"/>
      <c r="AI161" s="185"/>
      <c r="AJ161" s="185"/>
      <c r="AK161" s="185"/>
      <c r="AL161" s="185"/>
      <c r="AM161" s="185"/>
      <c r="AN161" s="185"/>
      <c r="AO161" s="185"/>
      <c r="AP161" s="185"/>
      <c r="AQ161" s="185"/>
      <c r="AR161" s="185"/>
      <c r="AS161" s="185"/>
      <c r="AT161" s="185"/>
      <c r="AU161" s="185"/>
      <c r="AV161" s="185"/>
      <c r="AW161" s="185"/>
      <c r="AX161" s="185"/>
      <c r="AY161" s="185"/>
      <c r="AZ161" s="185"/>
      <c r="BA161" s="185"/>
      <c r="BB161" s="185"/>
      <c r="BC161" s="185"/>
      <c r="BD161" s="185"/>
      <c r="BE161" s="185"/>
      <c r="BF161" s="185"/>
      <c r="BG161" s="185"/>
      <c r="BH161" s="185"/>
      <c r="BI161" s="185"/>
      <c r="BJ161" s="185"/>
      <c r="BK161" s="186"/>
    </row>
    <row r="162" spans="1:63">
      <c r="A162" s="185"/>
      <c r="B162" s="185"/>
      <c r="C162" s="185"/>
      <c r="D162" s="185"/>
      <c r="E162" s="185"/>
      <c r="F162" s="185"/>
      <c r="G162" s="185"/>
      <c r="H162" s="185"/>
      <c r="I162" s="185"/>
      <c r="J162" s="185"/>
      <c r="K162" s="185"/>
      <c r="L162" s="185"/>
      <c r="M162" s="185"/>
      <c r="N162" s="185"/>
      <c r="O162" s="185"/>
      <c r="P162" s="185"/>
      <c r="Q162" s="185"/>
      <c r="R162" s="185"/>
      <c r="S162" s="185"/>
      <c r="T162" s="185"/>
      <c r="U162" s="185"/>
      <c r="V162" s="185"/>
      <c r="W162" s="185"/>
      <c r="X162" s="185"/>
      <c r="Y162" s="185"/>
      <c r="Z162" s="185"/>
      <c r="AA162" s="185"/>
      <c r="AB162" s="185"/>
      <c r="AC162" s="185"/>
      <c r="AD162" s="185"/>
      <c r="AE162" s="185"/>
      <c r="AF162" s="185"/>
      <c r="AG162" s="185"/>
      <c r="AH162" s="185"/>
      <c r="AI162" s="185"/>
      <c r="AJ162" s="185"/>
      <c r="AK162" s="185"/>
      <c r="AL162" s="185"/>
      <c r="AM162" s="185"/>
      <c r="AN162" s="185"/>
      <c r="AO162" s="185"/>
      <c r="AP162" s="185"/>
      <c r="AQ162" s="185"/>
      <c r="AR162" s="185"/>
      <c r="AS162" s="185"/>
      <c r="AT162" s="185"/>
      <c r="AU162" s="185"/>
      <c r="AV162" s="185"/>
      <c r="AW162" s="185"/>
      <c r="AX162" s="185"/>
      <c r="AY162" s="185"/>
      <c r="AZ162" s="185"/>
      <c r="BA162" s="185"/>
      <c r="BB162" s="185"/>
      <c r="BC162" s="185"/>
      <c r="BD162" s="185"/>
      <c r="BE162" s="185"/>
      <c r="BF162" s="185"/>
      <c r="BG162" s="185"/>
      <c r="BH162" s="185"/>
      <c r="BI162" s="185"/>
      <c r="BJ162" s="185"/>
      <c r="BK162" s="186"/>
    </row>
    <row r="163" spans="1:63">
      <c r="A163" s="185"/>
      <c r="B163" s="185"/>
      <c r="C163" s="185"/>
      <c r="D163" s="185"/>
      <c r="E163" s="185"/>
      <c r="F163" s="185"/>
      <c r="G163" s="185"/>
      <c r="H163" s="185"/>
      <c r="I163" s="185"/>
      <c r="J163" s="185"/>
      <c r="K163" s="185"/>
      <c r="L163" s="185"/>
      <c r="M163" s="185"/>
      <c r="N163" s="185"/>
      <c r="O163" s="185"/>
      <c r="P163" s="185"/>
      <c r="Q163" s="185"/>
      <c r="R163" s="185"/>
      <c r="S163" s="185"/>
      <c r="T163" s="185"/>
      <c r="U163" s="185"/>
      <c r="V163" s="185"/>
      <c r="W163" s="185"/>
      <c r="X163" s="185"/>
      <c r="Y163" s="185"/>
      <c r="Z163" s="185"/>
      <c r="AA163" s="185"/>
      <c r="AB163" s="185"/>
      <c r="AC163" s="185"/>
      <c r="AD163" s="185"/>
      <c r="AE163" s="185"/>
      <c r="AF163" s="185"/>
      <c r="AG163" s="185"/>
      <c r="AH163" s="185"/>
      <c r="AI163" s="185"/>
      <c r="AJ163" s="185"/>
      <c r="AK163" s="185"/>
      <c r="AL163" s="185"/>
      <c r="AM163" s="185"/>
      <c r="AN163" s="185"/>
      <c r="AO163" s="185"/>
      <c r="AP163" s="185"/>
      <c r="AQ163" s="185"/>
      <c r="AR163" s="185"/>
      <c r="AS163" s="185"/>
      <c r="AT163" s="185"/>
      <c r="AU163" s="185"/>
      <c r="AV163" s="185"/>
      <c r="AW163" s="185"/>
      <c r="AX163" s="185"/>
      <c r="AY163" s="185"/>
      <c r="AZ163" s="185"/>
      <c r="BA163" s="185"/>
      <c r="BB163" s="185"/>
      <c r="BC163" s="185"/>
      <c r="BD163" s="185"/>
      <c r="BE163" s="185"/>
      <c r="BF163" s="185"/>
      <c r="BG163" s="185"/>
      <c r="BH163" s="185"/>
      <c r="BI163" s="185"/>
      <c r="BJ163" s="185"/>
      <c r="BK163" s="186"/>
    </row>
    <row r="164" spans="1:63">
      <c r="A164" s="185"/>
      <c r="B164" s="185"/>
      <c r="C164" s="185"/>
      <c r="D164" s="185"/>
      <c r="E164" s="185"/>
      <c r="F164" s="185"/>
      <c r="G164" s="185"/>
      <c r="H164" s="185"/>
      <c r="I164" s="185"/>
      <c r="J164" s="185"/>
      <c r="K164" s="185"/>
      <c r="L164" s="185"/>
      <c r="M164" s="185"/>
      <c r="N164" s="185"/>
      <c r="O164" s="185"/>
      <c r="P164" s="185"/>
      <c r="Q164" s="185"/>
      <c r="R164" s="185"/>
      <c r="S164" s="185"/>
      <c r="T164" s="185"/>
      <c r="U164" s="185"/>
      <c r="V164" s="185"/>
      <c r="W164" s="185"/>
      <c r="X164" s="185"/>
      <c r="Y164" s="185"/>
      <c r="Z164" s="185"/>
      <c r="AA164" s="185"/>
      <c r="AB164" s="185"/>
      <c r="AC164" s="185"/>
      <c r="AD164" s="185"/>
      <c r="AE164" s="185"/>
      <c r="AF164" s="185"/>
      <c r="AG164" s="185"/>
      <c r="AH164" s="185"/>
      <c r="AI164" s="185"/>
      <c r="AJ164" s="185"/>
      <c r="AK164" s="185"/>
      <c r="AL164" s="185"/>
      <c r="AM164" s="185"/>
      <c r="AN164" s="185"/>
      <c r="AO164" s="185"/>
      <c r="AP164" s="185"/>
      <c r="AQ164" s="185"/>
      <c r="AR164" s="185"/>
      <c r="AS164" s="185"/>
      <c r="AT164" s="185"/>
      <c r="AU164" s="185"/>
      <c r="AV164" s="185"/>
      <c r="AW164" s="185"/>
      <c r="AX164" s="185"/>
      <c r="AY164" s="185"/>
      <c r="AZ164" s="185"/>
      <c r="BA164" s="185"/>
      <c r="BB164" s="185"/>
      <c r="BC164" s="185"/>
      <c r="BD164" s="185"/>
      <c r="BE164" s="185"/>
      <c r="BF164" s="185"/>
      <c r="BG164" s="185"/>
      <c r="BH164" s="185"/>
      <c r="BI164" s="185"/>
      <c r="BJ164" s="185"/>
      <c r="BK164" s="186"/>
    </row>
    <row r="165" spans="1:63">
      <c r="A165" s="185"/>
      <c r="B165" s="185"/>
      <c r="C165" s="185"/>
      <c r="D165" s="185"/>
      <c r="E165" s="185"/>
      <c r="F165" s="185"/>
      <c r="G165" s="185"/>
      <c r="H165" s="185"/>
      <c r="I165" s="185"/>
      <c r="J165" s="185"/>
      <c r="K165" s="185"/>
      <c r="L165" s="185"/>
      <c r="M165" s="185"/>
      <c r="N165" s="185"/>
      <c r="O165" s="185"/>
      <c r="P165" s="185"/>
      <c r="Q165" s="185"/>
      <c r="R165" s="185"/>
      <c r="S165" s="185"/>
      <c r="T165" s="185"/>
      <c r="U165" s="185"/>
      <c r="V165" s="185"/>
      <c r="W165" s="185"/>
      <c r="X165" s="185"/>
      <c r="Y165" s="185"/>
      <c r="Z165" s="185"/>
      <c r="AA165" s="185"/>
      <c r="AB165" s="185"/>
      <c r="AC165" s="185"/>
      <c r="AD165" s="185"/>
      <c r="AE165" s="185"/>
      <c r="AF165" s="185"/>
      <c r="AG165" s="185"/>
      <c r="AH165" s="185"/>
      <c r="AI165" s="185"/>
      <c r="AJ165" s="185"/>
      <c r="AK165" s="185"/>
      <c r="AL165" s="185"/>
      <c r="AM165" s="185"/>
      <c r="AN165" s="185"/>
      <c r="AO165" s="185"/>
      <c r="AP165" s="185"/>
      <c r="AQ165" s="185"/>
      <c r="AR165" s="185"/>
      <c r="AS165" s="185"/>
      <c r="AT165" s="185"/>
      <c r="AU165" s="185"/>
      <c r="AV165" s="185"/>
      <c r="AW165" s="185"/>
      <c r="AX165" s="185"/>
      <c r="AY165" s="185"/>
      <c r="AZ165" s="185"/>
      <c r="BA165" s="185"/>
      <c r="BB165" s="185"/>
      <c r="BC165" s="185"/>
      <c r="BD165" s="185"/>
      <c r="BE165" s="185"/>
      <c r="BF165" s="185"/>
      <c r="BG165" s="185"/>
      <c r="BH165" s="185"/>
      <c r="BI165" s="185"/>
      <c r="BJ165" s="185"/>
      <c r="BK165" s="186"/>
    </row>
    <row r="166" spans="1:63">
      <c r="A166" s="185"/>
      <c r="B166" s="185"/>
      <c r="C166" s="185"/>
      <c r="D166" s="185"/>
      <c r="E166" s="185"/>
      <c r="F166" s="185"/>
      <c r="G166" s="185"/>
      <c r="H166" s="185"/>
      <c r="I166" s="185"/>
      <c r="J166" s="185"/>
      <c r="K166" s="185"/>
      <c r="L166" s="185"/>
      <c r="M166" s="185"/>
      <c r="N166" s="185"/>
      <c r="O166" s="185"/>
      <c r="P166" s="185"/>
      <c r="Q166" s="185"/>
      <c r="R166" s="185"/>
      <c r="S166" s="185"/>
      <c r="T166" s="185"/>
      <c r="U166" s="185"/>
      <c r="V166" s="185"/>
      <c r="W166" s="185"/>
      <c r="X166" s="185"/>
      <c r="Y166" s="185"/>
      <c r="Z166" s="185"/>
      <c r="AA166" s="185"/>
      <c r="AB166" s="185"/>
      <c r="AC166" s="185"/>
      <c r="AD166" s="185"/>
      <c r="AE166" s="185"/>
      <c r="AF166" s="185"/>
      <c r="AG166" s="185"/>
      <c r="AH166" s="185"/>
      <c r="AI166" s="185"/>
      <c r="AJ166" s="185"/>
      <c r="AK166" s="185"/>
      <c r="AL166" s="185"/>
      <c r="AM166" s="185"/>
      <c r="AN166" s="185"/>
      <c r="AO166" s="185"/>
      <c r="AP166" s="185"/>
      <c r="AQ166" s="185"/>
      <c r="AR166" s="185"/>
      <c r="AS166" s="185"/>
      <c r="AT166" s="185"/>
      <c r="AU166" s="185"/>
      <c r="AV166" s="185"/>
      <c r="AW166" s="185"/>
      <c r="AX166" s="185"/>
      <c r="AY166" s="185"/>
      <c r="AZ166" s="185"/>
      <c r="BA166" s="185"/>
      <c r="BB166" s="185"/>
      <c r="BC166" s="185"/>
      <c r="BD166" s="185"/>
      <c r="BE166" s="185"/>
      <c r="BF166" s="185"/>
      <c r="BG166" s="185"/>
      <c r="BH166" s="185"/>
      <c r="BI166" s="185"/>
      <c r="BJ166" s="185"/>
      <c r="BK166" s="186"/>
    </row>
    <row r="167" spans="1:63">
      <c r="A167" s="185"/>
      <c r="B167" s="185"/>
      <c r="C167" s="185"/>
      <c r="D167" s="185"/>
      <c r="E167" s="185"/>
      <c r="F167" s="185"/>
      <c r="G167" s="185"/>
      <c r="H167" s="185"/>
      <c r="I167" s="185"/>
      <c r="J167" s="185"/>
      <c r="K167" s="185"/>
      <c r="L167" s="185"/>
      <c r="M167" s="185"/>
      <c r="N167" s="185"/>
      <c r="O167" s="185"/>
      <c r="P167" s="185"/>
      <c r="Q167" s="185"/>
      <c r="R167" s="185"/>
      <c r="S167" s="185"/>
      <c r="T167" s="185"/>
      <c r="U167" s="185"/>
      <c r="V167" s="185"/>
      <c r="W167" s="185"/>
      <c r="X167" s="185"/>
      <c r="Y167" s="185"/>
      <c r="Z167" s="185"/>
      <c r="AA167" s="185"/>
      <c r="AB167" s="185"/>
      <c r="AC167" s="185"/>
      <c r="AD167" s="185"/>
      <c r="AE167" s="185"/>
      <c r="AF167" s="185"/>
      <c r="AG167" s="185"/>
      <c r="AH167" s="185"/>
      <c r="AI167" s="185"/>
      <c r="AJ167" s="185"/>
      <c r="AK167" s="185"/>
      <c r="AL167" s="185"/>
      <c r="AM167" s="185"/>
      <c r="AN167" s="185"/>
      <c r="AO167" s="185"/>
      <c r="AP167" s="185"/>
      <c r="AQ167" s="185"/>
      <c r="AR167" s="185"/>
      <c r="AS167" s="185"/>
      <c r="AT167" s="185"/>
      <c r="AU167" s="185"/>
      <c r="AV167" s="185"/>
      <c r="AW167" s="185"/>
      <c r="AX167" s="185"/>
      <c r="AY167" s="185"/>
      <c r="AZ167" s="185"/>
      <c r="BA167" s="185"/>
      <c r="BB167" s="185"/>
      <c r="BC167" s="185"/>
      <c r="BD167" s="185"/>
      <c r="BE167" s="185"/>
      <c r="BF167" s="185"/>
      <c r="BG167" s="185"/>
      <c r="BH167" s="185"/>
      <c r="BI167" s="185"/>
      <c r="BJ167" s="185"/>
      <c r="BK167" s="186"/>
    </row>
    <row r="168" spans="1:63">
      <c r="A168" s="185"/>
      <c r="B168" s="185"/>
      <c r="C168" s="185"/>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6"/>
    </row>
    <row r="169" spans="1:63">
      <c r="A169" s="185"/>
      <c r="B169" s="185"/>
      <c r="C169" s="185"/>
      <c r="D169" s="185"/>
      <c r="E169" s="185"/>
      <c r="F169" s="185"/>
      <c r="G169" s="185"/>
      <c r="H169" s="185"/>
      <c r="I169" s="185"/>
      <c r="J169" s="185"/>
      <c r="K169" s="185"/>
      <c r="L169" s="185"/>
      <c r="M169" s="185"/>
      <c r="N169" s="185"/>
      <c r="O169" s="185"/>
      <c r="P169" s="185"/>
      <c r="Q169" s="185"/>
      <c r="R169" s="185"/>
      <c r="S169" s="185"/>
      <c r="T169" s="185"/>
      <c r="U169" s="185"/>
      <c r="V169" s="185"/>
      <c r="W169" s="185"/>
      <c r="X169" s="185"/>
      <c r="Y169" s="185"/>
      <c r="Z169" s="185"/>
      <c r="AA169" s="185"/>
      <c r="AB169" s="185"/>
      <c r="AC169" s="185"/>
      <c r="AD169" s="185"/>
      <c r="AE169" s="185"/>
      <c r="AF169" s="185"/>
      <c r="AG169" s="185"/>
      <c r="AH169" s="185"/>
      <c r="AI169" s="185"/>
      <c r="AJ169" s="185"/>
      <c r="AK169" s="185"/>
      <c r="AL169" s="185"/>
      <c r="AM169" s="185"/>
      <c r="AN169" s="185"/>
      <c r="AO169" s="185"/>
      <c r="AP169" s="185"/>
      <c r="AQ169" s="185"/>
      <c r="AR169" s="185"/>
      <c r="AS169" s="185"/>
      <c r="AT169" s="185"/>
      <c r="AU169" s="185"/>
      <c r="AV169" s="185"/>
      <c r="AW169" s="185"/>
      <c r="AX169" s="185"/>
      <c r="AY169" s="185"/>
      <c r="AZ169" s="185"/>
      <c r="BA169" s="185"/>
      <c r="BB169" s="185"/>
      <c r="BC169" s="185"/>
      <c r="BD169" s="185"/>
      <c r="BE169" s="185"/>
      <c r="BF169" s="185"/>
      <c r="BG169" s="185"/>
      <c r="BH169" s="185"/>
      <c r="BI169" s="185"/>
      <c r="BJ169" s="185"/>
      <c r="BK169" s="186"/>
    </row>
    <row r="170" spans="1:63">
      <c r="A170" s="185"/>
      <c r="B170" s="185"/>
      <c r="C170" s="185"/>
      <c r="D170" s="185"/>
      <c r="E170" s="185"/>
      <c r="F170" s="185"/>
      <c r="G170" s="185"/>
      <c r="H170" s="185"/>
      <c r="I170" s="185"/>
      <c r="J170" s="185"/>
      <c r="K170" s="185"/>
      <c r="L170" s="185"/>
      <c r="M170" s="185"/>
      <c r="N170" s="185"/>
      <c r="O170" s="185"/>
      <c r="P170" s="185"/>
      <c r="Q170" s="185"/>
      <c r="R170" s="185"/>
      <c r="S170" s="185"/>
      <c r="T170" s="185"/>
      <c r="U170" s="185"/>
      <c r="V170" s="185"/>
      <c r="W170" s="185"/>
      <c r="X170" s="185"/>
      <c r="Y170" s="185"/>
      <c r="Z170" s="185"/>
      <c r="AA170" s="185"/>
      <c r="AB170" s="185"/>
      <c r="AC170" s="185"/>
      <c r="AD170" s="185"/>
      <c r="AE170" s="185"/>
      <c r="AF170" s="185"/>
      <c r="AG170" s="185"/>
      <c r="AH170" s="185"/>
      <c r="AI170" s="185"/>
      <c r="AJ170" s="185"/>
      <c r="AK170" s="185"/>
      <c r="AL170" s="185"/>
      <c r="AM170" s="185"/>
      <c r="AN170" s="185"/>
      <c r="AO170" s="185"/>
      <c r="AP170" s="185"/>
      <c r="AQ170" s="185"/>
      <c r="AR170" s="185"/>
      <c r="AS170" s="185"/>
      <c r="AT170" s="185"/>
      <c r="AU170" s="185"/>
      <c r="AV170" s="185"/>
      <c r="AW170" s="185"/>
      <c r="AX170" s="185"/>
      <c r="AY170" s="185"/>
      <c r="AZ170" s="185"/>
      <c r="BA170" s="185"/>
      <c r="BB170" s="185"/>
      <c r="BC170" s="185"/>
      <c r="BD170" s="185"/>
      <c r="BE170" s="185"/>
      <c r="BF170" s="185"/>
      <c r="BG170" s="185"/>
      <c r="BH170" s="185"/>
      <c r="BI170" s="185"/>
      <c r="BJ170" s="185"/>
      <c r="BK170" s="186"/>
    </row>
    <row r="171" spans="1:63">
      <c r="A171" s="185"/>
      <c r="B171" s="185"/>
      <c r="C171" s="185"/>
      <c r="D171" s="185"/>
      <c r="E171" s="185"/>
      <c r="F171" s="185"/>
      <c r="G171" s="185"/>
      <c r="H171" s="185"/>
      <c r="I171" s="185"/>
      <c r="J171" s="185"/>
      <c r="K171" s="185"/>
      <c r="L171" s="185"/>
      <c r="M171" s="185"/>
      <c r="N171" s="185"/>
      <c r="O171" s="185"/>
      <c r="P171" s="185"/>
      <c r="Q171" s="185"/>
      <c r="R171" s="185"/>
      <c r="S171" s="185"/>
      <c r="T171" s="185"/>
      <c r="U171" s="185"/>
      <c r="V171" s="185"/>
      <c r="W171" s="185"/>
      <c r="X171" s="185"/>
      <c r="Y171" s="185"/>
      <c r="Z171" s="185"/>
      <c r="AA171" s="185"/>
      <c r="AB171" s="185"/>
      <c r="AC171" s="185"/>
      <c r="AD171" s="185"/>
      <c r="AE171" s="185"/>
      <c r="AF171" s="185"/>
      <c r="AG171" s="185"/>
      <c r="AH171" s="185"/>
      <c r="AI171" s="185"/>
      <c r="AJ171" s="185"/>
      <c r="AK171" s="185"/>
      <c r="AL171" s="185"/>
      <c r="AM171" s="185"/>
      <c r="AN171" s="185"/>
      <c r="AO171" s="185"/>
      <c r="AP171" s="185"/>
      <c r="AQ171" s="185"/>
      <c r="AR171" s="185"/>
      <c r="AS171" s="185"/>
      <c r="AT171" s="185"/>
      <c r="AU171" s="185"/>
      <c r="AV171" s="185"/>
      <c r="AW171" s="185"/>
      <c r="AX171" s="185"/>
      <c r="AY171" s="185"/>
      <c r="AZ171" s="185"/>
      <c r="BA171" s="185"/>
      <c r="BB171" s="185"/>
      <c r="BC171" s="185"/>
      <c r="BD171" s="185"/>
      <c r="BE171" s="185"/>
      <c r="BF171" s="185"/>
      <c r="BG171" s="185"/>
      <c r="BH171" s="185"/>
      <c r="BI171" s="185"/>
      <c r="BJ171" s="185"/>
      <c r="BK171" s="186"/>
    </row>
    <row r="172" spans="1:63">
      <c r="A172" s="185"/>
      <c r="B172" s="185"/>
      <c r="C172" s="185"/>
      <c r="D172" s="185"/>
      <c r="E172" s="185"/>
      <c r="F172" s="185"/>
      <c r="G172" s="185"/>
      <c r="H172" s="185"/>
      <c r="I172" s="185"/>
      <c r="J172" s="185"/>
      <c r="K172" s="185"/>
      <c r="L172" s="185"/>
      <c r="M172" s="185"/>
      <c r="N172" s="185"/>
      <c r="O172" s="185"/>
      <c r="P172" s="185"/>
      <c r="Q172" s="185"/>
      <c r="R172" s="185"/>
      <c r="S172" s="185"/>
      <c r="T172" s="185"/>
      <c r="U172" s="185"/>
      <c r="V172" s="185"/>
      <c r="W172" s="185"/>
      <c r="X172" s="185"/>
      <c r="Y172" s="185"/>
      <c r="Z172" s="185"/>
      <c r="AA172" s="185"/>
      <c r="AB172" s="185"/>
      <c r="AC172" s="185"/>
      <c r="AD172" s="185"/>
      <c r="AE172" s="185"/>
      <c r="AF172" s="185"/>
      <c r="AG172" s="185"/>
      <c r="AH172" s="185"/>
      <c r="AI172" s="185"/>
      <c r="AJ172" s="185"/>
      <c r="AK172" s="185"/>
      <c r="AL172" s="185"/>
      <c r="AM172" s="185"/>
      <c r="AN172" s="185"/>
      <c r="AO172" s="185"/>
      <c r="AP172" s="185"/>
      <c r="AQ172" s="185"/>
      <c r="AR172" s="185"/>
      <c r="AS172" s="185"/>
      <c r="AT172" s="185"/>
      <c r="AU172" s="185"/>
      <c r="AV172" s="185"/>
      <c r="AW172" s="185"/>
      <c r="AX172" s="185"/>
      <c r="AY172" s="185"/>
      <c r="AZ172" s="185"/>
      <c r="BA172" s="185"/>
      <c r="BB172" s="185"/>
      <c r="BC172" s="185"/>
      <c r="BD172" s="185"/>
      <c r="BE172" s="185"/>
      <c r="BF172" s="185"/>
      <c r="BG172" s="185"/>
      <c r="BH172" s="185"/>
      <c r="BI172" s="185"/>
      <c r="BJ172" s="185"/>
      <c r="BK172" s="186"/>
    </row>
    <row r="173" spans="1:63">
      <c r="A173" s="185"/>
      <c r="B173" s="185"/>
      <c r="C173" s="185"/>
      <c r="D173" s="185"/>
      <c r="E173" s="185"/>
      <c r="F173" s="185"/>
      <c r="G173" s="185"/>
      <c r="H173" s="185"/>
      <c r="I173" s="185"/>
      <c r="J173" s="185"/>
      <c r="K173" s="185"/>
      <c r="L173" s="185"/>
      <c r="M173" s="185"/>
      <c r="N173" s="185"/>
      <c r="O173" s="185"/>
      <c r="P173" s="185"/>
      <c r="Q173" s="185"/>
      <c r="R173" s="185"/>
      <c r="S173" s="185"/>
      <c r="T173" s="185"/>
      <c r="U173" s="185"/>
      <c r="V173" s="185"/>
      <c r="W173" s="185"/>
      <c r="X173" s="185"/>
      <c r="Y173" s="185"/>
      <c r="Z173" s="185"/>
      <c r="AA173" s="185"/>
      <c r="AB173" s="185"/>
      <c r="AC173" s="185"/>
      <c r="AD173" s="185"/>
      <c r="AE173" s="185"/>
      <c r="AF173" s="185"/>
      <c r="AG173" s="185"/>
      <c r="AH173" s="185"/>
      <c r="AI173" s="185"/>
      <c r="AJ173" s="185"/>
      <c r="AK173" s="185"/>
      <c r="AL173" s="185"/>
      <c r="AM173" s="185"/>
      <c r="AN173" s="185"/>
      <c r="AO173" s="185"/>
      <c r="AP173" s="185"/>
      <c r="AQ173" s="185"/>
      <c r="AR173" s="185"/>
      <c r="AS173" s="185"/>
      <c r="AT173" s="185"/>
      <c r="AU173" s="185"/>
      <c r="AV173" s="185"/>
      <c r="AW173" s="185"/>
      <c r="AX173" s="185"/>
      <c r="AY173" s="185"/>
      <c r="AZ173" s="185"/>
      <c r="BA173" s="185"/>
      <c r="BB173" s="185"/>
      <c r="BC173" s="185"/>
      <c r="BD173" s="185"/>
      <c r="BE173" s="185"/>
      <c r="BF173" s="185"/>
      <c r="BG173" s="185"/>
      <c r="BH173" s="185"/>
      <c r="BI173" s="185"/>
      <c r="BJ173" s="185"/>
      <c r="BK173" s="186"/>
    </row>
    <row r="174" spans="1:63">
      <c r="A174" s="185"/>
      <c r="B174" s="185"/>
      <c r="C174" s="185"/>
      <c r="D174" s="185"/>
      <c r="E174" s="185"/>
      <c r="F174" s="185"/>
      <c r="G174" s="185"/>
      <c r="H174" s="185"/>
      <c r="I174" s="185"/>
      <c r="J174" s="185"/>
      <c r="K174" s="185"/>
      <c r="L174" s="185"/>
      <c r="M174" s="185"/>
      <c r="N174" s="185"/>
      <c r="O174" s="185"/>
      <c r="P174" s="185"/>
      <c r="Q174" s="185"/>
      <c r="R174" s="185"/>
      <c r="S174" s="185"/>
      <c r="T174" s="185"/>
      <c r="U174" s="185"/>
      <c r="V174" s="185"/>
      <c r="W174" s="185"/>
      <c r="X174" s="185"/>
      <c r="Y174" s="185"/>
      <c r="Z174" s="185"/>
      <c r="AA174" s="185"/>
      <c r="AB174" s="185"/>
      <c r="AC174" s="185"/>
      <c r="AD174" s="185"/>
      <c r="AE174" s="185"/>
      <c r="AF174" s="185"/>
      <c r="AG174" s="185"/>
      <c r="AH174" s="185"/>
      <c r="AI174" s="185"/>
      <c r="AJ174" s="185"/>
      <c r="AK174" s="185"/>
      <c r="AL174" s="185"/>
      <c r="AM174" s="185"/>
      <c r="AN174" s="185"/>
      <c r="AO174" s="185"/>
      <c r="AP174" s="185"/>
      <c r="AQ174" s="185"/>
      <c r="AR174" s="185"/>
      <c r="AS174" s="185"/>
      <c r="AT174" s="185"/>
      <c r="AU174" s="185"/>
      <c r="AV174" s="185"/>
      <c r="AW174" s="185"/>
      <c r="AX174" s="185"/>
      <c r="AY174" s="185"/>
      <c r="AZ174" s="185"/>
      <c r="BA174" s="185"/>
      <c r="BB174" s="185"/>
      <c r="BC174" s="185"/>
      <c r="BD174" s="185"/>
      <c r="BE174" s="185"/>
      <c r="BF174" s="185"/>
      <c r="BG174" s="185"/>
      <c r="BH174" s="185"/>
      <c r="BI174" s="185"/>
      <c r="BJ174" s="185"/>
      <c r="BK174" s="186"/>
    </row>
    <row r="175" spans="1:63">
      <c r="A175" s="185"/>
      <c r="B175" s="185"/>
      <c r="C175" s="185"/>
      <c r="D175" s="185"/>
      <c r="E175" s="185"/>
      <c r="F175" s="185"/>
      <c r="G175" s="185"/>
      <c r="H175" s="185"/>
      <c r="I175" s="185"/>
      <c r="J175" s="185"/>
      <c r="K175" s="185"/>
      <c r="L175" s="185"/>
      <c r="M175" s="185"/>
      <c r="N175" s="185"/>
      <c r="O175" s="185"/>
      <c r="P175" s="185"/>
      <c r="Q175" s="185"/>
      <c r="R175" s="185"/>
      <c r="S175" s="185"/>
      <c r="T175" s="185"/>
      <c r="U175" s="185"/>
      <c r="V175" s="185"/>
      <c r="W175" s="185"/>
      <c r="X175" s="185"/>
      <c r="Y175" s="185"/>
      <c r="Z175" s="185"/>
      <c r="AA175" s="185"/>
      <c r="AB175" s="185"/>
      <c r="AC175" s="185"/>
      <c r="AD175" s="185"/>
      <c r="AE175" s="185"/>
      <c r="AF175" s="185"/>
      <c r="AG175" s="185"/>
      <c r="AH175" s="185"/>
      <c r="AI175" s="185"/>
      <c r="AJ175" s="185"/>
      <c r="AK175" s="185"/>
      <c r="AL175" s="185"/>
      <c r="AM175" s="185"/>
      <c r="AN175" s="185"/>
      <c r="AO175" s="185"/>
      <c r="AP175" s="185"/>
      <c r="AQ175" s="185"/>
      <c r="AR175" s="185"/>
      <c r="AS175" s="185"/>
      <c r="AT175" s="185"/>
      <c r="AU175" s="185"/>
      <c r="AV175" s="185"/>
      <c r="AW175" s="185"/>
      <c r="AX175" s="185"/>
      <c r="AY175" s="185"/>
      <c r="AZ175" s="185"/>
      <c r="BA175" s="185"/>
      <c r="BB175" s="185"/>
      <c r="BC175" s="185"/>
      <c r="BD175" s="185"/>
      <c r="BE175" s="185"/>
      <c r="BF175" s="185"/>
      <c r="BG175" s="185"/>
      <c r="BH175" s="185"/>
      <c r="BI175" s="185"/>
      <c r="BJ175" s="185"/>
      <c r="BK175" s="186"/>
    </row>
    <row r="176" spans="1:63">
      <c r="A176" s="185"/>
      <c r="B176" s="185"/>
      <c r="C176" s="185"/>
      <c r="D176" s="185"/>
      <c r="E176" s="185"/>
      <c r="F176" s="185"/>
      <c r="G176" s="185"/>
      <c r="H176" s="185"/>
      <c r="I176" s="185"/>
      <c r="J176" s="185"/>
      <c r="K176" s="185"/>
      <c r="L176" s="185"/>
      <c r="M176" s="185"/>
      <c r="N176" s="185"/>
      <c r="O176" s="185"/>
      <c r="P176" s="185"/>
      <c r="Q176" s="185"/>
      <c r="R176" s="185"/>
      <c r="S176" s="185"/>
      <c r="T176" s="185"/>
      <c r="U176" s="185"/>
      <c r="V176" s="185"/>
      <c r="W176" s="185"/>
      <c r="X176" s="185"/>
      <c r="Y176" s="185"/>
      <c r="Z176" s="185"/>
      <c r="AA176" s="185"/>
      <c r="AB176" s="185"/>
      <c r="AC176" s="185"/>
      <c r="AD176" s="185"/>
      <c r="AE176" s="185"/>
      <c r="AF176" s="185"/>
      <c r="AG176" s="185"/>
      <c r="AH176" s="185"/>
      <c r="AI176" s="185"/>
      <c r="AJ176" s="185"/>
      <c r="AK176" s="185"/>
      <c r="AL176" s="185"/>
      <c r="AM176" s="185"/>
      <c r="AN176" s="185"/>
      <c r="AO176" s="185"/>
      <c r="AP176" s="185"/>
      <c r="AQ176" s="185"/>
      <c r="AR176" s="185"/>
      <c r="AS176" s="185"/>
      <c r="AT176" s="185"/>
      <c r="AU176" s="185"/>
      <c r="AV176" s="185"/>
      <c r="AW176" s="185"/>
      <c r="AX176" s="185"/>
      <c r="AY176" s="185"/>
      <c r="AZ176" s="185"/>
      <c r="BA176" s="185"/>
      <c r="BB176" s="185"/>
      <c r="BC176" s="185"/>
      <c r="BD176" s="185"/>
      <c r="BE176" s="185"/>
      <c r="BF176" s="185"/>
      <c r="BG176" s="185"/>
      <c r="BH176" s="185"/>
      <c r="BI176" s="185"/>
      <c r="BJ176" s="185"/>
      <c r="BK176" s="186"/>
    </row>
    <row r="177" spans="1:63">
      <c r="A177" s="185"/>
      <c r="B177" s="185"/>
      <c r="C177" s="185"/>
      <c r="D177" s="185"/>
      <c r="E177" s="185"/>
      <c r="F177" s="185"/>
      <c r="G177" s="185"/>
      <c r="H177" s="185"/>
      <c r="I177" s="185"/>
      <c r="J177" s="185"/>
      <c r="K177" s="185"/>
      <c r="L177" s="185"/>
      <c r="M177" s="185"/>
      <c r="N177" s="185"/>
      <c r="O177" s="185"/>
      <c r="P177" s="185"/>
      <c r="Q177" s="185"/>
      <c r="R177" s="185"/>
      <c r="S177" s="185"/>
      <c r="T177" s="185"/>
      <c r="U177" s="185"/>
      <c r="V177" s="185"/>
      <c r="W177" s="185"/>
      <c r="X177" s="185"/>
      <c r="Y177" s="185"/>
      <c r="Z177" s="185"/>
      <c r="AA177" s="185"/>
      <c r="AB177" s="185"/>
      <c r="AC177" s="185"/>
      <c r="AD177" s="185"/>
      <c r="AE177" s="185"/>
      <c r="AF177" s="185"/>
      <c r="AG177" s="185"/>
      <c r="AH177" s="185"/>
      <c r="AI177" s="185"/>
      <c r="AJ177" s="185"/>
      <c r="AK177" s="185"/>
      <c r="AL177" s="185"/>
      <c r="AM177" s="185"/>
      <c r="AN177" s="185"/>
      <c r="AO177" s="185"/>
      <c r="AP177" s="185"/>
      <c r="AQ177" s="185"/>
      <c r="AR177" s="185"/>
      <c r="AS177" s="185"/>
      <c r="AT177" s="185"/>
      <c r="AU177" s="185"/>
      <c r="AV177" s="185"/>
      <c r="AW177" s="185"/>
      <c r="AX177" s="185"/>
      <c r="AY177" s="185"/>
      <c r="AZ177" s="185"/>
      <c r="BA177" s="185"/>
      <c r="BB177" s="185"/>
      <c r="BC177" s="185"/>
      <c r="BD177" s="185"/>
      <c r="BE177" s="185"/>
      <c r="BF177" s="185"/>
      <c r="BG177" s="185"/>
      <c r="BH177" s="185"/>
      <c r="BI177" s="185"/>
      <c r="BJ177" s="185"/>
      <c r="BK177" s="186"/>
    </row>
    <row r="178" spans="1:63">
      <c r="A178" s="185"/>
      <c r="B178" s="185"/>
      <c r="C178" s="185"/>
      <c r="D178" s="185"/>
      <c r="E178" s="185"/>
      <c r="F178" s="185"/>
      <c r="G178" s="185"/>
      <c r="H178" s="185"/>
      <c r="I178" s="185"/>
      <c r="J178" s="185"/>
      <c r="K178" s="185"/>
      <c r="L178" s="185"/>
      <c r="M178" s="185"/>
      <c r="N178" s="185"/>
      <c r="O178" s="185"/>
      <c r="P178" s="185"/>
      <c r="Q178" s="185"/>
      <c r="R178" s="185"/>
      <c r="S178" s="185"/>
      <c r="T178" s="185"/>
      <c r="U178" s="185"/>
      <c r="V178" s="185"/>
      <c r="W178" s="185"/>
      <c r="X178" s="185"/>
      <c r="Y178" s="185"/>
      <c r="Z178" s="185"/>
      <c r="AA178" s="185"/>
      <c r="AB178" s="185"/>
      <c r="AC178" s="185"/>
      <c r="AD178" s="185"/>
      <c r="AE178" s="185"/>
      <c r="AF178" s="185"/>
      <c r="AG178" s="185"/>
      <c r="AH178" s="185"/>
      <c r="AI178" s="185"/>
      <c r="AJ178" s="185"/>
      <c r="AK178" s="185"/>
      <c r="AL178" s="185"/>
      <c r="AM178" s="185"/>
      <c r="AN178" s="185"/>
      <c r="AO178" s="185"/>
      <c r="AP178" s="185"/>
      <c r="AQ178" s="185"/>
      <c r="AR178" s="185"/>
      <c r="AS178" s="185"/>
      <c r="AT178" s="185"/>
      <c r="AU178" s="185"/>
      <c r="AV178" s="185"/>
      <c r="AW178" s="185"/>
      <c r="AX178" s="185"/>
      <c r="AY178" s="185"/>
      <c r="AZ178" s="185"/>
      <c r="BA178" s="185"/>
      <c r="BB178" s="185"/>
      <c r="BC178" s="185"/>
      <c r="BD178" s="185"/>
      <c r="BE178" s="185"/>
      <c r="BF178" s="185"/>
      <c r="BG178" s="185"/>
      <c r="BH178" s="185"/>
      <c r="BI178" s="185"/>
      <c r="BJ178" s="185"/>
      <c r="BK178" s="186"/>
    </row>
    <row r="179" spans="1:63">
      <c r="A179" s="185"/>
      <c r="B179" s="185"/>
      <c r="C179" s="185"/>
      <c r="D179" s="185"/>
      <c r="E179" s="185"/>
      <c r="F179" s="185"/>
      <c r="G179" s="185"/>
      <c r="H179" s="185"/>
      <c r="I179" s="185"/>
      <c r="J179" s="185"/>
      <c r="K179" s="185"/>
      <c r="L179" s="185"/>
      <c r="M179" s="185"/>
      <c r="N179" s="185"/>
      <c r="O179" s="185"/>
      <c r="P179" s="185"/>
      <c r="Q179" s="185"/>
      <c r="R179" s="185"/>
      <c r="S179" s="185"/>
      <c r="T179" s="185"/>
      <c r="U179" s="185"/>
      <c r="V179" s="185"/>
      <c r="W179" s="185"/>
      <c r="X179" s="185"/>
      <c r="Y179" s="185"/>
      <c r="Z179" s="185"/>
      <c r="AA179" s="185"/>
      <c r="AB179" s="185"/>
      <c r="AC179" s="185"/>
      <c r="AD179" s="185"/>
      <c r="AE179" s="185"/>
      <c r="AF179" s="185"/>
      <c r="AG179" s="185"/>
      <c r="AH179" s="185"/>
      <c r="AI179" s="185"/>
      <c r="AJ179" s="185"/>
      <c r="AK179" s="185"/>
      <c r="AL179" s="185"/>
      <c r="AM179" s="185"/>
      <c r="AN179" s="185"/>
      <c r="AO179" s="185"/>
      <c r="AP179" s="185"/>
      <c r="AQ179" s="185"/>
      <c r="AR179" s="185"/>
      <c r="AS179" s="185"/>
      <c r="AT179" s="185"/>
      <c r="AU179" s="185"/>
      <c r="AV179" s="185"/>
      <c r="AW179" s="185"/>
      <c r="AX179" s="185"/>
      <c r="AY179" s="185"/>
      <c r="AZ179" s="185"/>
      <c r="BA179" s="185"/>
      <c r="BB179" s="185"/>
      <c r="BC179" s="185"/>
      <c r="BD179" s="185"/>
      <c r="BE179" s="185"/>
      <c r="BF179" s="185"/>
      <c r="BG179" s="185"/>
      <c r="BH179" s="185"/>
      <c r="BI179" s="185"/>
      <c r="BJ179" s="185"/>
      <c r="BK179" s="186"/>
    </row>
    <row r="180" spans="1:63">
      <c r="A180" s="185"/>
      <c r="B180" s="185"/>
      <c r="C180" s="185"/>
      <c r="D180" s="185"/>
      <c r="E180" s="185"/>
      <c r="F180" s="185"/>
      <c r="G180" s="185"/>
      <c r="H180" s="185"/>
      <c r="I180" s="185"/>
      <c r="J180" s="185"/>
      <c r="K180" s="185"/>
      <c r="L180" s="185"/>
      <c r="M180" s="185"/>
      <c r="N180" s="185"/>
      <c r="O180" s="185"/>
      <c r="P180" s="185"/>
      <c r="Q180" s="185"/>
      <c r="R180" s="185"/>
      <c r="S180" s="185"/>
      <c r="T180" s="185"/>
      <c r="U180" s="185"/>
      <c r="V180" s="185"/>
      <c r="W180" s="185"/>
      <c r="X180" s="185"/>
      <c r="Y180" s="185"/>
      <c r="Z180" s="185"/>
      <c r="AA180" s="185"/>
      <c r="AB180" s="185"/>
      <c r="AC180" s="185"/>
      <c r="AD180" s="185"/>
      <c r="AE180" s="185"/>
      <c r="AF180" s="185"/>
      <c r="AG180" s="185"/>
      <c r="AH180" s="185"/>
      <c r="AI180" s="185"/>
      <c r="AJ180" s="185"/>
      <c r="AK180" s="185"/>
      <c r="AL180" s="185"/>
      <c r="AM180" s="185"/>
      <c r="AN180" s="185"/>
      <c r="AO180" s="185"/>
      <c r="AP180" s="185"/>
      <c r="AQ180" s="185"/>
      <c r="AR180" s="185"/>
      <c r="AS180" s="185"/>
      <c r="AT180" s="185"/>
      <c r="AU180" s="185"/>
      <c r="AV180" s="185"/>
      <c r="AW180" s="185"/>
      <c r="AX180" s="185"/>
      <c r="AY180" s="185"/>
      <c r="AZ180" s="185"/>
      <c r="BA180" s="185"/>
      <c r="BB180" s="185"/>
      <c r="BC180" s="185"/>
      <c r="BD180" s="185"/>
      <c r="BE180" s="185"/>
      <c r="BF180" s="185"/>
      <c r="BG180" s="185"/>
      <c r="BH180" s="185"/>
      <c r="BI180" s="185"/>
      <c r="BJ180" s="185"/>
      <c r="BK180" s="186"/>
    </row>
    <row r="181" spans="1:63">
      <c r="A181" s="185"/>
      <c r="B181" s="185"/>
      <c r="C181" s="185"/>
      <c r="D181" s="185"/>
      <c r="E181" s="185"/>
      <c r="F181" s="185"/>
      <c r="G181" s="185"/>
      <c r="H181" s="185"/>
      <c r="I181" s="185"/>
      <c r="J181" s="185"/>
      <c r="K181" s="185"/>
      <c r="L181" s="185"/>
      <c r="M181" s="185"/>
      <c r="N181" s="185"/>
      <c r="O181" s="185"/>
      <c r="P181" s="185"/>
      <c r="Q181" s="185"/>
      <c r="R181" s="185"/>
      <c r="S181" s="185"/>
      <c r="T181" s="185"/>
      <c r="U181" s="185"/>
      <c r="V181" s="185"/>
      <c r="W181" s="185"/>
      <c r="X181" s="185"/>
      <c r="Y181" s="185"/>
      <c r="Z181" s="185"/>
      <c r="AA181" s="185"/>
      <c r="AB181" s="185"/>
      <c r="AC181" s="185"/>
      <c r="AD181" s="185"/>
      <c r="AE181" s="185"/>
      <c r="AF181" s="185"/>
      <c r="AG181" s="185"/>
      <c r="AH181" s="185"/>
      <c r="AI181" s="185"/>
      <c r="AJ181" s="185"/>
      <c r="AK181" s="185"/>
      <c r="AL181" s="185"/>
      <c r="AM181" s="185"/>
      <c r="AN181" s="185"/>
      <c r="AO181" s="185"/>
      <c r="AP181" s="185"/>
      <c r="AQ181" s="185"/>
      <c r="AR181" s="185"/>
      <c r="AS181" s="185"/>
      <c r="AT181" s="185"/>
      <c r="AU181" s="185"/>
      <c r="AV181" s="185"/>
      <c r="AW181" s="185"/>
      <c r="AX181" s="185"/>
      <c r="AY181" s="185"/>
      <c r="AZ181" s="185"/>
      <c r="BA181" s="185"/>
      <c r="BB181" s="185"/>
      <c r="BC181" s="185"/>
      <c r="BD181" s="185"/>
      <c r="BE181" s="185"/>
      <c r="BF181" s="185"/>
      <c r="BG181" s="185"/>
      <c r="BH181" s="185"/>
      <c r="BI181" s="185"/>
      <c r="BJ181" s="185"/>
      <c r="BK181" s="186"/>
    </row>
    <row r="182" spans="1:63">
      <c r="A182" s="185"/>
      <c r="B182" s="185"/>
      <c r="C182" s="185"/>
      <c r="D182" s="185"/>
      <c r="E182" s="185"/>
      <c r="F182" s="185"/>
      <c r="G182" s="185"/>
      <c r="H182" s="185"/>
      <c r="I182" s="185"/>
      <c r="J182" s="185"/>
      <c r="K182" s="185"/>
      <c r="L182" s="185"/>
      <c r="M182" s="185"/>
      <c r="N182" s="185"/>
      <c r="O182" s="185"/>
      <c r="P182" s="185"/>
      <c r="Q182" s="185"/>
      <c r="R182" s="185"/>
      <c r="S182" s="185"/>
      <c r="T182" s="185"/>
      <c r="U182" s="185"/>
      <c r="V182" s="185"/>
      <c r="W182" s="185"/>
      <c r="X182" s="185"/>
      <c r="Y182" s="185"/>
      <c r="Z182" s="185"/>
      <c r="AA182" s="185"/>
      <c r="AB182" s="185"/>
      <c r="AC182" s="185"/>
      <c r="AD182" s="185"/>
      <c r="AE182" s="185"/>
      <c r="AF182" s="185"/>
      <c r="AG182" s="185"/>
      <c r="AH182" s="185"/>
      <c r="AI182" s="185"/>
      <c r="AJ182" s="185"/>
      <c r="AK182" s="185"/>
      <c r="AL182" s="185"/>
      <c r="AM182" s="185"/>
      <c r="AN182" s="185"/>
      <c r="AO182" s="185"/>
      <c r="AP182" s="185"/>
      <c r="AQ182" s="185"/>
      <c r="AR182" s="185"/>
      <c r="AS182" s="185"/>
      <c r="AT182" s="185"/>
      <c r="AU182" s="185"/>
      <c r="AV182" s="185"/>
      <c r="AW182" s="185"/>
      <c r="AX182" s="185"/>
      <c r="AY182" s="185"/>
      <c r="AZ182" s="185"/>
      <c r="BA182" s="185"/>
      <c r="BB182" s="185"/>
      <c r="BC182" s="185"/>
      <c r="BD182" s="185"/>
      <c r="BE182" s="185"/>
      <c r="BF182" s="185"/>
      <c r="BG182" s="185"/>
      <c r="BH182" s="185"/>
      <c r="BI182" s="185"/>
      <c r="BJ182" s="185"/>
      <c r="BK182" s="186"/>
    </row>
    <row r="183" spans="1:63">
      <c r="A183" s="185"/>
      <c r="B183" s="185"/>
      <c r="C183" s="185"/>
      <c r="D183" s="185"/>
      <c r="E183" s="185"/>
      <c r="F183" s="185"/>
      <c r="G183" s="185"/>
      <c r="H183" s="185"/>
      <c r="I183" s="185"/>
      <c r="J183" s="185"/>
      <c r="K183" s="185"/>
      <c r="L183" s="185"/>
      <c r="M183" s="185"/>
      <c r="N183" s="185"/>
      <c r="O183" s="185"/>
      <c r="P183" s="185"/>
      <c r="Q183" s="185"/>
      <c r="R183" s="185"/>
      <c r="S183" s="185"/>
      <c r="T183" s="185"/>
      <c r="U183" s="185"/>
      <c r="V183" s="185"/>
      <c r="W183" s="185"/>
      <c r="X183" s="185"/>
      <c r="Y183" s="185"/>
      <c r="Z183" s="185"/>
      <c r="AA183" s="185"/>
      <c r="AB183" s="185"/>
      <c r="AC183" s="185"/>
      <c r="AD183" s="185"/>
      <c r="AE183" s="185"/>
      <c r="AF183" s="185"/>
      <c r="AG183" s="185"/>
      <c r="AH183" s="185"/>
      <c r="AI183" s="185"/>
      <c r="AJ183" s="185"/>
      <c r="AK183" s="185"/>
      <c r="AL183" s="185"/>
      <c r="AM183" s="185"/>
      <c r="AN183" s="185"/>
      <c r="AO183" s="185"/>
      <c r="AP183" s="185"/>
      <c r="AQ183" s="185"/>
      <c r="AR183" s="185"/>
      <c r="AS183" s="185"/>
      <c r="AT183" s="185"/>
      <c r="AU183" s="185"/>
      <c r="AV183" s="185"/>
      <c r="AW183" s="185"/>
      <c r="AX183" s="185"/>
      <c r="AY183" s="185"/>
      <c r="AZ183" s="185"/>
      <c r="BA183" s="185"/>
      <c r="BB183" s="185"/>
      <c r="BC183" s="185"/>
      <c r="BD183" s="185"/>
      <c r="BE183" s="185"/>
      <c r="BF183" s="185"/>
      <c r="BG183" s="185"/>
      <c r="BH183" s="185"/>
      <c r="BI183" s="185"/>
      <c r="BJ183" s="185"/>
      <c r="BK183" s="186"/>
    </row>
    <row r="184" spans="1:63">
      <c r="A184" s="185"/>
      <c r="B184" s="185"/>
      <c r="C184" s="185"/>
      <c r="D184" s="185"/>
      <c r="E184" s="185"/>
      <c r="F184" s="185"/>
      <c r="G184" s="185"/>
      <c r="H184" s="185"/>
      <c r="I184" s="185"/>
      <c r="J184" s="185"/>
      <c r="K184" s="185"/>
      <c r="L184" s="185"/>
      <c r="M184" s="185"/>
      <c r="N184" s="185"/>
      <c r="O184" s="185"/>
      <c r="P184" s="185"/>
      <c r="Q184" s="185"/>
      <c r="R184" s="185"/>
      <c r="S184" s="185"/>
      <c r="T184" s="185"/>
      <c r="U184" s="185"/>
      <c r="V184" s="185"/>
      <c r="W184" s="185"/>
      <c r="X184" s="185"/>
      <c r="Y184" s="185"/>
      <c r="Z184" s="185"/>
      <c r="AA184" s="185"/>
      <c r="AB184" s="185"/>
      <c r="AC184" s="185"/>
      <c r="AD184" s="185"/>
      <c r="AE184" s="185"/>
      <c r="AF184" s="185"/>
      <c r="AG184" s="185"/>
      <c r="AH184" s="185"/>
      <c r="AI184" s="185"/>
      <c r="AJ184" s="185"/>
      <c r="AK184" s="185"/>
      <c r="AL184" s="185"/>
      <c r="AM184" s="185"/>
      <c r="AN184" s="185"/>
      <c r="AO184" s="185"/>
      <c r="AP184" s="185"/>
      <c r="AQ184" s="185"/>
      <c r="AR184" s="185"/>
      <c r="AS184" s="185"/>
      <c r="AT184" s="185"/>
      <c r="AU184" s="185"/>
      <c r="AV184" s="185"/>
      <c r="AW184" s="185"/>
      <c r="AX184" s="185"/>
      <c r="AY184" s="185"/>
      <c r="AZ184" s="185"/>
      <c r="BA184" s="185"/>
      <c r="BB184" s="185"/>
      <c r="BC184" s="185"/>
      <c r="BD184" s="185"/>
      <c r="BE184" s="185"/>
      <c r="BF184" s="185"/>
      <c r="BG184" s="185"/>
      <c r="BH184" s="185"/>
      <c r="BI184" s="185"/>
      <c r="BJ184" s="185"/>
      <c r="BK184" s="186"/>
    </row>
    <row r="185" spans="1:63">
      <c r="A185" s="185"/>
      <c r="B185" s="185"/>
      <c r="C185" s="185"/>
      <c r="D185" s="185"/>
      <c r="E185" s="185"/>
      <c r="F185" s="185"/>
      <c r="G185" s="185"/>
      <c r="H185" s="185"/>
      <c r="I185" s="185"/>
      <c r="J185" s="185"/>
      <c r="K185" s="185"/>
      <c r="L185" s="185"/>
      <c r="M185" s="185"/>
      <c r="N185" s="185"/>
      <c r="O185" s="185"/>
      <c r="P185" s="185"/>
      <c r="Q185" s="185"/>
      <c r="R185" s="185"/>
      <c r="S185" s="185"/>
      <c r="T185" s="185"/>
      <c r="U185" s="185"/>
      <c r="V185" s="185"/>
      <c r="W185" s="185"/>
      <c r="X185" s="185"/>
      <c r="Y185" s="185"/>
      <c r="Z185" s="185"/>
      <c r="AA185" s="185"/>
      <c r="AB185" s="185"/>
      <c r="AC185" s="185"/>
      <c r="AD185" s="185"/>
      <c r="AE185" s="185"/>
      <c r="AF185" s="185"/>
      <c r="AG185" s="185"/>
      <c r="AH185" s="185"/>
      <c r="AI185" s="185"/>
      <c r="AJ185" s="185"/>
      <c r="AK185" s="185"/>
      <c r="AL185" s="185"/>
      <c r="AM185" s="185"/>
      <c r="AN185" s="185"/>
      <c r="AO185" s="185"/>
      <c r="AP185" s="185"/>
      <c r="AQ185" s="185"/>
      <c r="AR185" s="185"/>
      <c r="AS185" s="185"/>
      <c r="AT185" s="185"/>
      <c r="AU185" s="185"/>
      <c r="AV185" s="185"/>
      <c r="AW185" s="185"/>
      <c r="AX185" s="185"/>
      <c r="AY185" s="185"/>
      <c r="AZ185" s="185"/>
      <c r="BA185" s="185"/>
      <c r="BB185" s="185"/>
      <c r="BC185" s="185"/>
      <c r="BD185" s="185"/>
      <c r="BE185" s="185"/>
      <c r="BF185" s="185"/>
      <c r="BG185" s="185"/>
      <c r="BH185" s="185"/>
      <c r="BI185" s="185"/>
      <c r="BJ185" s="185"/>
      <c r="BK185" s="186"/>
    </row>
    <row r="186" spans="1:63">
      <c r="A186" s="185"/>
      <c r="B186" s="185"/>
      <c r="C186" s="185"/>
      <c r="D186" s="185"/>
      <c r="E186" s="185"/>
      <c r="F186" s="185"/>
      <c r="G186" s="185"/>
      <c r="H186" s="185"/>
      <c r="I186" s="185"/>
      <c r="J186" s="185"/>
      <c r="K186" s="185"/>
      <c r="L186" s="185"/>
      <c r="M186" s="185"/>
      <c r="N186" s="185"/>
      <c r="O186" s="185"/>
      <c r="P186" s="185"/>
      <c r="Q186" s="185"/>
      <c r="R186" s="185"/>
      <c r="S186" s="185"/>
      <c r="T186" s="185"/>
      <c r="U186" s="185"/>
      <c r="V186" s="185"/>
      <c r="W186" s="185"/>
      <c r="X186" s="185"/>
      <c r="Y186" s="185"/>
      <c r="Z186" s="185"/>
      <c r="AA186" s="185"/>
      <c r="AB186" s="185"/>
      <c r="AC186" s="185"/>
      <c r="AD186" s="185"/>
      <c r="AE186" s="185"/>
      <c r="AF186" s="185"/>
      <c r="AG186" s="185"/>
      <c r="AH186" s="185"/>
      <c r="AI186" s="185"/>
      <c r="AJ186" s="185"/>
      <c r="AK186" s="185"/>
      <c r="AL186" s="185"/>
      <c r="AM186" s="185"/>
      <c r="AN186" s="185"/>
      <c r="AO186" s="185"/>
      <c r="AP186" s="185"/>
      <c r="AQ186" s="185"/>
      <c r="AR186" s="185"/>
      <c r="AS186" s="185"/>
      <c r="AT186" s="185"/>
      <c r="AU186" s="185"/>
      <c r="AV186" s="185"/>
      <c r="AW186" s="185"/>
      <c r="AX186" s="185"/>
      <c r="AY186" s="185"/>
      <c r="AZ186" s="185"/>
      <c r="BA186" s="185"/>
      <c r="BB186" s="185"/>
      <c r="BC186" s="185"/>
      <c r="BD186" s="185"/>
      <c r="BE186" s="185"/>
      <c r="BF186" s="185"/>
      <c r="BG186" s="185"/>
      <c r="BH186" s="185"/>
      <c r="BI186" s="185"/>
      <c r="BJ186" s="185"/>
      <c r="BK186" s="186"/>
    </row>
    <row r="187" spans="1:63">
      <c r="A187" s="185"/>
      <c r="B187" s="185"/>
      <c r="C187" s="185"/>
      <c r="D187" s="185"/>
      <c r="E187" s="185"/>
      <c r="F187" s="185"/>
      <c r="G187" s="185"/>
      <c r="H187" s="185"/>
      <c r="I187" s="185"/>
      <c r="J187" s="185"/>
      <c r="K187" s="185"/>
      <c r="L187" s="185"/>
      <c r="M187" s="185"/>
      <c r="N187" s="185"/>
      <c r="O187" s="185"/>
      <c r="P187" s="185"/>
      <c r="Q187" s="185"/>
      <c r="R187" s="185"/>
      <c r="S187" s="185"/>
      <c r="T187" s="185"/>
      <c r="U187" s="185"/>
      <c r="V187" s="185"/>
      <c r="W187" s="185"/>
      <c r="X187" s="185"/>
      <c r="Y187" s="185"/>
      <c r="Z187" s="185"/>
      <c r="AA187" s="185"/>
      <c r="AB187" s="185"/>
      <c r="AC187" s="185"/>
      <c r="AD187" s="185"/>
      <c r="AE187" s="185"/>
      <c r="AF187" s="185"/>
      <c r="AG187" s="185"/>
      <c r="AH187" s="185"/>
      <c r="AI187" s="185"/>
      <c r="AJ187" s="185"/>
      <c r="AK187" s="185"/>
      <c r="AL187" s="185"/>
      <c r="AM187" s="185"/>
      <c r="AN187" s="185"/>
      <c r="AO187" s="185"/>
      <c r="AP187" s="185"/>
      <c r="AQ187" s="185"/>
      <c r="AR187" s="185"/>
      <c r="AS187" s="185"/>
      <c r="AT187" s="185"/>
      <c r="AU187" s="185"/>
      <c r="AV187" s="185"/>
      <c r="AW187" s="185"/>
      <c r="AX187" s="185"/>
      <c r="AY187" s="185"/>
      <c r="AZ187" s="185"/>
      <c r="BA187" s="185"/>
      <c r="BB187" s="185"/>
      <c r="BC187" s="185"/>
      <c r="BD187" s="185"/>
      <c r="BE187" s="185"/>
      <c r="BF187" s="185"/>
      <c r="BG187" s="185"/>
      <c r="BH187" s="185"/>
      <c r="BI187" s="185"/>
      <c r="BJ187" s="185"/>
      <c r="BK187" s="186"/>
    </row>
    <row r="188" spans="1:63">
      <c r="A188" s="185"/>
      <c r="B188" s="185"/>
      <c r="C188" s="185"/>
      <c r="D188" s="185"/>
      <c r="E188" s="185"/>
      <c r="F188" s="185"/>
      <c r="G188" s="185"/>
      <c r="H188" s="185"/>
      <c r="I188" s="185"/>
      <c r="J188" s="185"/>
      <c r="K188" s="185"/>
      <c r="L188" s="185"/>
      <c r="M188" s="185"/>
      <c r="N188" s="185"/>
      <c r="O188" s="185"/>
      <c r="P188" s="185"/>
      <c r="Q188" s="185"/>
      <c r="R188" s="185"/>
      <c r="S188" s="185"/>
      <c r="T188" s="185"/>
      <c r="U188" s="185"/>
      <c r="V188" s="185"/>
      <c r="W188" s="185"/>
      <c r="X188" s="185"/>
      <c r="Y188" s="185"/>
      <c r="Z188" s="185"/>
      <c r="AA188" s="185"/>
      <c r="AB188" s="185"/>
      <c r="AC188" s="185"/>
      <c r="AD188" s="185"/>
      <c r="AE188" s="185"/>
      <c r="AF188" s="185"/>
      <c r="AG188" s="185"/>
      <c r="AH188" s="185"/>
      <c r="AI188" s="185"/>
      <c r="AJ188" s="185"/>
      <c r="AK188" s="185"/>
      <c r="AL188" s="185"/>
      <c r="AM188" s="185"/>
      <c r="AN188" s="185"/>
      <c r="AO188" s="185"/>
      <c r="AP188" s="185"/>
      <c r="AQ188" s="185"/>
      <c r="AR188" s="185"/>
      <c r="AS188" s="185"/>
      <c r="AT188" s="185"/>
      <c r="AU188" s="185"/>
      <c r="AV188" s="185"/>
      <c r="AW188" s="185"/>
      <c r="AX188" s="185"/>
      <c r="AY188" s="185"/>
      <c r="AZ188" s="185"/>
      <c r="BA188" s="185"/>
      <c r="BB188" s="185"/>
      <c r="BC188" s="185"/>
      <c r="BD188" s="185"/>
      <c r="BE188" s="185"/>
      <c r="BF188" s="185"/>
      <c r="BG188" s="185"/>
      <c r="BH188" s="185"/>
      <c r="BI188" s="185"/>
      <c r="BJ188" s="185"/>
      <c r="BK188" s="186"/>
    </row>
    <row r="189" spans="1:63">
      <c r="A189" s="185"/>
      <c r="B189" s="185"/>
      <c r="C189" s="185"/>
      <c r="D189" s="185"/>
      <c r="E189" s="185"/>
      <c r="F189" s="185"/>
      <c r="G189" s="185"/>
      <c r="H189" s="185"/>
      <c r="I189" s="185"/>
      <c r="J189" s="185"/>
      <c r="K189" s="185"/>
      <c r="L189" s="185"/>
      <c r="M189" s="185"/>
      <c r="N189" s="185"/>
      <c r="O189" s="185"/>
      <c r="P189" s="185"/>
      <c r="Q189" s="185"/>
      <c r="R189" s="185"/>
      <c r="S189" s="185"/>
      <c r="T189" s="185"/>
      <c r="U189" s="185"/>
      <c r="V189" s="185"/>
      <c r="W189" s="185"/>
      <c r="X189" s="185"/>
      <c r="Y189" s="185"/>
      <c r="Z189" s="185"/>
      <c r="AA189" s="185"/>
      <c r="AB189" s="185"/>
      <c r="AC189" s="185"/>
      <c r="AD189" s="185"/>
      <c r="AE189" s="185"/>
      <c r="AF189" s="185"/>
      <c r="AG189" s="185"/>
      <c r="AH189" s="185"/>
      <c r="AI189" s="185"/>
      <c r="AJ189" s="185"/>
      <c r="AK189" s="185"/>
      <c r="AL189" s="185"/>
      <c r="AM189" s="185"/>
      <c r="AN189" s="185"/>
      <c r="AO189" s="185"/>
      <c r="AP189" s="185"/>
      <c r="AQ189" s="185"/>
      <c r="AR189" s="185"/>
      <c r="AS189" s="185"/>
      <c r="AT189" s="185"/>
      <c r="AU189" s="185"/>
      <c r="AV189" s="185"/>
      <c r="AW189" s="185"/>
      <c r="AX189" s="185"/>
      <c r="AY189" s="185"/>
      <c r="AZ189" s="185"/>
      <c r="BA189" s="185"/>
      <c r="BB189" s="185"/>
      <c r="BC189" s="185"/>
      <c r="BD189" s="185"/>
      <c r="BE189" s="185"/>
      <c r="BF189" s="185"/>
      <c r="BG189" s="185"/>
      <c r="BH189" s="185"/>
      <c r="BI189" s="185"/>
      <c r="BJ189" s="185"/>
      <c r="BK189" s="186"/>
    </row>
    <row r="190" spans="1:63">
      <c r="A190" s="185"/>
      <c r="B190" s="185"/>
      <c r="C190" s="185"/>
      <c r="D190" s="185"/>
      <c r="E190" s="185"/>
      <c r="F190" s="185"/>
      <c r="G190" s="185"/>
      <c r="H190" s="185"/>
      <c r="I190" s="185"/>
      <c r="J190" s="185"/>
      <c r="K190" s="185"/>
      <c r="L190" s="185"/>
      <c r="M190" s="185"/>
      <c r="N190" s="185"/>
      <c r="O190" s="185"/>
      <c r="P190" s="185"/>
      <c r="Q190" s="185"/>
      <c r="R190" s="185"/>
      <c r="S190" s="185"/>
      <c r="T190" s="185"/>
      <c r="U190" s="185"/>
      <c r="V190" s="185"/>
      <c r="W190" s="185"/>
      <c r="X190" s="185"/>
      <c r="Y190" s="185"/>
      <c r="Z190" s="185"/>
      <c r="AA190" s="185"/>
      <c r="AB190" s="185"/>
      <c r="AC190" s="185"/>
      <c r="AD190" s="185"/>
      <c r="AE190" s="185"/>
      <c r="AF190" s="185"/>
      <c r="AG190" s="185"/>
      <c r="AH190" s="185"/>
      <c r="AI190" s="185"/>
      <c r="AJ190" s="185"/>
      <c r="AK190" s="185"/>
      <c r="AL190" s="185"/>
      <c r="AM190" s="185"/>
      <c r="AN190" s="185"/>
      <c r="AO190" s="185"/>
      <c r="AP190" s="185"/>
      <c r="AQ190" s="185"/>
      <c r="AR190" s="185"/>
      <c r="AS190" s="185"/>
      <c r="AT190" s="185"/>
      <c r="AU190" s="185"/>
      <c r="AV190" s="185"/>
      <c r="AW190" s="185"/>
      <c r="AX190" s="185"/>
      <c r="AY190" s="185"/>
      <c r="AZ190" s="185"/>
      <c r="BA190" s="185"/>
      <c r="BB190" s="185"/>
      <c r="BC190" s="185"/>
      <c r="BD190" s="185"/>
      <c r="BE190" s="185"/>
      <c r="BF190" s="185"/>
      <c r="BG190" s="185"/>
      <c r="BH190" s="185"/>
      <c r="BI190" s="185"/>
      <c r="BJ190" s="185"/>
      <c r="BK190" s="186"/>
    </row>
    <row r="191" spans="1:63">
      <c r="A191" s="185"/>
      <c r="B191" s="185"/>
      <c r="C191" s="185"/>
      <c r="D191" s="185"/>
      <c r="E191" s="185"/>
      <c r="F191" s="185"/>
      <c r="G191" s="185"/>
      <c r="H191" s="185"/>
      <c r="I191" s="185"/>
      <c r="J191" s="185"/>
      <c r="K191" s="185"/>
      <c r="L191" s="185"/>
      <c r="M191" s="185"/>
      <c r="N191" s="185"/>
      <c r="O191" s="185"/>
      <c r="P191" s="185"/>
      <c r="Q191" s="185"/>
      <c r="R191" s="185"/>
      <c r="S191" s="185"/>
      <c r="T191" s="185"/>
      <c r="U191" s="185"/>
      <c r="V191" s="185"/>
      <c r="W191" s="185"/>
      <c r="X191" s="185"/>
      <c r="Y191" s="185"/>
      <c r="Z191" s="185"/>
      <c r="AA191" s="185"/>
      <c r="AB191" s="185"/>
      <c r="AC191" s="185"/>
      <c r="AD191" s="185"/>
      <c r="AE191" s="185"/>
      <c r="AF191" s="185"/>
      <c r="AG191" s="185"/>
      <c r="AH191" s="185"/>
      <c r="AI191" s="185"/>
      <c r="AJ191" s="185"/>
      <c r="AK191" s="185"/>
      <c r="AL191" s="185"/>
      <c r="AM191" s="185"/>
      <c r="AN191" s="185"/>
      <c r="AO191" s="185"/>
      <c r="AP191" s="185"/>
      <c r="AQ191" s="185"/>
      <c r="AR191" s="185"/>
      <c r="AS191" s="185"/>
      <c r="AT191" s="185"/>
      <c r="AU191" s="185"/>
      <c r="AV191" s="185"/>
      <c r="AW191" s="185"/>
      <c r="AX191" s="185"/>
      <c r="AY191" s="185"/>
      <c r="AZ191" s="185"/>
      <c r="BA191" s="185"/>
      <c r="BB191" s="185"/>
      <c r="BC191" s="185"/>
      <c r="BD191" s="185"/>
      <c r="BE191" s="185"/>
      <c r="BF191" s="185"/>
      <c r="BG191" s="185"/>
      <c r="BH191" s="185"/>
      <c r="BI191" s="185"/>
      <c r="BJ191" s="185"/>
      <c r="BK191" s="186"/>
    </row>
    <row r="192" spans="1:63">
      <c r="A192" s="185"/>
      <c r="B192" s="185"/>
      <c r="C192" s="185"/>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6"/>
    </row>
    <row r="193" spans="1:63">
      <c r="A193" s="185"/>
      <c r="B193" s="185"/>
      <c r="C193" s="185"/>
      <c r="D193" s="185"/>
      <c r="E193" s="185"/>
      <c r="F193" s="185"/>
      <c r="G193" s="185"/>
      <c r="H193" s="185"/>
      <c r="I193" s="185"/>
      <c r="J193" s="185"/>
      <c r="K193" s="185"/>
      <c r="L193" s="185"/>
      <c r="M193" s="185"/>
      <c r="N193" s="185"/>
      <c r="O193" s="185"/>
      <c r="P193" s="185"/>
      <c r="Q193" s="185"/>
      <c r="R193" s="185"/>
      <c r="S193" s="185"/>
      <c r="T193" s="185"/>
      <c r="U193" s="185"/>
      <c r="V193" s="185"/>
      <c r="W193" s="185"/>
      <c r="X193" s="185"/>
      <c r="Y193" s="185"/>
      <c r="Z193" s="185"/>
      <c r="AA193" s="185"/>
      <c r="AB193" s="185"/>
      <c r="AC193" s="185"/>
      <c r="AD193" s="185"/>
      <c r="AE193" s="185"/>
      <c r="AF193" s="185"/>
      <c r="AG193" s="185"/>
      <c r="AH193" s="185"/>
      <c r="AI193" s="185"/>
      <c r="AJ193" s="185"/>
      <c r="AK193" s="185"/>
      <c r="AL193" s="185"/>
      <c r="AM193" s="185"/>
      <c r="AN193" s="185"/>
      <c r="AO193" s="185"/>
      <c r="AP193" s="185"/>
      <c r="AQ193" s="185"/>
      <c r="AR193" s="185"/>
      <c r="AS193" s="185"/>
      <c r="AT193" s="185"/>
      <c r="AU193" s="185"/>
      <c r="AV193" s="185"/>
      <c r="AW193" s="185"/>
      <c r="AX193" s="185"/>
      <c r="AY193" s="185"/>
      <c r="AZ193" s="185"/>
      <c r="BA193" s="185"/>
      <c r="BB193" s="185"/>
      <c r="BC193" s="185"/>
      <c r="BD193" s="185"/>
      <c r="BE193" s="185"/>
      <c r="BF193" s="185"/>
      <c r="BG193" s="185"/>
      <c r="BH193" s="185"/>
      <c r="BI193" s="185"/>
      <c r="BJ193" s="185"/>
      <c r="BK193" s="186"/>
    </row>
    <row r="194" spans="1:63">
      <c r="A194" s="185"/>
      <c r="B194" s="185"/>
      <c r="C194" s="185"/>
      <c r="D194" s="185"/>
      <c r="E194" s="185"/>
      <c r="F194" s="185"/>
      <c r="G194" s="185"/>
      <c r="H194" s="185"/>
      <c r="I194" s="185"/>
      <c r="J194" s="185"/>
      <c r="K194" s="185"/>
      <c r="L194" s="185"/>
      <c r="M194" s="185"/>
      <c r="N194" s="185"/>
      <c r="O194" s="185"/>
      <c r="P194" s="185"/>
      <c r="Q194" s="185"/>
      <c r="R194" s="185"/>
      <c r="S194" s="185"/>
      <c r="T194" s="185"/>
      <c r="U194" s="185"/>
      <c r="V194" s="185"/>
      <c r="W194" s="185"/>
      <c r="X194" s="185"/>
      <c r="Y194" s="185"/>
      <c r="Z194" s="185"/>
      <c r="AA194" s="185"/>
      <c r="AB194" s="185"/>
      <c r="AC194" s="185"/>
      <c r="AD194" s="185"/>
      <c r="AE194" s="185"/>
      <c r="AF194" s="185"/>
      <c r="AG194" s="185"/>
      <c r="AH194" s="185"/>
      <c r="AI194" s="185"/>
      <c r="AJ194" s="185"/>
      <c r="AK194" s="185"/>
      <c r="AL194" s="185"/>
      <c r="AM194" s="185"/>
      <c r="AN194" s="185"/>
      <c r="AO194" s="185"/>
      <c r="AP194" s="185"/>
      <c r="AQ194" s="185"/>
      <c r="AR194" s="185"/>
      <c r="AS194" s="185"/>
      <c r="AT194" s="185"/>
      <c r="AU194" s="185"/>
      <c r="AV194" s="185"/>
      <c r="AW194" s="185"/>
      <c r="AX194" s="185"/>
      <c r="AY194" s="185"/>
      <c r="AZ194" s="185"/>
      <c r="BA194" s="185"/>
      <c r="BB194" s="185"/>
      <c r="BC194" s="185"/>
      <c r="BD194" s="185"/>
      <c r="BE194" s="185"/>
      <c r="BF194" s="185"/>
      <c r="BG194" s="185"/>
      <c r="BH194" s="185"/>
      <c r="BI194" s="185"/>
      <c r="BJ194" s="185"/>
      <c r="BK194" s="186"/>
    </row>
    <row r="195" spans="1:63">
      <c r="A195" s="185"/>
      <c r="B195" s="185"/>
      <c r="C195" s="185"/>
      <c r="D195" s="185"/>
      <c r="E195" s="185"/>
      <c r="F195" s="185"/>
      <c r="G195" s="185"/>
      <c r="H195" s="185"/>
      <c r="I195" s="185"/>
      <c r="J195" s="185"/>
      <c r="K195" s="185"/>
      <c r="L195" s="185"/>
      <c r="M195" s="185"/>
      <c r="N195" s="185"/>
      <c r="O195" s="185"/>
      <c r="P195" s="185"/>
      <c r="Q195" s="185"/>
      <c r="R195" s="185"/>
      <c r="S195" s="185"/>
      <c r="T195" s="185"/>
      <c r="U195" s="185"/>
      <c r="V195" s="185"/>
      <c r="W195" s="185"/>
      <c r="X195" s="185"/>
      <c r="Y195" s="185"/>
      <c r="Z195" s="185"/>
      <c r="AA195" s="185"/>
      <c r="AB195" s="185"/>
      <c r="AC195" s="185"/>
      <c r="AD195" s="185"/>
      <c r="AE195" s="185"/>
      <c r="AF195" s="185"/>
      <c r="AG195" s="185"/>
      <c r="AH195" s="185"/>
      <c r="AI195" s="185"/>
      <c r="AJ195" s="185"/>
      <c r="AK195" s="185"/>
      <c r="AL195" s="185"/>
      <c r="AM195" s="185"/>
      <c r="AN195" s="185"/>
      <c r="AO195" s="185"/>
      <c r="AP195" s="185"/>
      <c r="AQ195" s="185"/>
      <c r="AR195" s="185"/>
      <c r="AS195" s="185"/>
      <c r="AT195" s="185"/>
      <c r="AU195" s="185"/>
      <c r="AV195" s="185"/>
      <c r="AW195" s="185"/>
      <c r="AX195" s="185"/>
      <c r="AY195" s="185"/>
      <c r="AZ195" s="185"/>
      <c r="BA195" s="185"/>
      <c r="BB195" s="185"/>
      <c r="BC195" s="185"/>
      <c r="BD195" s="185"/>
      <c r="BE195" s="185"/>
      <c r="BF195" s="185"/>
      <c r="BG195" s="185"/>
      <c r="BH195" s="185"/>
      <c r="BI195" s="185"/>
      <c r="BJ195" s="185"/>
      <c r="BK195" s="186"/>
    </row>
    <row r="196" spans="1:63">
      <c r="A196" s="185"/>
      <c r="B196" s="185"/>
      <c r="C196" s="185"/>
      <c r="D196" s="185"/>
      <c r="E196" s="185"/>
      <c r="F196" s="185"/>
      <c r="G196" s="185"/>
      <c r="H196" s="185"/>
      <c r="I196" s="185"/>
      <c r="J196" s="185"/>
      <c r="K196" s="185"/>
      <c r="L196" s="185"/>
      <c r="M196" s="185"/>
      <c r="N196" s="185"/>
      <c r="O196" s="185"/>
      <c r="P196" s="185"/>
      <c r="Q196" s="185"/>
      <c r="R196" s="185"/>
      <c r="S196" s="185"/>
      <c r="T196" s="185"/>
      <c r="U196" s="185"/>
      <c r="V196" s="185"/>
      <c r="W196" s="185"/>
      <c r="X196" s="185"/>
      <c r="Y196" s="185"/>
      <c r="Z196" s="185"/>
      <c r="AA196" s="185"/>
      <c r="AB196" s="185"/>
      <c r="AC196" s="185"/>
      <c r="AD196" s="185"/>
      <c r="AE196" s="185"/>
      <c r="AF196" s="185"/>
      <c r="AG196" s="185"/>
      <c r="AH196" s="185"/>
      <c r="AI196" s="185"/>
      <c r="AJ196" s="185"/>
      <c r="AK196" s="185"/>
      <c r="AL196" s="185"/>
      <c r="AM196" s="185"/>
      <c r="AN196" s="185"/>
      <c r="AO196" s="185"/>
      <c r="AP196" s="185"/>
      <c r="AQ196" s="185"/>
      <c r="AR196" s="185"/>
      <c r="AS196" s="185"/>
      <c r="AT196" s="185"/>
      <c r="AU196" s="185"/>
      <c r="AV196" s="185"/>
      <c r="AW196" s="185"/>
      <c r="AX196" s="185"/>
      <c r="AY196" s="185"/>
      <c r="AZ196" s="185"/>
      <c r="BA196" s="185"/>
      <c r="BB196" s="185"/>
      <c r="BC196" s="185"/>
      <c r="BD196" s="185"/>
      <c r="BE196" s="185"/>
      <c r="BF196" s="185"/>
      <c r="BG196" s="185"/>
      <c r="BH196" s="185"/>
      <c r="BI196" s="185"/>
      <c r="BJ196" s="185"/>
      <c r="BK196" s="186"/>
    </row>
    <row r="197" spans="1:63">
      <c r="A197" s="185"/>
      <c r="B197" s="185"/>
      <c r="C197" s="185"/>
      <c r="D197" s="185"/>
      <c r="E197" s="185"/>
      <c r="F197" s="185"/>
      <c r="G197" s="185"/>
      <c r="H197" s="185"/>
      <c r="I197" s="185"/>
      <c r="J197" s="185"/>
      <c r="K197" s="185"/>
      <c r="L197" s="185"/>
      <c r="M197" s="185"/>
      <c r="N197" s="185"/>
      <c r="O197" s="185"/>
      <c r="P197" s="185"/>
      <c r="Q197" s="185"/>
      <c r="R197" s="185"/>
      <c r="S197" s="185"/>
      <c r="T197" s="185"/>
      <c r="U197" s="185"/>
      <c r="V197" s="185"/>
      <c r="W197" s="185"/>
      <c r="X197" s="185"/>
      <c r="Y197" s="185"/>
      <c r="Z197" s="185"/>
      <c r="AA197" s="185"/>
      <c r="AB197" s="185"/>
      <c r="AC197" s="185"/>
      <c r="AD197" s="185"/>
      <c r="AE197" s="185"/>
      <c r="AF197" s="185"/>
      <c r="AG197" s="185"/>
      <c r="AH197" s="185"/>
      <c r="AI197" s="185"/>
      <c r="AJ197" s="185"/>
      <c r="AK197" s="185"/>
      <c r="AL197" s="185"/>
      <c r="AM197" s="185"/>
      <c r="AN197" s="185"/>
      <c r="AO197" s="185"/>
      <c r="AP197" s="185"/>
      <c r="AQ197" s="185"/>
      <c r="AR197" s="185"/>
      <c r="AS197" s="185"/>
      <c r="AT197" s="185"/>
      <c r="AU197" s="185"/>
      <c r="AV197" s="185"/>
      <c r="AW197" s="185"/>
      <c r="AX197" s="185"/>
      <c r="AY197" s="185"/>
      <c r="AZ197" s="185"/>
      <c r="BA197" s="185"/>
      <c r="BB197" s="185"/>
      <c r="BC197" s="185"/>
      <c r="BD197" s="185"/>
      <c r="BE197" s="185"/>
      <c r="BF197" s="185"/>
      <c r="BG197" s="185"/>
      <c r="BH197" s="185"/>
      <c r="BI197" s="185"/>
      <c r="BJ197" s="185"/>
      <c r="BK197" s="186"/>
    </row>
    <row r="198" spans="1:63">
      <c r="A198" s="185"/>
      <c r="B198" s="185"/>
      <c r="C198" s="185"/>
      <c r="D198" s="185"/>
      <c r="E198" s="185"/>
      <c r="F198" s="185"/>
      <c r="G198" s="185"/>
      <c r="H198" s="185"/>
      <c r="I198" s="185"/>
      <c r="J198" s="185"/>
      <c r="K198" s="185"/>
      <c r="L198" s="185"/>
      <c r="M198" s="185"/>
      <c r="N198" s="185"/>
      <c r="O198" s="185"/>
      <c r="P198" s="185"/>
      <c r="Q198" s="185"/>
      <c r="R198" s="185"/>
      <c r="S198" s="185"/>
      <c r="T198" s="185"/>
      <c r="U198" s="185"/>
      <c r="V198" s="185"/>
      <c r="W198" s="185"/>
      <c r="X198" s="185"/>
      <c r="Y198" s="185"/>
      <c r="Z198" s="185"/>
      <c r="AA198" s="185"/>
      <c r="AB198" s="185"/>
      <c r="AC198" s="185"/>
      <c r="AD198" s="185"/>
      <c r="AE198" s="185"/>
      <c r="AF198" s="185"/>
      <c r="AG198" s="185"/>
      <c r="AH198" s="185"/>
      <c r="AI198" s="185"/>
      <c r="AJ198" s="185"/>
      <c r="AK198" s="185"/>
      <c r="AL198" s="185"/>
      <c r="AM198" s="185"/>
      <c r="AN198" s="185"/>
      <c r="AO198" s="185"/>
      <c r="AP198" s="185"/>
      <c r="AQ198" s="185"/>
      <c r="AR198" s="185"/>
      <c r="AS198" s="185"/>
      <c r="AT198" s="185"/>
      <c r="AU198" s="185"/>
      <c r="AV198" s="185"/>
      <c r="AW198" s="185"/>
      <c r="AX198" s="185"/>
      <c r="AY198" s="185"/>
      <c r="AZ198" s="185"/>
      <c r="BA198" s="185"/>
      <c r="BB198" s="185"/>
      <c r="BC198" s="185"/>
      <c r="BD198" s="185"/>
      <c r="BE198" s="185"/>
      <c r="BF198" s="185"/>
      <c r="BG198" s="185"/>
      <c r="BH198" s="185"/>
      <c r="BI198" s="185"/>
      <c r="BJ198" s="185"/>
      <c r="BK198" s="186"/>
    </row>
    <row r="199" spans="1:63">
      <c r="A199" s="185"/>
      <c r="B199" s="185"/>
      <c r="C199" s="185"/>
      <c r="D199" s="185"/>
      <c r="E199" s="185"/>
      <c r="F199" s="185"/>
      <c r="G199" s="185"/>
      <c r="H199" s="185"/>
      <c r="I199" s="185"/>
      <c r="J199" s="185"/>
      <c r="K199" s="185"/>
      <c r="L199" s="185"/>
      <c r="M199" s="185"/>
      <c r="N199" s="185"/>
      <c r="O199" s="185"/>
      <c r="P199" s="185"/>
      <c r="Q199" s="185"/>
      <c r="R199" s="185"/>
      <c r="S199" s="185"/>
      <c r="T199" s="185"/>
      <c r="U199" s="185"/>
      <c r="V199" s="185"/>
      <c r="W199" s="185"/>
      <c r="X199" s="185"/>
      <c r="Y199" s="185"/>
      <c r="Z199" s="185"/>
      <c r="AA199" s="185"/>
      <c r="AB199" s="185"/>
      <c r="AC199" s="185"/>
      <c r="AD199" s="185"/>
      <c r="AE199" s="185"/>
      <c r="AF199" s="185"/>
      <c r="AG199" s="185"/>
      <c r="AH199" s="185"/>
      <c r="AI199" s="185"/>
      <c r="AJ199" s="185"/>
      <c r="AK199" s="185"/>
      <c r="AL199" s="185"/>
      <c r="AM199" s="185"/>
      <c r="AN199" s="185"/>
      <c r="AO199" s="185"/>
      <c r="AP199" s="185"/>
      <c r="AQ199" s="185"/>
      <c r="AR199" s="185"/>
      <c r="AS199" s="185"/>
      <c r="AT199" s="185"/>
      <c r="AU199" s="185"/>
      <c r="AV199" s="185"/>
      <c r="AW199" s="185"/>
      <c r="AX199" s="185"/>
      <c r="AY199" s="185"/>
      <c r="AZ199" s="185"/>
      <c r="BA199" s="185"/>
      <c r="BB199" s="185"/>
      <c r="BC199" s="185"/>
      <c r="BD199" s="185"/>
      <c r="BE199" s="185"/>
      <c r="BF199" s="185"/>
      <c r="BG199" s="185"/>
      <c r="BH199" s="185"/>
      <c r="BI199" s="185"/>
      <c r="BJ199" s="185"/>
      <c r="BK199" s="186"/>
    </row>
    <row r="200" spans="1:63">
      <c r="A200" s="185"/>
      <c r="B200" s="185"/>
      <c r="C200" s="185"/>
      <c r="D200" s="185"/>
      <c r="E200" s="185"/>
      <c r="F200" s="185"/>
      <c r="G200" s="185"/>
      <c r="H200" s="185"/>
      <c r="I200" s="185"/>
      <c r="J200" s="185"/>
      <c r="K200" s="185"/>
      <c r="L200" s="185"/>
      <c r="M200" s="185"/>
      <c r="N200" s="185"/>
      <c r="O200" s="185"/>
      <c r="P200" s="185"/>
      <c r="Q200" s="185"/>
      <c r="R200" s="185"/>
      <c r="S200" s="185"/>
      <c r="T200" s="185"/>
      <c r="U200" s="185"/>
      <c r="V200" s="185"/>
      <c r="W200" s="185"/>
      <c r="X200" s="185"/>
      <c r="Y200" s="185"/>
      <c r="Z200" s="185"/>
      <c r="AA200" s="185"/>
      <c r="AB200" s="185"/>
      <c r="AC200" s="185"/>
      <c r="AD200" s="185"/>
      <c r="AE200" s="185"/>
      <c r="AF200" s="185"/>
      <c r="AG200" s="185"/>
      <c r="AH200" s="185"/>
      <c r="AI200" s="185"/>
      <c r="AJ200" s="185"/>
      <c r="AK200" s="185"/>
      <c r="AL200" s="185"/>
      <c r="AM200" s="185"/>
      <c r="AN200" s="185"/>
      <c r="AO200" s="185"/>
      <c r="AP200" s="185"/>
      <c r="AQ200" s="185"/>
      <c r="AR200" s="185"/>
      <c r="AS200" s="185"/>
      <c r="AT200" s="185"/>
      <c r="AU200" s="185"/>
      <c r="AV200" s="185"/>
      <c r="AW200" s="185"/>
      <c r="AX200" s="185"/>
      <c r="AY200" s="185"/>
      <c r="AZ200" s="185"/>
      <c r="BA200" s="185"/>
      <c r="BB200" s="185"/>
      <c r="BC200" s="185"/>
      <c r="BD200" s="185"/>
      <c r="BE200" s="185"/>
      <c r="BF200" s="185"/>
      <c r="BG200" s="185"/>
      <c r="BH200" s="185"/>
      <c r="BI200" s="185"/>
      <c r="BJ200" s="185"/>
      <c r="BK200" s="186"/>
    </row>
    <row r="201" spans="1:63">
      <c r="A201" s="185"/>
      <c r="B201" s="185"/>
      <c r="C201" s="185"/>
      <c r="D201" s="185"/>
      <c r="E201" s="185"/>
      <c r="F201" s="185"/>
      <c r="G201" s="185"/>
      <c r="H201" s="185"/>
      <c r="I201" s="185"/>
      <c r="J201" s="185"/>
      <c r="K201" s="185"/>
      <c r="L201" s="185"/>
      <c r="M201" s="185"/>
      <c r="N201" s="185"/>
      <c r="O201" s="185"/>
      <c r="P201" s="185"/>
      <c r="Q201" s="185"/>
      <c r="R201" s="185"/>
      <c r="S201" s="185"/>
      <c r="T201" s="185"/>
      <c r="U201" s="185"/>
      <c r="V201" s="185"/>
      <c r="W201" s="185"/>
      <c r="X201" s="185"/>
      <c r="Y201" s="185"/>
      <c r="Z201" s="185"/>
      <c r="AA201" s="185"/>
      <c r="AB201" s="185"/>
      <c r="AC201" s="185"/>
      <c r="AD201" s="185"/>
      <c r="AE201" s="185"/>
      <c r="AF201" s="185"/>
      <c r="AG201" s="185"/>
      <c r="AH201" s="185"/>
      <c r="AI201" s="185"/>
      <c r="AJ201" s="185"/>
      <c r="AK201" s="185"/>
      <c r="AL201" s="185"/>
      <c r="AM201" s="185"/>
      <c r="AN201" s="185"/>
      <c r="AO201" s="185"/>
      <c r="AP201" s="185"/>
      <c r="AQ201" s="185"/>
      <c r="AR201" s="185"/>
      <c r="AS201" s="185"/>
      <c r="AT201" s="185"/>
      <c r="AU201" s="185"/>
      <c r="AV201" s="185"/>
      <c r="AW201" s="185"/>
      <c r="AX201" s="185"/>
      <c r="AY201" s="185"/>
      <c r="AZ201" s="185"/>
      <c r="BA201" s="185"/>
      <c r="BB201" s="185"/>
      <c r="BC201" s="185"/>
      <c r="BD201" s="185"/>
      <c r="BE201" s="185"/>
      <c r="BF201" s="185"/>
      <c r="BG201" s="185"/>
      <c r="BH201" s="185"/>
      <c r="BI201" s="185"/>
      <c r="BJ201" s="185"/>
      <c r="BK201" s="186"/>
    </row>
    <row r="202" spans="1:63">
      <c r="A202" s="185"/>
      <c r="B202" s="185"/>
      <c r="C202" s="185"/>
      <c r="D202" s="185"/>
      <c r="E202" s="185"/>
      <c r="F202" s="185"/>
      <c r="G202" s="185"/>
      <c r="H202" s="185"/>
      <c r="I202" s="185"/>
      <c r="J202" s="185"/>
      <c r="K202" s="185"/>
      <c r="L202" s="185"/>
      <c r="M202" s="185"/>
      <c r="N202" s="185"/>
      <c r="O202" s="185"/>
      <c r="P202" s="185"/>
      <c r="Q202" s="185"/>
      <c r="R202" s="185"/>
      <c r="S202" s="185"/>
      <c r="T202" s="185"/>
      <c r="U202" s="185"/>
      <c r="V202" s="185"/>
      <c r="W202" s="185"/>
      <c r="X202" s="185"/>
      <c r="Y202" s="185"/>
      <c r="Z202" s="185"/>
      <c r="AA202" s="185"/>
      <c r="AB202" s="185"/>
      <c r="AC202" s="185"/>
      <c r="AD202" s="185"/>
      <c r="AE202" s="185"/>
      <c r="AF202" s="185"/>
      <c r="AG202" s="185"/>
      <c r="AH202" s="185"/>
      <c r="AI202" s="185"/>
      <c r="AJ202" s="185"/>
      <c r="AK202" s="185"/>
      <c r="AL202" s="185"/>
      <c r="AM202" s="185"/>
      <c r="AN202" s="185"/>
      <c r="AO202" s="185"/>
      <c r="AP202" s="185"/>
      <c r="AQ202" s="185"/>
      <c r="AR202" s="185"/>
      <c r="AS202" s="185"/>
      <c r="AT202" s="185"/>
      <c r="AU202" s="185"/>
      <c r="AV202" s="185"/>
      <c r="AW202" s="185"/>
      <c r="AX202" s="185"/>
      <c r="AY202" s="185"/>
      <c r="AZ202" s="185"/>
      <c r="BA202" s="185"/>
      <c r="BB202" s="185"/>
      <c r="BC202" s="185"/>
      <c r="BD202" s="185"/>
      <c r="BE202" s="185"/>
      <c r="BF202" s="185"/>
      <c r="BG202" s="185"/>
      <c r="BH202" s="185"/>
      <c r="BI202" s="185"/>
      <c r="BJ202" s="185"/>
      <c r="BK202" s="186"/>
    </row>
    <row r="203" spans="1:63">
      <c r="A203" s="185"/>
      <c r="B203" s="185"/>
      <c r="C203" s="185"/>
      <c r="D203" s="185"/>
      <c r="E203" s="185"/>
      <c r="F203" s="185"/>
      <c r="G203" s="185"/>
      <c r="H203" s="185"/>
      <c r="I203" s="185"/>
      <c r="J203" s="185"/>
      <c r="K203" s="185"/>
      <c r="L203" s="185"/>
      <c r="M203" s="185"/>
      <c r="N203" s="185"/>
      <c r="O203" s="185"/>
      <c r="P203" s="185"/>
      <c r="Q203" s="185"/>
      <c r="R203" s="185"/>
      <c r="S203" s="185"/>
      <c r="T203" s="185"/>
      <c r="U203" s="185"/>
      <c r="V203" s="185"/>
      <c r="W203" s="185"/>
      <c r="X203" s="185"/>
      <c r="Y203" s="185"/>
      <c r="Z203" s="185"/>
      <c r="AA203" s="185"/>
      <c r="AB203" s="185"/>
      <c r="AC203" s="185"/>
      <c r="AD203" s="185"/>
      <c r="AE203" s="185"/>
      <c r="AF203" s="185"/>
      <c r="AG203" s="185"/>
      <c r="AH203" s="185"/>
      <c r="AI203" s="185"/>
      <c r="AJ203" s="185"/>
      <c r="AK203" s="185"/>
      <c r="AL203" s="185"/>
      <c r="AM203" s="185"/>
      <c r="AN203" s="185"/>
      <c r="AO203" s="185"/>
      <c r="AP203" s="185"/>
      <c r="AQ203" s="185"/>
      <c r="AR203" s="185"/>
      <c r="AS203" s="185"/>
      <c r="AT203" s="185"/>
      <c r="AU203" s="185"/>
      <c r="AV203" s="185"/>
      <c r="AW203" s="185"/>
      <c r="AX203" s="185"/>
      <c r="AY203" s="185"/>
      <c r="AZ203" s="185"/>
      <c r="BA203" s="185"/>
      <c r="BB203" s="185"/>
      <c r="BC203" s="185"/>
      <c r="BD203" s="185"/>
      <c r="BE203" s="185"/>
      <c r="BF203" s="185"/>
      <c r="BG203" s="185"/>
      <c r="BH203" s="185"/>
      <c r="BI203" s="185"/>
      <c r="BJ203" s="185"/>
      <c r="BK203" s="186"/>
    </row>
    <row r="204" spans="1:63">
      <c r="A204" s="185"/>
      <c r="B204" s="185"/>
      <c r="C204" s="185"/>
      <c r="D204" s="185"/>
      <c r="E204" s="185"/>
      <c r="F204" s="185"/>
      <c r="G204" s="185"/>
      <c r="H204" s="185"/>
      <c r="I204" s="185"/>
      <c r="J204" s="185"/>
      <c r="K204" s="185"/>
      <c r="L204" s="185"/>
      <c r="M204" s="185"/>
      <c r="N204" s="185"/>
      <c r="O204" s="185"/>
      <c r="P204" s="185"/>
      <c r="Q204" s="185"/>
      <c r="R204" s="185"/>
      <c r="S204" s="185"/>
      <c r="T204" s="185"/>
      <c r="U204" s="185"/>
      <c r="V204" s="185"/>
      <c r="W204" s="185"/>
      <c r="X204" s="185"/>
      <c r="Y204" s="185"/>
      <c r="Z204" s="185"/>
      <c r="AA204" s="185"/>
      <c r="AB204" s="185"/>
      <c r="AC204" s="185"/>
      <c r="AD204" s="185"/>
      <c r="AE204" s="185"/>
      <c r="AF204" s="185"/>
      <c r="AG204" s="185"/>
      <c r="AH204" s="185"/>
      <c r="AI204" s="185"/>
      <c r="AJ204" s="185"/>
      <c r="AK204" s="185"/>
      <c r="AL204" s="185"/>
      <c r="AM204" s="185"/>
      <c r="AN204" s="185"/>
      <c r="AO204" s="185"/>
      <c r="AP204" s="185"/>
      <c r="AQ204" s="185"/>
      <c r="AR204" s="185"/>
      <c r="AS204" s="185"/>
      <c r="AT204" s="185"/>
      <c r="AU204" s="185"/>
      <c r="AV204" s="185"/>
      <c r="AW204" s="185"/>
      <c r="AX204" s="185"/>
      <c r="AY204" s="185"/>
      <c r="AZ204" s="185"/>
      <c r="BA204" s="185"/>
      <c r="BB204" s="185"/>
      <c r="BC204" s="185"/>
      <c r="BD204" s="185"/>
      <c r="BE204" s="185"/>
      <c r="BF204" s="185"/>
      <c r="BG204" s="185"/>
      <c r="BH204" s="185"/>
      <c r="BI204" s="185"/>
      <c r="BJ204" s="185"/>
      <c r="BK204" s="186"/>
    </row>
    <row r="205" spans="1:63">
      <c r="A205" s="185"/>
      <c r="B205" s="185"/>
      <c r="C205" s="185"/>
      <c r="D205" s="185"/>
      <c r="E205" s="185"/>
      <c r="F205" s="185"/>
      <c r="G205" s="185"/>
      <c r="H205" s="185"/>
      <c r="I205" s="185"/>
      <c r="J205" s="185"/>
      <c r="K205" s="185"/>
      <c r="L205" s="185"/>
      <c r="M205" s="185"/>
      <c r="N205" s="185"/>
      <c r="O205" s="185"/>
      <c r="P205" s="185"/>
      <c r="Q205" s="185"/>
      <c r="R205" s="185"/>
      <c r="S205" s="185"/>
      <c r="T205" s="185"/>
      <c r="U205" s="185"/>
      <c r="V205" s="185"/>
      <c r="W205" s="185"/>
      <c r="X205" s="185"/>
      <c r="Y205" s="185"/>
      <c r="Z205" s="185"/>
      <c r="AA205" s="185"/>
      <c r="AB205" s="185"/>
      <c r="AC205" s="185"/>
      <c r="AD205" s="185"/>
      <c r="AE205" s="185"/>
      <c r="AF205" s="185"/>
      <c r="AG205" s="185"/>
      <c r="AH205" s="185"/>
      <c r="AI205" s="185"/>
      <c r="AJ205" s="185"/>
      <c r="AK205" s="185"/>
      <c r="AL205" s="185"/>
      <c r="AM205" s="185"/>
      <c r="AN205" s="185"/>
      <c r="AO205" s="185"/>
      <c r="AP205" s="185"/>
      <c r="AQ205" s="185"/>
      <c r="AR205" s="185"/>
      <c r="AS205" s="185"/>
      <c r="AT205" s="185"/>
      <c r="AU205" s="185"/>
      <c r="AV205" s="185"/>
      <c r="AW205" s="185"/>
      <c r="AX205" s="185"/>
      <c r="AY205" s="185"/>
      <c r="AZ205" s="185"/>
      <c r="BA205" s="185"/>
      <c r="BB205" s="185"/>
      <c r="BC205" s="185"/>
      <c r="BD205" s="185"/>
      <c r="BE205" s="185"/>
      <c r="BF205" s="185"/>
      <c r="BG205" s="185"/>
      <c r="BH205" s="185"/>
      <c r="BI205" s="185"/>
      <c r="BJ205" s="185"/>
      <c r="BK205" s="186"/>
    </row>
    <row r="206" spans="1:63">
      <c r="A206" s="185"/>
      <c r="B206" s="185"/>
      <c r="C206" s="185"/>
      <c r="D206" s="185"/>
      <c r="E206" s="185"/>
      <c r="F206" s="185"/>
      <c r="G206" s="185"/>
      <c r="H206" s="185"/>
      <c r="I206" s="185"/>
      <c r="J206" s="185"/>
      <c r="K206" s="185"/>
      <c r="L206" s="185"/>
      <c r="M206" s="185"/>
      <c r="N206" s="185"/>
      <c r="O206" s="185"/>
      <c r="P206" s="185"/>
      <c r="Q206" s="185"/>
      <c r="R206" s="185"/>
      <c r="S206" s="185"/>
      <c r="T206" s="185"/>
      <c r="U206" s="185"/>
      <c r="V206" s="185"/>
      <c r="W206" s="185"/>
      <c r="X206" s="185"/>
      <c r="Y206" s="185"/>
      <c r="Z206" s="185"/>
      <c r="AA206" s="185"/>
      <c r="AB206" s="185"/>
      <c r="AC206" s="185"/>
      <c r="AD206" s="185"/>
      <c r="AE206" s="185"/>
      <c r="AF206" s="185"/>
      <c r="AG206" s="185"/>
      <c r="AH206" s="185"/>
      <c r="AI206" s="185"/>
      <c r="AJ206" s="185"/>
      <c r="AK206" s="185"/>
      <c r="AL206" s="185"/>
      <c r="AM206" s="185"/>
      <c r="AN206" s="185"/>
      <c r="AO206" s="185"/>
      <c r="AP206" s="185"/>
      <c r="AQ206" s="185"/>
      <c r="AR206" s="185"/>
      <c r="AS206" s="185"/>
      <c r="AT206" s="185"/>
      <c r="AU206" s="185"/>
      <c r="AV206" s="185"/>
      <c r="AW206" s="185"/>
      <c r="AX206" s="185"/>
      <c r="AY206" s="185"/>
      <c r="AZ206" s="185"/>
      <c r="BA206" s="185"/>
      <c r="BB206" s="185"/>
      <c r="BC206" s="185"/>
      <c r="BD206" s="185"/>
      <c r="BE206" s="185"/>
      <c r="BF206" s="185"/>
      <c r="BG206" s="185"/>
      <c r="BH206" s="185"/>
      <c r="BI206" s="185"/>
      <c r="BJ206" s="185"/>
      <c r="BK206" s="186"/>
    </row>
    <row r="207" spans="1:63">
      <c r="A207" s="185"/>
      <c r="B207" s="185"/>
      <c r="C207" s="185"/>
      <c r="D207" s="185"/>
      <c r="E207" s="185"/>
      <c r="F207" s="185"/>
      <c r="G207" s="185"/>
      <c r="H207" s="185"/>
      <c r="I207" s="185"/>
      <c r="J207" s="185"/>
      <c r="K207" s="185"/>
      <c r="L207" s="185"/>
      <c r="M207" s="185"/>
      <c r="N207" s="185"/>
      <c r="O207" s="185"/>
      <c r="P207" s="185"/>
      <c r="Q207" s="185"/>
      <c r="R207" s="185"/>
      <c r="S207" s="185"/>
      <c r="T207" s="185"/>
      <c r="U207" s="185"/>
      <c r="V207" s="185"/>
      <c r="W207" s="185"/>
      <c r="X207" s="185"/>
      <c r="Y207" s="185"/>
      <c r="Z207" s="185"/>
      <c r="AA207" s="185"/>
      <c r="AB207" s="185"/>
      <c r="AC207" s="185"/>
      <c r="AD207" s="185"/>
      <c r="AE207" s="185"/>
      <c r="AF207" s="185"/>
      <c r="AG207" s="185"/>
      <c r="AH207" s="185"/>
      <c r="AI207" s="185"/>
      <c r="AJ207" s="185"/>
      <c r="AK207" s="185"/>
      <c r="AL207" s="185"/>
      <c r="AM207" s="185"/>
      <c r="AN207" s="185"/>
      <c r="AO207" s="185"/>
      <c r="AP207" s="185"/>
      <c r="AQ207" s="185"/>
      <c r="AR207" s="185"/>
      <c r="AS207" s="185"/>
      <c r="AT207" s="185"/>
      <c r="AU207" s="185"/>
      <c r="AV207" s="185"/>
      <c r="AW207" s="185"/>
      <c r="AX207" s="185"/>
      <c r="AY207" s="185"/>
      <c r="AZ207" s="185"/>
      <c r="BA207" s="185"/>
      <c r="BB207" s="185"/>
      <c r="BC207" s="185"/>
      <c r="BD207" s="185"/>
      <c r="BE207" s="185"/>
      <c r="BF207" s="185"/>
      <c r="BG207" s="185"/>
      <c r="BH207" s="185"/>
      <c r="BI207" s="185"/>
      <c r="BJ207" s="185"/>
      <c r="BK207" s="186"/>
    </row>
    <row r="208" spans="1:63">
      <c r="A208" s="185"/>
      <c r="B208" s="185"/>
      <c r="C208" s="185"/>
      <c r="D208" s="185"/>
      <c r="E208" s="185"/>
      <c r="F208" s="185"/>
      <c r="G208" s="185"/>
      <c r="H208" s="185"/>
      <c r="I208" s="185"/>
      <c r="J208" s="185"/>
      <c r="K208" s="185"/>
      <c r="L208" s="185"/>
      <c r="M208" s="185"/>
      <c r="N208" s="185"/>
      <c r="O208" s="185"/>
      <c r="P208" s="185"/>
      <c r="Q208" s="185"/>
      <c r="R208" s="185"/>
      <c r="S208" s="185"/>
      <c r="T208" s="185"/>
      <c r="U208" s="185"/>
      <c r="V208" s="185"/>
      <c r="W208" s="185"/>
      <c r="X208" s="185"/>
      <c r="Y208" s="185"/>
      <c r="Z208" s="185"/>
      <c r="AA208" s="185"/>
      <c r="AB208" s="185"/>
      <c r="AC208" s="185"/>
      <c r="AD208" s="185"/>
      <c r="AE208" s="185"/>
      <c r="AF208" s="185"/>
      <c r="AG208" s="185"/>
      <c r="AH208" s="185"/>
      <c r="AI208" s="185"/>
      <c r="AJ208" s="185"/>
      <c r="AK208" s="185"/>
      <c r="AL208" s="185"/>
      <c r="AM208" s="185"/>
      <c r="AN208" s="185"/>
      <c r="AO208" s="185"/>
      <c r="AP208" s="185"/>
      <c r="AQ208" s="185"/>
      <c r="AR208" s="185"/>
      <c r="AS208" s="185"/>
      <c r="AT208" s="185"/>
      <c r="AU208" s="185"/>
      <c r="AV208" s="185"/>
      <c r="AW208" s="185"/>
      <c r="AX208" s="185"/>
      <c r="AY208" s="185"/>
      <c r="AZ208" s="185"/>
      <c r="BA208" s="185"/>
      <c r="BB208" s="185"/>
      <c r="BC208" s="185"/>
      <c r="BD208" s="185"/>
      <c r="BE208" s="185"/>
      <c r="BF208" s="185"/>
      <c r="BG208" s="185"/>
      <c r="BH208" s="185"/>
      <c r="BI208" s="185"/>
      <c r="BJ208" s="185"/>
      <c r="BK208" s="186"/>
    </row>
    <row r="209" spans="1:63">
      <c r="A209" s="185"/>
      <c r="B209" s="185"/>
      <c r="C209" s="185"/>
      <c r="D209" s="185"/>
      <c r="E209" s="185"/>
      <c r="F209" s="185"/>
      <c r="G209" s="185"/>
      <c r="H209" s="185"/>
      <c r="I209" s="185"/>
      <c r="J209" s="185"/>
      <c r="K209" s="185"/>
      <c r="L209" s="185"/>
      <c r="M209" s="185"/>
      <c r="N209" s="185"/>
      <c r="O209" s="185"/>
      <c r="P209" s="185"/>
      <c r="Q209" s="185"/>
      <c r="R209" s="185"/>
      <c r="S209" s="185"/>
      <c r="T209" s="185"/>
      <c r="U209" s="185"/>
      <c r="V209" s="185"/>
      <c r="W209" s="185"/>
      <c r="X209" s="185"/>
      <c r="Y209" s="185"/>
      <c r="Z209" s="185"/>
      <c r="AA209" s="185"/>
      <c r="AB209" s="185"/>
      <c r="AC209" s="185"/>
      <c r="AD209" s="185"/>
      <c r="AE209" s="185"/>
      <c r="AF209" s="185"/>
      <c r="AG209" s="185"/>
      <c r="AH209" s="185"/>
      <c r="AI209" s="185"/>
      <c r="AJ209" s="185"/>
      <c r="AK209" s="185"/>
      <c r="AL209" s="185"/>
      <c r="AM209" s="185"/>
      <c r="AN209" s="185"/>
      <c r="AO209" s="185"/>
      <c r="AP209" s="185"/>
      <c r="AQ209" s="185"/>
      <c r="AR209" s="185"/>
      <c r="AS209" s="185"/>
      <c r="AT209" s="185"/>
      <c r="AU209" s="185"/>
      <c r="AV209" s="185"/>
      <c r="AW209" s="185"/>
      <c r="AX209" s="185"/>
      <c r="AY209" s="185"/>
      <c r="AZ209" s="185"/>
      <c r="BA209" s="185"/>
      <c r="BB209" s="185"/>
      <c r="BC209" s="185"/>
      <c r="BD209" s="185"/>
      <c r="BE209" s="185"/>
      <c r="BF209" s="185"/>
      <c r="BG209" s="185"/>
      <c r="BH209" s="185"/>
      <c r="BI209" s="185"/>
      <c r="BJ209" s="185"/>
      <c r="BK209" s="186"/>
    </row>
    <row r="210" spans="1:63">
      <c r="A210" s="185"/>
      <c r="B210" s="185"/>
      <c r="C210" s="185"/>
      <c r="D210" s="185"/>
      <c r="E210" s="185"/>
      <c r="F210" s="185"/>
      <c r="G210" s="185"/>
      <c r="H210" s="185"/>
      <c r="I210" s="185"/>
      <c r="J210" s="185"/>
      <c r="K210" s="185"/>
      <c r="L210" s="185"/>
      <c r="M210" s="185"/>
      <c r="N210" s="185"/>
      <c r="O210" s="185"/>
      <c r="P210" s="185"/>
      <c r="Q210" s="185"/>
      <c r="R210" s="185"/>
      <c r="S210" s="185"/>
      <c r="T210" s="185"/>
      <c r="U210" s="185"/>
      <c r="V210" s="185"/>
      <c r="W210" s="185"/>
      <c r="X210" s="185"/>
      <c r="Y210" s="185"/>
      <c r="Z210" s="185"/>
      <c r="AA210" s="185"/>
      <c r="AB210" s="185"/>
      <c r="AC210" s="185"/>
      <c r="AD210" s="185"/>
      <c r="AE210" s="185"/>
      <c r="AF210" s="185"/>
      <c r="AG210" s="185"/>
      <c r="AH210" s="185"/>
      <c r="AI210" s="185"/>
      <c r="AJ210" s="185"/>
      <c r="AK210" s="185"/>
      <c r="AL210" s="185"/>
      <c r="AM210" s="185"/>
      <c r="AN210" s="185"/>
      <c r="AO210" s="185"/>
      <c r="AP210" s="185"/>
      <c r="AQ210" s="185"/>
      <c r="AR210" s="185"/>
      <c r="AS210" s="185"/>
      <c r="AT210" s="185"/>
      <c r="AU210" s="185"/>
      <c r="AV210" s="185"/>
      <c r="AW210" s="185"/>
      <c r="AX210" s="185"/>
      <c r="AY210" s="185"/>
      <c r="AZ210" s="185"/>
      <c r="BA210" s="185"/>
      <c r="BB210" s="185"/>
      <c r="BC210" s="185"/>
      <c r="BD210" s="185"/>
      <c r="BE210" s="185"/>
      <c r="BF210" s="185"/>
      <c r="BG210" s="185"/>
      <c r="BH210" s="185"/>
      <c r="BI210" s="185"/>
      <c r="BJ210" s="185"/>
      <c r="BK210" s="186"/>
    </row>
    <row r="211" spans="1:63">
      <c r="A211" s="185"/>
      <c r="B211" s="185"/>
      <c r="C211" s="185"/>
      <c r="D211" s="185"/>
      <c r="E211" s="185"/>
      <c r="F211" s="185"/>
      <c r="G211" s="185"/>
      <c r="H211" s="185"/>
      <c r="I211" s="185"/>
      <c r="J211" s="185"/>
      <c r="K211" s="185"/>
      <c r="L211" s="185"/>
      <c r="M211" s="185"/>
      <c r="N211" s="185"/>
      <c r="O211" s="185"/>
      <c r="P211" s="185"/>
      <c r="Q211" s="185"/>
      <c r="R211" s="185"/>
      <c r="S211" s="185"/>
      <c r="T211" s="185"/>
      <c r="U211" s="185"/>
      <c r="V211" s="185"/>
      <c r="W211" s="185"/>
      <c r="X211" s="185"/>
      <c r="Y211" s="185"/>
      <c r="Z211" s="185"/>
      <c r="AA211" s="185"/>
      <c r="AB211" s="185"/>
      <c r="AC211" s="185"/>
      <c r="AD211" s="185"/>
      <c r="AE211" s="185"/>
      <c r="AF211" s="185"/>
      <c r="AG211" s="185"/>
      <c r="AH211" s="185"/>
      <c r="AI211" s="185"/>
      <c r="AJ211" s="185"/>
      <c r="AK211" s="185"/>
      <c r="AL211" s="185"/>
      <c r="AM211" s="185"/>
      <c r="AN211" s="185"/>
      <c r="AO211" s="185"/>
      <c r="AP211" s="185"/>
      <c r="AQ211" s="185"/>
      <c r="AR211" s="185"/>
      <c r="AS211" s="185"/>
      <c r="AT211" s="185"/>
      <c r="AU211" s="185"/>
      <c r="AV211" s="185"/>
      <c r="AW211" s="185"/>
      <c r="AX211" s="185"/>
      <c r="AY211" s="185"/>
      <c r="AZ211" s="185"/>
      <c r="BA211" s="185"/>
      <c r="BB211" s="185"/>
      <c r="BC211" s="185"/>
      <c r="BD211" s="185"/>
      <c r="BE211" s="185"/>
      <c r="BF211" s="185"/>
      <c r="BG211" s="185"/>
      <c r="BH211" s="185"/>
      <c r="BI211" s="185"/>
      <c r="BJ211" s="185"/>
      <c r="BK211" s="186"/>
    </row>
    <row r="212" spans="1:63">
      <c r="A212" s="185"/>
      <c r="B212" s="185"/>
      <c r="C212" s="185"/>
      <c r="D212" s="185"/>
      <c r="E212" s="185"/>
      <c r="F212" s="185"/>
      <c r="G212" s="185"/>
      <c r="H212" s="185"/>
      <c r="I212" s="185"/>
      <c r="J212" s="185"/>
      <c r="K212" s="185"/>
      <c r="L212" s="185"/>
      <c r="M212" s="185"/>
      <c r="N212" s="185"/>
      <c r="O212" s="185"/>
      <c r="P212" s="185"/>
      <c r="Q212" s="185"/>
      <c r="R212" s="185"/>
      <c r="S212" s="185"/>
      <c r="T212" s="185"/>
      <c r="U212" s="185"/>
      <c r="V212" s="185"/>
      <c r="W212" s="185"/>
      <c r="X212" s="185"/>
      <c r="Y212" s="185"/>
      <c r="Z212" s="185"/>
      <c r="AA212" s="185"/>
      <c r="AB212" s="185"/>
      <c r="AC212" s="185"/>
      <c r="AD212" s="185"/>
      <c r="AE212" s="185"/>
      <c r="AF212" s="185"/>
      <c r="AG212" s="185"/>
      <c r="AH212" s="185"/>
      <c r="AI212" s="185"/>
      <c r="AJ212" s="185"/>
      <c r="AK212" s="185"/>
      <c r="AL212" s="185"/>
      <c r="AM212" s="185"/>
      <c r="AN212" s="185"/>
      <c r="AO212" s="185"/>
      <c r="AP212" s="185"/>
      <c r="AQ212" s="185"/>
      <c r="AR212" s="185"/>
      <c r="AS212" s="185"/>
      <c r="AT212" s="185"/>
      <c r="AU212" s="185"/>
      <c r="AV212" s="185"/>
      <c r="AW212" s="185"/>
      <c r="AX212" s="185"/>
      <c r="AY212" s="185"/>
      <c r="AZ212" s="185"/>
      <c r="BA212" s="185"/>
      <c r="BB212" s="185"/>
      <c r="BC212" s="185"/>
      <c r="BD212" s="185"/>
      <c r="BE212" s="185"/>
      <c r="BF212" s="185"/>
      <c r="BG212" s="185"/>
      <c r="BH212" s="185"/>
      <c r="BI212" s="185"/>
      <c r="BJ212" s="185"/>
      <c r="BK212" s="186"/>
    </row>
    <row r="213" spans="1:63">
      <c r="A213" s="185"/>
      <c r="B213" s="185"/>
      <c r="C213" s="185"/>
      <c r="D213" s="185"/>
      <c r="E213" s="185"/>
      <c r="F213" s="185"/>
      <c r="G213" s="185"/>
      <c r="H213" s="185"/>
      <c r="I213" s="185"/>
      <c r="J213" s="185"/>
      <c r="K213" s="185"/>
      <c r="L213" s="185"/>
      <c r="M213" s="185"/>
      <c r="N213" s="185"/>
      <c r="O213" s="185"/>
      <c r="P213" s="185"/>
      <c r="Q213" s="185"/>
      <c r="R213" s="185"/>
      <c r="S213" s="185"/>
      <c r="T213" s="185"/>
      <c r="U213" s="185"/>
      <c r="V213" s="185"/>
      <c r="W213" s="185"/>
      <c r="X213" s="185"/>
      <c r="Y213" s="185"/>
      <c r="Z213" s="185"/>
      <c r="AA213" s="185"/>
      <c r="AB213" s="185"/>
      <c r="AC213" s="185"/>
      <c r="AD213" s="185"/>
      <c r="AE213" s="185"/>
      <c r="AF213" s="185"/>
      <c r="AG213" s="185"/>
      <c r="AH213" s="185"/>
      <c r="AI213" s="185"/>
      <c r="AJ213" s="185"/>
      <c r="AK213" s="185"/>
      <c r="AL213" s="185"/>
      <c r="AM213" s="185"/>
      <c r="AN213" s="185"/>
      <c r="AO213" s="185"/>
      <c r="AP213" s="185"/>
      <c r="AQ213" s="185"/>
      <c r="AR213" s="185"/>
      <c r="AS213" s="185"/>
      <c r="AT213" s="185"/>
      <c r="AU213" s="185"/>
      <c r="AV213" s="185"/>
      <c r="AW213" s="185"/>
      <c r="AX213" s="185"/>
      <c r="AY213" s="185"/>
      <c r="AZ213" s="185"/>
      <c r="BA213" s="185"/>
      <c r="BB213" s="185"/>
      <c r="BC213" s="185"/>
      <c r="BD213" s="185"/>
      <c r="BE213" s="185"/>
      <c r="BF213" s="185"/>
      <c r="BG213" s="185"/>
      <c r="BH213" s="185"/>
      <c r="BI213" s="185"/>
      <c r="BJ213" s="185"/>
      <c r="BK213" s="186"/>
    </row>
    <row r="214" spans="1:63">
      <c r="A214" s="185"/>
      <c r="B214" s="185"/>
      <c r="C214" s="185"/>
      <c r="D214" s="185"/>
      <c r="E214" s="185"/>
      <c r="F214" s="185"/>
      <c r="G214" s="185"/>
      <c r="H214" s="185"/>
      <c r="I214" s="185"/>
      <c r="J214" s="185"/>
      <c r="K214" s="185"/>
      <c r="L214" s="185"/>
      <c r="M214" s="185"/>
      <c r="N214" s="185"/>
      <c r="O214" s="185"/>
      <c r="P214" s="185"/>
      <c r="Q214" s="185"/>
      <c r="R214" s="185"/>
      <c r="S214" s="185"/>
      <c r="T214" s="185"/>
      <c r="U214" s="185"/>
      <c r="V214" s="185"/>
      <c r="W214" s="185"/>
      <c r="X214" s="185"/>
      <c r="Y214" s="185"/>
      <c r="Z214" s="185"/>
      <c r="AA214" s="185"/>
      <c r="AB214" s="185"/>
      <c r="AC214" s="185"/>
      <c r="AD214" s="185"/>
      <c r="AE214" s="185"/>
      <c r="AF214" s="185"/>
      <c r="AG214" s="185"/>
      <c r="AH214" s="185"/>
      <c r="AI214" s="185"/>
      <c r="AJ214" s="185"/>
      <c r="AK214" s="185"/>
      <c r="AL214" s="185"/>
      <c r="AM214" s="185"/>
      <c r="AN214" s="185"/>
      <c r="AO214" s="185"/>
      <c r="AP214" s="185"/>
      <c r="AQ214" s="185"/>
      <c r="AR214" s="185"/>
      <c r="AS214" s="185"/>
      <c r="AT214" s="185"/>
      <c r="AU214" s="185"/>
      <c r="AV214" s="185"/>
      <c r="AW214" s="185"/>
      <c r="AX214" s="185"/>
      <c r="AY214" s="185"/>
      <c r="AZ214" s="185"/>
      <c r="BA214" s="185"/>
      <c r="BB214" s="185"/>
      <c r="BC214" s="185"/>
      <c r="BD214" s="185"/>
      <c r="BE214" s="185"/>
      <c r="BF214" s="185"/>
      <c r="BG214" s="185"/>
      <c r="BH214" s="185"/>
      <c r="BI214" s="185"/>
      <c r="BJ214" s="185"/>
      <c r="BK214" s="186"/>
    </row>
    <row r="215" spans="1:63">
      <c r="A215" s="185"/>
      <c r="B215" s="185"/>
      <c r="C215" s="185"/>
      <c r="D215" s="185"/>
      <c r="E215" s="185"/>
      <c r="F215" s="185"/>
      <c r="G215" s="185"/>
      <c r="H215" s="185"/>
      <c r="I215" s="185"/>
      <c r="J215" s="185"/>
      <c r="K215" s="185"/>
      <c r="L215" s="185"/>
      <c r="M215" s="185"/>
      <c r="N215" s="185"/>
      <c r="O215" s="185"/>
      <c r="P215" s="185"/>
      <c r="Q215" s="185"/>
      <c r="R215" s="185"/>
      <c r="S215" s="185"/>
      <c r="T215" s="185"/>
      <c r="U215" s="185"/>
      <c r="V215" s="185"/>
      <c r="W215" s="185"/>
      <c r="X215" s="185"/>
      <c r="Y215" s="185"/>
      <c r="Z215" s="185"/>
      <c r="AA215" s="185"/>
      <c r="AB215" s="185"/>
      <c r="AC215" s="185"/>
      <c r="AD215" s="185"/>
      <c r="AE215" s="185"/>
      <c r="AF215" s="185"/>
      <c r="AG215" s="185"/>
      <c r="AH215" s="185"/>
      <c r="AI215" s="185"/>
      <c r="AJ215" s="185"/>
      <c r="AK215" s="185"/>
      <c r="AL215" s="185"/>
      <c r="AM215" s="185"/>
      <c r="AN215" s="185"/>
      <c r="AO215" s="185"/>
      <c r="AP215" s="185"/>
      <c r="AQ215" s="185"/>
      <c r="AR215" s="185"/>
      <c r="AS215" s="185"/>
      <c r="AT215" s="185"/>
      <c r="AU215" s="185"/>
      <c r="AV215" s="185"/>
      <c r="AW215" s="185"/>
      <c r="AX215" s="185"/>
      <c r="AY215" s="185"/>
      <c r="AZ215" s="185"/>
      <c r="BA215" s="185"/>
      <c r="BB215" s="185"/>
      <c r="BC215" s="185"/>
      <c r="BD215" s="185"/>
      <c r="BE215" s="185"/>
      <c r="BF215" s="185"/>
      <c r="BG215" s="185"/>
      <c r="BH215" s="185"/>
      <c r="BI215" s="185"/>
      <c r="BJ215" s="185"/>
      <c r="BK215" s="186"/>
    </row>
    <row r="216" spans="1:63">
      <c r="A216" s="185"/>
      <c r="B216" s="185"/>
      <c r="C216" s="185"/>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6"/>
    </row>
    <row r="217" spans="1:63">
      <c r="A217" s="185"/>
      <c r="B217" s="185"/>
      <c r="C217" s="185"/>
      <c r="D217" s="185"/>
      <c r="E217" s="185"/>
      <c r="F217" s="185"/>
      <c r="G217" s="185"/>
      <c r="H217" s="185"/>
      <c r="I217" s="185"/>
      <c r="J217" s="185"/>
      <c r="K217" s="185"/>
      <c r="L217" s="185"/>
      <c r="M217" s="185"/>
      <c r="N217" s="185"/>
      <c r="O217" s="185"/>
      <c r="P217" s="185"/>
      <c r="Q217" s="185"/>
      <c r="R217" s="185"/>
      <c r="S217" s="185"/>
      <c r="T217" s="185"/>
      <c r="U217" s="185"/>
      <c r="V217" s="185"/>
      <c r="W217" s="185"/>
      <c r="X217" s="185"/>
      <c r="Y217" s="185"/>
      <c r="Z217" s="185"/>
      <c r="AA217" s="185"/>
      <c r="AB217" s="185"/>
      <c r="AC217" s="185"/>
      <c r="AD217" s="185"/>
      <c r="AE217" s="185"/>
      <c r="AF217" s="185"/>
      <c r="AG217" s="185"/>
      <c r="AH217" s="185"/>
      <c r="AI217" s="185"/>
      <c r="AJ217" s="185"/>
      <c r="AK217" s="185"/>
      <c r="AL217" s="185"/>
      <c r="AM217" s="185"/>
      <c r="AN217" s="185"/>
      <c r="AO217" s="185"/>
      <c r="AP217" s="185"/>
      <c r="AQ217" s="185"/>
      <c r="AR217" s="185"/>
      <c r="AS217" s="185"/>
      <c r="AT217" s="185"/>
      <c r="AU217" s="185"/>
      <c r="AV217" s="185"/>
      <c r="AW217" s="185"/>
      <c r="AX217" s="185"/>
      <c r="AY217" s="185"/>
      <c r="AZ217" s="185"/>
      <c r="BA217" s="185"/>
      <c r="BB217" s="185"/>
      <c r="BC217" s="185"/>
      <c r="BD217" s="185"/>
      <c r="BE217" s="185"/>
      <c r="BF217" s="185"/>
      <c r="BG217" s="185"/>
      <c r="BH217" s="185"/>
      <c r="BI217" s="185"/>
      <c r="BJ217" s="185"/>
      <c r="BK217" s="186"/>
    </row>
    <row r="218" spans="1:63">
      <c r="A218" s="185"/>
      <c r="B218" s="185"/>
      <c r="C218" s="185"/>
      <c r="D218" s="185"/>
      <c r="E218" s="185"/>
      <c r="F218" s="185"/>
      <c r="G218" s="185"/>
      <c r="H218" s="185"/>
      <c r="I218" s="185"/>
      <c r="J218" s="185"/>
      <c r="K218" s="185"/>
      <c r="L218" s="185"/>
      <c r="M218" s="185"/>
      <c r="N218" s="185"/>
      <c r="O218" s="185"/>
      <c r="P218" s="185"/>
      <c r="Q218" s="185"/>
      <c r="R218" s="185"/>
      <c r="S218" s="185"/>
      <c r="T218" s="185"/>
      <c r="U218" s="185"/>
      <c r="V218" s="185"/>
      <c r="W218" s="185"/>
      <c r="X218" s="185"/>
      <c r="Y218" s="185"/>
      <c r="Z218" s="185"/>
      <c r="AA218" s="185"/>
      <c r="AB218" s="185"/>
      <c r="AC218" s="185"/>
      <c r="AD218" s="185"/>
      <c r="AE218" s="185"/>
      <c r="AF218" s="185"/>
      <c r="AG218" s="185"/>
      <c r="AH218" s="185"/>
      <c r="AI218" s="185"/>
      <c r="AJ218" s="185"/>
      <c r="AK218" s="185"/>
      <c r="AL218" s="185"/>
      <c r="AM218" s="185"/>
      <c r="AN218" s="185"/>
      <c r="AO218" s="185"/>
      <c r="AP218" s="185"/>
      <c r="AQ218" s="185"/>
      <c r="AR218" s="185"/>
      <c r="AS218" s="185"/>
      <c r="AT218" s="185"/>
      <c r="AU218" s="185"/>
      <c r="AV218" s="185"/>
      <c r="AW218" s="185"/>
      <c r="AX218" s="185"/>
      <c r="AY218" s="185"/>
      <c r="AZ218" s="185"/>
      <c r="BA218" s="185"/>
      <c r="BB218" s="185"/>
      <c r="BC218" s="185"/>
      <c r="BD218" s="185"/>
      <c r="BE218" s="185"/>
      <c r="BF218" s="185"/>
      <c r="BG218" s="185"/>
      <c r="BH218" s="185"/>
      <c r="BI218" s="185"/>
      <c r="BJ218" s="185"/>
      <c r="BK218" s="186"/>
    </row>
    <row r="219" spans="1:63">
      <c r="A219" s="185"/>
      <c r="B219" s="185"/>
      <c r="C219" s="185"/>
      <c r="D219" s="185"/>
      <c r="E219" s="185"/>
      <c r="F219" s="185"/>
      <c r="G219" s="185"/>
      <c r="H219" s="185"/>
      <c r="I219" s="185"/>
      <c r="J219" s="185"/>
      <c r="K219" s="185"/>
      <c r="L219" s="185"/>
      <c r="M219" s="185"/>
      <c r="N219" s="185"/>
      <c r="O219" s="185"/>
      <c r="P219" s="185"/>
      <c r="Q219" s="185"/>
      <c r="R219" s="185"/>
      <c r="S219" s="185"/>
      <c r="T219" s="185"/>
      <c r="U219" s="185"/>
      <c r="V219" s="185"/>
      <c r="W219" s="185"/>
      <c r="X219" s="185"/>
      <c r="Y219" s="185"/>
      <c r="Z219" s="185"/>
      <c r="AA219" s="185"/>
      <c r="AB219" s="185"/>
      <c r="AC219" s="185"/>
      <c r="AD219" s="185"/>
      <c r="AE219" s="185"/>
      <c r="AF219" s="185"/>
      <c r="AG219" s="185"/>
      <c r="AH219" s="185"/>
      <c r="AI219" s="185"/>
      <c r="AJ219" s="185"/>
      <c r="AK219" s="185"/>
      <c r="AL219" s="185"/>
      <c r="AM219" s="185"/>
      <c r="AN219" s="185"/>
      <c r="AO219" s="185"/>
      <c r="AP219" s="185"/>
      <c r="AQ219" s="185"/>
      <c r="AR219" s="185"/>
      <c r="AS219" s="185"/>
      <c r="AT219" s="185"/>
      <c r="AU219" s="185"/>
      <c r="AV219" s="185"/>
      <c r="AW219" s="185"/>
      <c r="AX219" s="185"/>
      <c r="AY219" s="185"/>
      <c r="AZ219" s="185"/>
      <c r="BA219" s="185"/>
      <c r="BB219" s="185"/>
      <c r="BC219" s="185"/>
      <c r="BD219" s="185"/>
      <c r="BE219" s="185"/>
      <c r="BF219" s="185"/>
      <c r="BG219" s="185"/>
      <c r="BH219" s="185"/>
      <c r="BI219" s="185"/>
      <c r="BJ219" s="185"/>
      <c r="BK219" s="186"/>
    </row>
    <row r="220" spans="1:63">
      <c r="A220" s="185"/>
      <c r="B220" s="185"/>
      <c r="C220" s="185"/>
      <c r="D220" s="185"/>
      <c r="E220" s="185"/>
      <c r="F220" s="185"/>
      <c r="G220" s="185"/>
      <c r="H220" s="185"/>
      <c r="I220" s="185"/>
      <c r="J220" s="185"/>
      <c r="K220" s="185"/>
      <c r="L220" s="185"/>
      <c r="M220" s="185"/>
      <c r="N220" s="185"/>
      <c r="O220" s="185"/>
      <c r="P220" s="185"/>
      <c r="Q220" s="185"/>
      <c r="R220" s="185"/>
      <c r="S220" s="185"/>
      <c r="T220" s="185"/>
      <c r="U220" s="185"/>
      <c r="V220" s="185"/>
      <c r="W220" s="185"/>
      <c r="X220" s="185"/>
      <c r="Y220" s="185"/>
      <c r="Z220" s="185"/>
      <c r="AA220" s="185"/>
      <c r="AB220" s="185"/>
      <c r="AC220" s="185"/>
      <c r="AD220" s="185"/>
      <c r="AE220" s="185"/>
      <c r="AF220" s="185"/>
      <c r="AG220" s="185"/>
      <c r="AH220" s="185"/>
      <c r="AI220" s="185"/>
      <c r="AJ220" s="185"/>
      <c r="AK220" s="185"/>
      <c r="AL220" s="185"/>
      <c r="AM220" s="185"/>
      <c r="AN220" s="185"/>
      <c r="AO220" s="185"/>
      <c r="AP220" s="185"/>
      <c r="AQ220" s="185"/>
      <c r="AR220" s="185"/>
      <c r="AS220" s="185"/>
      <c r="AT220" s="185"/>
      <c r="AU220" s="185"/>
      <c r="AV220" s="185"/>
      <c r="AW220" s="185"/>
      <c r="AX220" s="185"/>
      <c r="AY220" s="185"/>
      <c r="AZ220" s="185"/>
      <c r="BA220" s="185"/>
      <c r="BB220" s="185"/>
      <c r="BC220" s="185"/>
      <c r="BD220" s="185"/>
      <c r="BE220" s="185"/>
      <c r="BF220" s="185"/>
      <c r="BG220" s="185"/>
      <c r="BH220" s="185"/>
      <c r="BI220" s="185"/>
      <c r="BJ220" s="185"/>
      <c r="BK220" s="186"/>
    </row>
    <row r="221" spans="1:63">
      <c r="A221" s="185"/>
      <c r="B221" s="185"/>
      <c r="C221" s="185"/>
      <c r="D221" s="185"/>
      <c r="E221" s="185"/>
      <c r="F221" s="185"/>
      <c r="G221" s="185"/>
      <c r="H221" s="185"/>
      <c r="I221" s="185"/>
      <c r="J221" s="185"/>
      <c r="K221" s="185"/>
      <c r="L221" s="185"/>
      <c r="M221" s="185"/>
      <c r="N221" s="185"/>
      <c r="O221" s="185"/>
      <c r="P221" s="185"/>
      <c r="Q221" s="185"/>
      <c r="R221" s="185"/>
      <c r="S221" s="185"/>
      <c r="T221" s="185"/>
      <c r="U221" s="185"/>
      <c r="V221" s="185"/>
      <c r="W221" s="185"/>
      <c r="X221" s="185"/>
      <c r="Y221" s="185"/>
      <c r="Z221" s="185"/>
      <c r="AA221" s="185"/>
      <c r="AB221" s="185"/>
      <c r="AC221" s="185"/>
      <c r="AD221" s="185"/>
      <c r="AE221" s="185"/>
      <c r="AF221" s="185"/>
      <c r="AG221" s="185"/>
      <c r="AH221" s="185"/>
      <c r="AI221" s="185"/>
      <c r="AJ221" s="185"/>
      <c r="AK221" s="185"/>
      <c r="AL221" s="185"/>
      <c r="AM221" s="185"/>
      <c r="AN221" s="185"/>
      <c r="AO221" s="185"/>
      <c r="AP221" s="185"/>
      <c r="AQ221" s="185"/>
      <c r="AR221" s="185"/>
      <c r="AS221" s="185"/>
      <c r="AT221" s="185"/>
      <c r="AU221" s="185"/>
      <c r="AV221" s="185"/>
      <c r="AW221" s="185"/>
      <c r="AX221" s="185"/>
      <c r="AY221" s="185"/>
      <c r="AZ221" s="185"/>
      <c r="BA221" s="185"/>
      <c r="BB221" s="185"/>
      <c r="BC221" s="185"/>
      <c r="BD221" s="185"/>
      <c r="BE221" s="185"/>
      <c r="BF221" s="185"/>
      <c r="BG221" s="185"/>
      <c r="BH221" s="185"/>
      <c r="BI221" s="185"/>
      <c r="BJ221" s="185"/>
      <c r="BK221" s="186"/>
    </row>
    <row r="222" spans="1:63">
      <c r="A222" s="185"/>
      <c r="B222" s="185"/>
      <c r="C222" s="185"/>
      <c r="D222" s="185"/>
      <c r="E222" s="185"/>
      <c r="F222" s="185"/>
      <c r="G222" s="185"/>
      <c r="H222" s="185"/>
      <c r="I222" s="185"/>
      <c r="J222" s="185"/>
      <c r="K222" s="185"/>
      <c r="L222" s="185"/>
      <c r="M222" s="185"/>
      <c r="N222" s="185"/>
      <c r="O222" s="185"/>
      <c r="P222" s="185"/>
      <c r="Q222" s="185"/>
      <c r="R222" s="185"/>
      <c r="S222" s="185"/>
      <c r="T222" s="185"/>
      <c r="U222" s="185"/>
      <c r="V222" s="185"/>
      <c r="W222" s="185"/>
      <c r="X222" s="185"/>
      <c r="Y222" s="185"/>
      <c r="Z222" s="185"/>
      <c r="AA222" s="185"/>
      <c r="AB222" s="185"/>
      <c r="AC222" s="185"/>
      <c r="AD222" s="185"/>
      <c r="AE222" s="185"/>
      <c r="AF222" s="185"/>
      <c r="AG222" s="185"/>
      <c r="AH222" s="185"/>
      <c r="AI222" s="185"/>
      <c r="AJ222" s="185"/>
      <c r="AK222" s="185"/>
      <c r="AL222" s="185"/>
      <c r="AM222" s="185"/>
      <c r="AN222" s="185"/>
      <c r="AO222" s="185"/>
      <c r="AP222" s="185"/>
      <c r="AQ222" s="185"/>
      <c r="AR222" s="185"/>
      <c r="AS222" s="185"/>
      <c r="AT222" s="185"/>
      <c r="AU222" s="185"/>
      <c r="AV222" s="185"/>
      <c r="AW222" s="185"/>
      <c r="AX222" s="185"/>
      <c r="AY222" s="185"/>
      <c r="AZ222" s="185"/>
      <c r="BA222" s="185"/>
      <c r="BB222" s="185"/>
      <c r="BC222" s="185"/>
      <c r="BD222" s="185"/>
      <c r="BE222" s="185"/>
      <c r="BF222" s="185"/>
      <c r="BG222" s="185"/>
      <c r="BH222" s="185"/>
      <c r="BI222" s="185"/>
      <c r="BJ222" s="185"/>
      <c r="BK222" s="186"/>
    </row>
    <row r="223" spans="1:63">
      <c r="A223" s="185"/>
      <c r="B223" s="185"/>
      <c r="C223" s="185"/>
      <c r="D223" s="185"/>
      <c r="E223" s="185"/>
      <c r="F223" s="185"/>
      <c r="G223" s="185"/>
      <c r="H223" s="185"/>
      <c r="I223" s="185"/>
      <c r="J223" s="185"/>
      <c r="K223" s="185"/>
      <c r="L223" s="185"/>
      <c r="M223" s="185"/>
      <c r="N223" s="185"/>
      <c r="O223" s="185"/>
      <c r="P223" s="185"/>
      <c r="Q223" s="185"/>
      <c r="R223" s="185"/>
      <c r="S223" s="185"/>
      <c r="T223" s="185"/>
      <c r="U223" s="185"/>
      <c r="V223" s="185"/>
      <c r="W223" s="185"/>
      <c r="X223" s="185"/>
      <c r="Y223" s="185"/>
      <c r="Z223" s="185"/>
      <c r="AA223" s="185"/>
      <c r="AB223" s="185"/>
      <c r="AC223" s="185"/>
      <c r="AD223" s="185"/>
      <c r="AE223" s="185"/>
      <c r="AF223" s="185"/>
      <c r="AG223" s="185"/>
      <c r="AH223" s="185"/>
      <c r="AI223" s="185"/>
      <c r="AJ223" s="185"/>
      <c r="AK223" s="185"/>
      <c r="AL223" s="185"/>
      <c r="AM223" s="185"/>
      <c r="AN223" s="185"/>
      <c r="AO223" s="185"/>
      <c r="AP223" s="185"/>
      <c r="AQ223" s="185"/>
      <c r="AR223" s="185"/>
      <c r="AS223" s="185"/>
      <c r="AT223" s="185"/>
      <c r="AU223" s="185"/>
      <c r="AV223" s="185"/>
      <c r="AW223" s="185"/>
      <c r="AX223" s="185"/>
      <c r="AY223" s="185"/>
      <c r="AZ223" s="185"/>
      <c r="BA223" s="185"/>
      <c r="BB223" s="185"/>
      <c r="BC223" s="185"/>
      <c r="BD223" s="185"/>
      <c r="BE223" s="185"/>
      <c r="BF223" s="185"/>
      <c r="BG223" s="185"/>
      <c r="BH223" s="185"/>
      <c r="BI223" s="185"/>
      <c r="BJ223" s="185"/>
      <c r="BK223" s="186"/>
    </row>
    <row r="224" spans="1:63">
      <c r="A224" s="185"/>
      <c r="B224" s="185"/>
      <c r="C224" s="185"/>
      <c r="D224" s="185"/>
      <c r="E224" s="185"/>
      <c r="F224" s="185"/>
      <c r="G224" s="185"/>
      <c r="H224" s="185"/>
      <c r="I224" s="185"/>
      <c r="J224" s="185"/>
      <c r="K224" s="185"/>
      <c r="L224" s="185"/>
      <c r="M224" s="185"/>
      <c r="N224" s="185"/>
      <c r="O224" s="185"/>
      <c r="P224" s="185"/>
      <c r="Q224" s="185"/>
      <c r="R224" s="185"/>
      <c r="S224" s="185"/>
      <c r="T224" s="185"/>
      <c r="U224" s="185"/>
      <c r="V224" s="185"/>
      <c r="W224" s="185"/>
      <c r="X224" s="185"/>
      <c r="Y224" s="185"/>
      <c r="Z224" s="185"/>
      <c r="AA224" s="185"/>
      <c r="AB224" s="185"/>
      <c r="AC224" s="185"/>
      <c r="AD224" s="185"/>
      <c r="AE224" s="185"/>
      <c r="AF224" s="185"/>
      <c r="AG224" s="185"/>
      <c r="AH224" s="185"/>
      <c r="AI224" s="185"/>
      <c r="AJ224" s="185"/>
      <c r="AK224" s="185"/>
      <c r="AL224" s="185"/>
      <c r="AM224" s="185"/>
      <c r="AN224" s="185"/>
      <c r="AO224" s="185"/>
      <c r="AP224" s="185"/>
      <c r="AQ224" s="185"/>
      <c r="AR224" s="185"/>
      <c r="AS224" s="185"/>
      <c r="AT224" s="185"/>
      <c r="AU224" s="185"/>
      <c r="AV224" s="185"/>
      <c r="AW224" s="185"/>
      <c r="AX224" s="185"/>
      <c r="AY224" s="185"/>
      <c r="AZ224" s="185"/>
      <c r="BA224" s="185"/>
      <c r="BB224" s="185"/>
      <c r="BC224" s="185"/>
      <c r="BD224" s="185"/>
      <c r="BE224" s="185"/>
      <c r="BF224" s="185"/>
      <c r="BG224" s="185"/>
      <c r="BH224" s="185"/>
      <c r="BI224" s="185"/>
      <c r="BJ224" s="185"/>
      <c r="BK224" s="186"/>
    </row>
    <row r="225" spans="1:63">
      <c r="A225" s="185"/>
      <c r="B225" s="185"/>
      <c r="C225" s="185"/>
      <c r="D225" s="185"/>
      <c r="E225" s="185"/>
      <c r="F225" s="185"/>
      <c r="G225" s="185"/>
      <c r="H225" s="185"/>
      <c r="I225" s="185"/>
      <c r="J225" s="185"/>
      <c r="K225" s="185"/>
      <c r="L225" s="185"/>
      <c r="M225" s="185"/>
      <c r="N225" s="185"/>
      <c r="O225" s="185"/>
      <c r="P225" s="185"/>
      <c r="Q225" s="185"/>
      <c r="R225" s="185"/>
      <c r="S225" s="185"/>
      <c r="T225" s="185"/>
      <c r="U225" s="185"/>
      <c r="V225" s="185"/>
      <c r="W225" s="185"/>
      <c r="X225" s="185"/>
      <c r="Y225" s="185"/>
      <c r="Z225" s="185"/>
      <c r="AA225" s="185"/>
      <c r="AB225" s="185"/>
      <c r="AC225" s="185"/>
      <c r="AD225" s="185"/>
      <c r="AE225" s="185"/>
      <c r="AF225" s="185"/>
      <c r="AG225" s="185"/>
      <c r="AH225" s="185"/>
      <c r="AI225" s="185"/>
      <c r="AJ225" s="185"/>
      <c r="AK225" s="185"/>
      <c r="AL225" s="185"/>
      <c r="AM225" s="185"/>
      <c r="AN225" s="185"/>
      <c r="AO225" s="185"/>
      <c r="AP225" s="185"/>
      <c r="AQ225" s="185"/>
      <c r="AR225" s="185"/>
      <c r="AS225" s="185"/>
      <c r="AT225" s="185"/>
      <c r="AU225" s="185"/>
      <c r="AV225" s="185"/>
      <c r="AW225" s="185"/>
      <c r="AX225" s="185"/>
      <c r="AY225" s="185"/>
      <c r="AZ225" s="185"/>
      <c r="BA225" s="185"/>
      <c r="BB225" s="185"/>
      <c r="BC225" s="185"/>
      <c r="BD225" s="185"/>
      <c r="BE225" s="185"/>
      <c r="BF225" s="185"/>
      <c r="BG225" s="185"/>
      <c r="BH225" s="185"/>
      <c r="BI225" s="185"/>
      <c r="BJ225" s="185"/>
      <c r="BK225" s="186"/>
    </row>
    <row r="226" spans="1:63">
      <c r="A226" s="185"/>
      <c r="B226" s="185"/>
      <c r="C226" s="185"/>
      <c r="D226" s="185"/>
      <c r="E226" s="185"/>
      <c r="F226" s="185"/>
      <c r="G226" s="185"/>
      <c r="H226" s="185"/>
      <c r="I226" s="185"/>
      <c r="J226" s="185"/>
      <c r="K226" s="185"/>
      <c r="L226" s="185"/>
      <c r="M226" s="185"/>
      <c r="N226" s="185"/>
      <c r="O226" s="185"/>
      <c r="P226" s="185"/>
      <c r="Q226" s="185"/>
      <c r="R226" s="185"/>
      <c r="S226" s="185"/>
      <c r="T226" s="185"/>
      <c r="U226" s="185"/>
      <c r="V226" s="185"/>
      <c r="W226" s="185"/>
      <c r="X226" s="185"/>
      <c r="Y226" s="185"/>
      <c r="Z226" s="185"/>
      <c r="AA226" s="185"/>
      <c r="AB226" s="185"/>
      <c r="AC226" s="185"/>
      <c r="AD226" s="185"/>
      <c r="AE226" s="185"/>
      <c r="AF226" s="185"/>
      <c r="AG226" s="185"/>
      <c r="AH226" s="185"/>
      <c r="AI226" s="185"/>
      <c r="AJ226" s="185"/>
      <c r="AK226" s="185"/>
      <c r="AL226" s="185"/>
      <c r="AM226" s="185"/>
      <c r="AN226" s="185"/>
      <c r="AO226" s="185"/>
      <c r="AP226" s="185"/>
      <c r="AQ226" s="185"/>
      <c r="AR226" s="185"/>
      <c r="AS226" s="185"/>
      <c r="AT226" s="185"/>
      <c r="AU226" s="185"/>
      <c r="AV226" s="185"/>
      <c r="AW226" s="185"/>
      <c r="AX226" s="185"/>
      <c r="AY226" s="185"/>
      <c r="AZ226" s="185"/>
      <c r="BA226" s="185"/>
      <c r="BB226" s="185"/>
      <c r="BC226" s="185"/>
      <c r="BD226" s="185"/>
      <c r="BE226" s="185"/>
      <c r="BF226" s="185"/>
      <c r="BG226" s="185"/>
      <c r="BH226" s="185"/>
      <c r="BI226" s="185"/>
      <c r="BJ226" s="185"/>
      <c r="BK226" s="186"/>
    </row>
    <row r="227" spans="1:63">
      <c r="A227" s="185"/>
      <c r="B227" s="185"/>
      <c r="C227" s="185"/>
      <c r="D227" s="185"/>
      <c r="E227" s="185"/>
      <c r="F227" s="185"/>
      <c r="G227" s="185"/>
      <c r="H227" s="185"/>
      <c r="I227" s="185"/>
      <c r="J227" s="185"/>
      <c r="K227" s="185"/>
      <c r="L227" s="185"/>
      <c r="M227" s="185"/>
      <c r="N227" s="185"/>
      <c r="O227" s="185"/>
      <c r="P227" s="185"/>
      <c r="Q227" s="185"/>
      <c r="R227" s="185"/>
      <c r="S227" s="185"/>
      <c r="T227" s="185"/>
      <c r="U227" s="185"/>
      <c r="V227" s="185"/>
      <c r="W227" s="185"/>
      <c r="X227" s="185"/>
      <c r="Y227" s="185"/>
      <c r="Z227" s="185"/>
      <c r="AA227" s="185"/>
      <c r="AB227" s="185"/>
      <c r="AC227" s="185"/>
      <c r="AD227" s="185"/>
      <c r="AE227" s="185"/>
      <c r="AF227" s="185"/>
      <c r="AG227" s="185"/>
      <c r="AH227" s="185"/>
      <c r="AI227" s="185"/>
      <c r="AJ227" s="185"/>
      <c r="AK227" s="185"/>
      <c r="AL227" s="185"/>
      <c r="AM227" s="185"/>
      <c r="AN227" s="185"/>
      <c r="AO227" s="185"/>
      <c r="AP227" s="185"/>
      <c r="AQ227" s="185"/>
      <c r="AR227" s="185"/>
      <c r="AS227" s="185"/>
      <c r="AT227" s="185"/>
      <c r="AU227" s="185"/>
      <c r="AV227" s="185"/>
      <c r="AW227" s="185"/>
      <c r="AX227" s="185"/>
      <c r="AY227" s="185"/>
      <c r="AZ227" s="185"/>
      <c r="BA227" s="185"/>
      <c r="BB227" s="185"/>
      <c r="BC227" s="185"/>
      <c r="BD227" s="185"/>
      <c r="BE227" s="185"/>
      <c r="BF227" s="185"/>
      <c r="BG227" s="185"/>
      <c r="BH227" s="185"/>
      <c r="BI227" s="185"/>
      <c r="BJ227" s="185"/>
      <c r="BK227" s="186"/>
    </row>
    <row r="228" spans="1:63">
      <c r="A228" s="185"/>
      <c r="B228" s="185"/>
      <c r="C228" s="185"/>
      <c r="D228" s="185"/>
      <c r="E228" s="185"/>
      <c r="F228" s="185"/>
      <c r="G228" s="185"/>
      <c r="H228" s="185"/>
      <c r="I228" s="185"/>
      <c r="J228" s="185"/>
      <c r="K228" s="185"/>
      <c r="L228" s="185"/>
      <c r="M228" s="185"/>
      <c r="N228" s="185"/>
      <c r="O228" s="185"/>
      <c r="P228" s="185"/>
      <c r="Q228" s="185"/>
      <c r="R228" s="185"/>
      <c r="S228" s="185"/>
      <c r="T228" s="185"/>
      <c r="U228" s="185"/>
      <c r="V228" s="185"/>
      <c r="W228" s="185"/>
      <c r="X228" s="185"/>
      <c r="Y228" s="185"/>
      <c r="Z228" s="185"/>
      <c r="AA228" s="185"/>
      <c r="AB228" s="185"/>
      <c r="AC228" s="185"/>
      <c r="AD228" s="185"/>
      <c r="AE228" s="185"/>
      <c r="AF228" s="185"/>
      <c r="AG228" s="185"/>
      <c r="AH228" s="185"/>
      <c r="AI228" s="185"/>
      <c r="AJ228" s="185"/>
      <c r="AK228" s="185"/>
      <c r="AL228" s="185"/>
      <c r="AM228" s="185"/>
      <c r="AN228" s="185"/>
      <c r="AO228" s="185"/>
      <c r="AP228" s="185"/>
      <c r="AQ228" s="185"/>
      <c r="AR228" s="185"/>
      <c r="AS228" s="185"/>
      <c r="AT228" s="185"/>
      <c r="AU228" s="185"/>
      <c r="AV228" s="185"/>
      <c r="AW228" s="185"/>
      <c r="AX228" s="185"/>
      <c r="AY228" s="185"/>
      <c r="AZ228" s="185"/>
      <c r="BA228" s="185"/>
      <c r="BB228" s="185"/>
      <c r="BC228" s="185"/>
      <c r="BD228" s="185"/>
      <c r="BE228" s="185"/>
      <c r="BF228" s="185"/>
      <c r="BG228" s="185"/>
      <c r="BH228" s="185"/>
      <c r="BI228" s="185"/>
      <c r="BJ228" s="185"/>
      <c r="BK228" s="186"/>
    </row>
    <row r="229" spans="1:63">
      <c r="A229" s="185"/>
      <c r="B229" s="185"/>
      <c r="C229" s="185"/>
      <c r="D229" s="185"/>
      <c r="E229" s="185"/>
      <c r="F229" s="185"/>
      <c r="G229" s="185"/>
      <c r="H229" s="185"/>
      <c r="I229" s="185"/>
      <c r="J229" s="185"/>
      <c r="K229" s="185"/>
      <c r="L229" s="185"/>
      <c r="M229" s="185"/>
      <c r="N229" s="185"/>
      <c r="O229" s="185"/>
      <c r="P229" s="185"/>
      <c r="Q229" s="185"/>
      <c r="R229" s="185"/>
      <c r="S229" s="185"/>
      <c r="T229" s="185"/>
      <c r="U229" s="185"/>
      <c r="V229" s="185"/>
      <c r="W229" s="185"/>
      <c r="X229" s="185"/>
      <c r="Y229" s="185"/>
      <c r="Z229" s="185"/>
      <c r="AA229" s="185"/>
      <c r="AB229" s="185"/>
      <c r="AC229" s="185"/>
      <c r="AD229" s="185"/>
      <c r="AE229" s="185"/>
      <c r="AF229" s="185"/>
      <c r="AG229" s="185"/>
      <c r="AH229" s="185"/>
      <c r="AI229" s="185"/>
      <c r="AJ229" s="185"/>
      <c r="AK229" s="185"/>
      <c r="AL229" s="185"/>
      <c r="AM229" s="185"/>
      <c r="AN229" s="185"/>
      <c r="AO229" s="185"/>
      <c r="AP229" s="185"/>
      <c r="AQ229" s="185"/>
      <c r="AR229" s="185"/>
      <c r="AS229" s="185"/>
      <c r="AT229" s="185"/>
      <c r="AU229" s="185"/>
      <c r="AV229" s="185"/>
      <c r="AW229" s="185"/>
      <c r="AX229" s="185"/>
      <c r="AY229" s="185"/>
      <c r="AZ229" s="185"/>
      <c r="BA229" s="185"/>
      <c r="BB229" s="185"/>
      <c r="BC229" s="185"/>
      <c r="BD229" s="185"/>
      <c r="BE229" s="185"/>
      <c r="BF229" s="185"/>
      <c r="BG229" s="185"/>
      <c r="BH229" s="185"/>
      <c r="BI229" s="185"/>
      <c r="BJ229" s="185"/>
      <c r="BK229" s="186"/>
    </row>
    <row r="230" spans="1:63">
      <c r="A230" s="185"/>
      <c r="B230" s="185"/>
      <c r="C230" s="185"/>
      <c r="D230" s="185"/>
      <c r="E230" s="185"/>
      <c r="F230" s="185"/>
      <c r="G230" s="185"/>
      <c r="H230" s="185"/>
      <c r="I230" s="185"/>
      <c r="J230" s="185"/>
      <c r="K230" s="185"/>
      <c r="L230" s="185"/>
      <c r="M230" s="185"/>
      <c r="N230" s="185"/>
      <c r="O230" s="185"/>
      <c r="P230" s="185"/>
      <c r="Q230" s="185"/>
      <c r="R230" s="185"/>
      <c r="S230" s="185"/>
      <c r="T230" s="185"/>
      <c r="U230" s="185"/>
      <c r="V230" s="185"/>
      <c r="W230" s="185"/>
      <c r="X230" s="185"/>
      <c r="Y230" s="185"/>
      <c r="Z230" s="185"/>
      <c r="AA230" s="185"/>
      <c r="AB230" s="185"/>
      <c r="AC230" s="185"/>
      <c r="AD230" s="185"/>
      <c r="AE230" s="185"/>
      <c r="AF230" s="185"/>
      <c r="AG230" s="185"/>
      <c r="AH230" s="185"/>
      <c r="AI230" s="185"/>
      <c r="AJ230" s="185"/>
      <c r="AK230" s="185"/>
      <c r="AL230" s="185"/>
      <c r="AM230" s="185"/>
      <c r="AN230" s="185"/>
      <c r="AO230" s="185"/>
      <c r="AP230" s="185"/>
      <c r="AQ230" s="185"/>
      <c r="AR230" s="185"/>
      <c r="AS230" s="185"/>
      <c r="AT230" s="185"/>
      <c r="AU230" s="185"/>
      <c r="AV230" s="185"/>
      <c r="AW230" s="185"/>
      <c r="AX230" s="185"/>
      <c r="AY230" s="185"/>
      <c r="AZ230" s="185"/>
      <c r="BA230" s="185"/>
      <c r="BB230" s="185"/>
      <c r="BC230" s="185"/>
      <c r="BD230" s="185"/>
      <c r="BE230" s="185"/>
      <c r="BF230" s="185"/>
      <c r="BG230" s="185"/>
      <c r="BH230" s="185"/>
      <c r="BI230" s="185"/>
      <c r="BJ230" s="185"/>
      <c r="BK230" s="186"/>
    </row>
    <row r="231" spans="1:63">
      <c r="A231" s="185"/>
      <c r="B231" s="185"/>
      <c r="C231" s="185"/>
      <c r="D231" s="185"/>
      <c r="E231" s="185"/>
      <c r="F231" s="185"/>
      <c r="G231" s="185"/>
      <c r="H231" s="185"/>
      <c r="I231" s="185"/>
      <c r="J231" s="185"/>
      <c r="K231" s="185"/>
      <c r="L231" s="185"/>
      <c r="M231" s="185"/>
      <c r="N231" s="185"/>
      <c r="O231" s="185"/>
      <c r="P231" s="185"/>
      <c r="Q231" s="185"/>
      <c r="R231" s="185"/>
      <c r="S231" s="185"/>
      <c r="T231" s="185"/>
      <c r="U231" s="185"/>
      <c r="V231" s="185"/>
      <c r="W231" s="185"/>
      <c r="X231" s="185"/>
      <c r="Y231" s="185"/>
      <c r="Z231" s="185"/>
      <c r="AA231" s="185"/>
      <c r="AB231" s="185"/>
      <c r="AC231" s="185"/>
      <c r="AD231" s="185"/>
      <c r="AE231" s="185"/>
      <c r="AF231" s="185"/>
      <c r="AG231" s="185"/>
      <c r="AH231" s="185"/>
      <c r="AI231" s="185"/>
      <c r="AJ231" s="185"/>
      <c r="AK231" s="185"/>
      <c r="AL231" s="185"/>
      <c r="AM231" s="185"/>
      <c r="AN231" s="185"/>
      <c r="AO231" s="185"/>
      <c r="AP231" s="185"/>
      <c r="AQ231" s="185"/>
      <c r="AR231" s="185"/>
      <c r="AS231" s="185"/>
      <c r="AT231" s="185"/>
      <c r="AU231" s="185"/>
      <c r="AV231" s="185"/>
      <c r="AW231" s="185"/>
      <c r="AX231" s="185"/>
      <c r="AY231" s="185"/>
      <c r="AZ231" s="185"/>
      <c r="BA231" s="185"/>
      <c r="BB231" s="185"/>
      <c r="BC231" s="185"/>
      <c r="BD231" s="185"/>
      <c r="BE231" s="185"/>
      <c r="BF231" s="185"/>
      <c r="BG231" s="185"/>
      <c r="BH231" s="185"/>
      <c r="BI231" s="185"/>
      <c r="BJ231" s="185"/>
      <c r="BK231" s="186"/>
    </row>
    <row r="232" spans="1:63">
      <c r="A232" s="185"/>
      <c r="B232" s="185"/>
      <c r="C232" s="185"/>
      <c r="D232" s="185"/>
      <c r="E232" s="185"/>
      <c r="F232" s="185"/>
      <c r="G232" s="185"/>
      <c r="H232" s="185"/>
      <c r="I232" s="185"/>
      <c r="J232" s="185"/>
      <c r="K232" s="185"/>
      <c r="L232" s="185"/>
      <c r="M232" s="185"/>
      <c r="N232" s="185"/>
      <c r="O232" s="185"/>
      <c r="P232" s="185"/>
      <c r="Q232" s="185"/>
      <c r="R232" s="185"/>
      <c r="S232" s="185"/>
      <c r="T232" s="185"/>
      <c r="U232" s="185"/>
      <c r="V232" s="185"/>
      <c r="W232" s="185"/>
      <c r="X232" s="185"/>
      <c r="Y232" s="185"/>
      <c r="Z232" s="185"/>
      <c r="AA232" s="185"/>
      <c r="AB232" s="185"/>
      <c r="AC232" s="185"/>
      <c r="AD232" s="185"/>
      <c r="AE232" s="185"/>
      <c r="AF232" s="185"/>
      <c r="AG232" s="185"/>
      <c r="AH232" s="185"/>
      <c r="AI232" s="185"/>
      <c r="AJ232" s="185"/>
      <c r="AK232" s="185"/>
      <c r="AL232" s="185"/>
      <c r="AM232" s="185"/>
      <c r="AN232" s="185"/>
      <c r="AO232" s="185"/>
      <c r="AP232" s="185"/>
      <c r="AQ232" s="185"/>
      <c r="AR232" s="185"/>
      <c r="AS232" s="185"/>
      <c r="AT232" s="185"/>
      <c r="AU232" s="185"/>
      <c r="AV232" s="185"/>
      <c r="AW232" s="185"/>
      <c r="AX232" s="185"/>
      <c r="AY232" s="185"/>
      <c r="AZ232" s="185"/>
      <c r="BA232" s="185"/>
      <c r="BB232" s="185"/>
      <c r="BC232" s="185"/>
      <c r="BD232" s="185"/>
      <c r="BE232" s="185"/>
      <c r="BF232" s="185"/>
      <c r="BG232" s="185"/>
      <c r="BH232" s="185"/>
      <c r="BI232" s="185"/>
      <c r="BJ232" s="185"/>
      <c r="BK232" s="186"/>
    </row>
    <row r="233" spans="1:63">
      <c r="A233" s="185"/>
      <c r="B233" s="185"/>
      <c r="C233" s="185"/>
      <c r="D233" s="185"/>
      <c r="E233" s="185"/>
      <c r="F233" s="185"/>
      <c r="G233" s="185"/>
      <c r="H233" s="185"/>
      <c r="I233" s="185"/>
      <c r="J233" s="185"/>
      <c r="K233" s="185"/>
      <c r="L233" s="185"/>
      <c r="M233" s="185"/>
      <c r="N233" s="185"/>
      <c r="O233" s="185"/>
      <c r="P233" s="185"/>
      <c r="Q233" s="185"/>
      <c r="R233" s="185"/>
      <c r="S233" s="185"/>
      <c r="T233" s="185"/>
      <c r="U233" s="185"/>
      <c r="V233" s="185"/>
      <c r="W233" s="185"/>
      <c r="X233" s="185"/>
      <c r="Y233" s="185"/>
      <c r="Z233" s="185"/>
      <c r="AA233" s="185"/>
      <c r="AB233" s="185"/>
      <c r="AC233" s="185"/>
      <c r="AD233" s="185"/>
      <c r="AE233" s="185"/>
      <c r="AF233" s="185"/>
      <c r="AG233" s="185"/>
      <c r="AH233" s="185"/>
      <c r="AI233" s="185"/>
      <c r="AJ233" s="185"/>
      <c r="AK233" s="185"/>
      <c r="AL233" s="185"/>
      <c r="AM233" s="185"/>
      <c r="AN233" s="185"/>
      <c r="AO233" s="185"/>
      <c r="AP233" s="185"/>
      <c r="AQ233" s="185"/>
      <c r="AR233" s="185"/>
      <c r="AS233" s="185"/>
      <c r="AT233" s="185"/>
      <c r="AU233" s="185"/>
      <c r="AV233" s="185"/>
      <c r="AW233" s="185"/>
      <c r="AX233" s="185"/>
      <c r="AY233" s="185"/>
      <c r="AZ233" s="185"/>
      <c r="BA233" s="185"/>
      <c r="BB233" s="185"/>
      <c r="BC233" s="185"/>
      <c r="BD233" s="185"/>
      <c r="BE233" s="185"/>
      <c r="BF233" s="185"/>
      <c r="BG233" s="185"/>
      <c r="BH233" s="185"/>
      <c r="BI233" s="185"/>
      <c r="BJ233" s="185"/>
      <c r="BK233" s="186"/>
    </row>
    <row r="234" spans="1:63">
      <c r="A234" s="185"/>
      <c r="B234" s="185"/>
      <c r="C234" s="185"/>
      <c r="D234" s="185"/>
      <c r="E234" s="185"/>
      <c r="F234" s="185"/>
      <c r="G234" s="185"/>
      <c r="H234" s="185"/>
      <c r="I234" s="185"/>
      <c r="J234" s="185"/>
      <c r="K234" s="185"/>
      <c r="L234" s="185"/>
      <c r="M234" s="185"/>
      <c r="N234" s="185"/>
      <c r="O234" s="185"/>
      <c r="P234" s="185"/>
      <c r="Q234" s="185"/>
      <c r="R234" s="185"/>
      <c r="S234" s="185"/>
      <c r="T234" s="185"/>
      <c r="U234" s="185"/>
      <c r="V234" s="185"/>
      <c r="W234" s="185"/>
      <c r="X234" s="185"/>
      <c r="Y234" s="185"/>
      <c r="Z234" s="185"/>
      <c r="AA234" s="185"/>
      <c r="AB234" s="185"/>
      <c r="AC234" s="185"/>
      <c r="AD234" s="185"/>
      <c r="AE234" s="185"/>
      <c r="AF234" s="185"/>
      <c r="AG234" s="185"/>
      <c r="AH234" s="185"/>
      <c r="AI234" s="185"/>
      <c r="AJ234" s="185"/>
      <c r="AK234" s="185"/>
      <c r="AL234" s="185"/>
      <c r="AM234" s="185"/>
      <c r="AN234" s="185"/>
      <c r="AO234" s="185"/>
      <c r="AP234" s="185"/>
      <c r="AQ234" s="185"/>
      <c r="AR234" s="185"/>
      <c r="AS234" s="185"/>
      <c r="AT234" s="185"/>
      <c r="AU234" s="185"/>
      <c r="AV234" s="185"/>
      <c r="AW234" s="185"/>
      <c r="AX234" s="185"/>
      <c r="AY234" s="185"/>
      <c r="AZ234" s="185"/>
      <c r="BA234" s="185"/>
      <c r="BB234" s="185"/>
      <c r="BC234" s="185"/>
      <c r="BD234" s="185"/>
      <c r="BE234" s="185"/>
      <c r="BF234" s="185"/>
      <c r="BG234" s="185"/>
      <c r="BH234" s="185"/>
      <c r="BI234" s="185"/>
      <c r="BJ234" s="185"/>
      <c r="BK234" s="186"/>
    </row>
    <row r="235" spans="1:63">
      <c r="A235" s="185"/>
      <c r="B235" s="185"/>
      <c r="C235" s="185"/>
      <c r="D235" s="185"/>
      <c r="E235" s="185"/>
      <c r="F235" s="185"/>
      <c r="G235" s="185"/>
      <c r="H235" s="185"/>
      <c r="I235" s="185"/>
      <c r="J235" s="185"/>
      <c r="K235" s="185"/>
      <c r="L235" s="185"/>
      <c r="M235" s="185"/>
      <c r="N235" s="185"/>
      <c r="O235" s="185"/>
      <c r="P235" s="185"/>
      <c r="Q235" s="185"/>
      <c r="R235" s="185"/>
      <c r="S235" s="185"/>
      <c r="T235" s="185"/>
      <c r="U235" s="185"/>
      <c r="V235" s="185"/>
      <c r="W235" s="185"/>
      <c r="X235" s="185"/>
      <c r="Y235" s="185"/>
      <c r="Z235" s="185"/>
      <c r="AA235" s="185"/>
      <c r="AB235" s="185"/>
      <c r="AC235" s="185"/>
      <c r="AD235" s="185"/>
      <c r="AE235" s="185"/>
      <c r="AF235" s="185"/>
      <c r="AG235" s="185"/>
      <c r="AH235" s="185"/>
      <c r="AI235" s="185"/>
      <c r="AJ235" s="185"/>
      <c r="AK235" s="185"/>
      <c r="AL235" s="185"/>
      <c r="AM235" s="185"/>
      <c r="AN235" s="185"/>
      <c r="AO235" s="185"/>
      <c r="AP235" s="185"/>
      <c r="AQ235" s="185"/>
      <c r="AR235" s="185"/>
      <c r="AS235" s="185"/>
      <c r="AT235" s="185"/>
      <c r="AU235" s="185"/>
      <c r="AV235" s="185"/>
      <c r="AW235" s="185"/>
      <c r="AX235" s="185"/>
      <c r="AY235" s="185"/>
      <c r="AZ235" s="185"/>
      <c r="BA235" s="185"/>
      <c r="BB235" s="185"/>
      <c r="BC235" s="185"/>
      <c r="BD235" s="185"/>
      <c r="BE235" s="185"/>
      <c r="BF235" s="185"/>
      <c r="BG235" s="185"/>
      <c r="BH235" s="185"/>
      <c r="BI235" s="185"/>
      <c r="BJ235" s="185"/>
      <c r="BK235" s="186"/>
    </row>
    <row r="236" spans="1:63">
      <c r="A236" s="185"/>
      <c r="B236" s="185"/>
      <c r="C236" s="185"/>
      <c r="D236" s="185"/>
      <c r="E236" s="185"/>
      <c r="F236" s="185"/>
      <c r="G236" s="185"/>
      <c r="H236" s="185"/>
      <c r="I236" s="185"/>
      <c r="J236" s="185"/>
      <c r="K236" s="185"/>
      <c r="L236" s="185"/>
      <c r="M236" s="185"/>
      <c r="N236" s="185"/>
      <c r="O236" s="185"/>
      <c r="P236" s="185"/>
      <c r="Q236" s="185"/>
      <c r="R236" s="185"/>
      <c r="S236" s="185"/>
      <c r="T236" s="185"/>
      <c r="U236" s="185"/>
      <c r="V236" s="185"/>
      <c r="W236" s="185"/>
      <c r="X236" s="185"/>
      <c r="Y236" s="185"/>
      <c r="Z236" s="185"/>
      <c r="AA236" s="185"/>
      <c r="AB236" s="185"/>
      <c r="AC236" s="185"/>
      <c r="AD236" s="185"/>
      <c r="AE236" s="185"/>
      <c r="AF236" s="185"/>
      <c r="AG236" s="185"/>
      <c r="AH236" s="185"/>
      <c r="AI236" s="185"/>
      <c r="AJ236" s="185"/>
      <c r="AK236" s="185"/>
      <c r="AL236" s="185"/>
      <c r="AM236" s="185"/>
      <c r="AN236" s="185"/>
      <c r="AO236" s="185"/>
      <c r="AP236" s="185"/>
      <c r="AQ236" s="185"/>
      <c r="AR236" s="185"/>
      <c r="AS236" s="185"/>
      <c r="AT236" s="185"/>
      <c r="AU236" s="185"/>
      <c r="AV236" s="185"/>
      <c r="AW236" s="185"/>
      <c r="AX236" s="185"/>
      <c r="AY236" s="185"/>
      <c r="AZ236" s="185"/>
      <c r="BA236" s="185"/>
      <c r="BB236" s="185"/>
      <c r="BC236" s="185"/>
      <c r="BD236" s="185"/>
      <c r="BE236" s="185"/>
      <c r="BF236" s="185"/>
      <c r="BG236" s="185"/>
      <c r="BH236" s="185"/>
      <c r="BI236" s="185"/>
      <c r="BJ236" s="185"/>
      <c r="BK236" s="186"/>
    </row>
    <row r="237" spans="1:63">
      <c r="A237" s="185"/>
      <c r="B237" s="185"/>
      <c r="C237" s="185"/>
      <c r="D237" s="185"/>
      <c r="E237" s="185"/>
      <c r="F237" s="185"/>
      <c r="G237" s="185"/>
      <c r="H237" s="185"/>
      <c r="I237" s="185"/>
      <c r="J237" s="185"/>
      <c r="K237" s="185"/>
      <c r="L237" s="185"/>
      <c r="M237" s="185"/>
      <c r="N237" s="185"/>
      <c r="O237" s="185"/>
      <c r="P237" s="185"/>
      <c r="Q237" s="185"/>
      <c r="R237" s="185"/>
      <c r="S237" s="185"/>
      <c r="T237" s="185"/>
      <c r="U237" s="185"/>
      <c r="V237" s="185"/>
      <c r="W237" s="185"/>
      <c r="X237" s="185"/>
      <c r="Y237" s="185"/>
      <c r="Z237" s="185"/>
      <c r="AA237" s="185"/>
      <c r="AB237" s="185"/>
      <c r="AC237" s="185"/>
      <c r="AD237" s="185"/>
      <c r="AE237" s="185"/>
      <c r="AF237" s="185"/>
      <c r="AG237" s="185"/>
      <c r="AH237" s="185"/>
      <c r="AI237" s="185"/>
      <c r="AJ237" s="185"/>
      <c r="AK237" s="185"/>
      <c r="AL237" s="185"/>
      <c r="AM237" s="185"/>
      <c r="AN237" s="185"/>
      <c r="AO237" s="185"/>
      <c r="AP237" s="185"/>
      <c r="AQ237" s="185"/>
      <c r="AR237" s="185"/>
      <c r="AS237" s="185"/>
      <c r="AT237" s="185"/>
      <c r="AU237" s="185"/>
      <c r="AV237" s="185"/>
      <c r="AW237" s="185"/>
      <c r="AX237" s="185"/>
      <c r="AY237" s="185"/>
      <c r="AZ237" s="185"/>
      <c r="BA237" s="185"/>
      <c r="BB237" s="185"/>
      <c r="BC237" s="185"/>
      <c r="BD237" s="185"/>
      <c r="BE237" s="185"/>
      <c r="BF237" s="185"/>
      <c r="BG237" s="185"/>
      <c r="BH237" s="185"/>
      <c r="BI237" s="185"/>
      <c r="BJ237" s="185"/>
      <c r="BK237" s="186"/>
    </row>
    <row r="238" spans="1:63">
      <c r="A238" s="185"/>
      <c r="B238" s="185"/>
      <c r="C238" s="185"/>
      <c r="D238" s="185"/>
      <c r="E238" s="185"/>
      <c r="F238" s="185"/>
      <c r="G238" s="185"/>
      <c r="H238" s="185"/>
      <c r="I238" s="185"/>
      <c r="J238" s="185"/>
      <c r="K238" s="185"/>
      <c r="L238" s="185"/>
      <c r="M238" s="185"/>
      <c r="N238" s="185"/>
      <c r="O238" s="185"/>
      <c r="P238" s="185"/>
      <c r="Q238" s="185"/>
      <c r="R238" s="185"/>
      <c r="S238" s="185"/>
      <c r="T238" s="185"/>
      <c r="U238" s="185"/>
      <c r="V238" s="185"/>
      <c r="W238" s="185"/>
      <c r="X238" s="185"/>
      <c r="Y238" s="185"/>
      <c r="Z238" s="185"/>
      <c r="AA238" s="185"/>
      <c r="AB238" s="185"/>
      <c r="AC238" s="185"/>
      <c r="AD238" s="185"/>
      <c r="AE238" s="185"/>
      <c r="AF238" s="185"/>
      <c r="AG238" s="185"/>
      <c r="AH238" s="185"/>
      <c r="AI238" s="185"/>
      <c r="AJ238" s="185"/>
      <c r="AK238" s="185"/>
      <c r="AL238" s="185"/>
      <c r="AM238" s="185"/>
      <c r="AN238" s="185"/>
      <c r="AO238" s="185"/>
      <c r="AP238" s="185"/>
      <c r="AQ238" s="185"/>
      <c r="AR238" s="185"/>
      <c r="AS238" s="185"/>
      <c r="AT238" s="185"/>
      <c r="AU238" s="185"/>
      <c r="AV238" s="185"/>
      <c r="AW238" s="185"/>
      <c r="AX238" s="185"/>
      <c r="AY238" s="185"/>
      <c r="AZ238" s="185"/>
      <c r="BA238" s="185"/>
      <c r="BB238" s="185"/>
      <c r="BC238" s="185"/>
      <c r="BD238" s="185"/>
      <c r="BE238" s="185"/>
      <c r="BF238" s="185"/>
      <c r="BG238" s="185"/>
      <c r="BH238" s="185"/>
      <c r="BI238" s="185"/>
      <c r="BJ238" s="185"/>
      <c r="BK238" s="186"/>
    </row>
    <row r="239" spans="1:63">
      <c r="A239" s="185"/>
      <c r="B239" s="185"/>
      <c r="C239" s="185"/>
      <c r="D239" s="185"/>
      <c r="E239" s="185"/>
      <c r="F239" s="185"/>
      <c r="G239" s="185"/>
      <c r="H239" s="185"/>
      <c r="I239" s="185"/>
      <c r="J239" s="185"/>
      <c r="K239" s="185"/>
      <c r="L239" s="185"/>
      <c r="M239" s="185"/>
      <c r="N239" s="185"/>
      <c r="O239" s="185"/>
      <c r="P239" s="185"/>
      <c r="Q239" s="185"/>
      <c r="R239" s="185"/>
      <c r="S239" s="185"/>
      <c r="T239" s="185"/>
      <c r="U239" s="185"/>
      <c r="V239" s="185"/>
      <c r="W239" s="185"/>
      <c r="X239" s="185"/>
      <c r="Y239" s="185"/>
      <c r="Z239" s="185"/>
      <c r="AA239" s="185"/>
      <c r="AB239" s="185"/>
      <c r="AC239" s="185"/>
      <c r="AD239" s="185"/>
      <c r="AE239" s="185"/>
      <c r="AF239" s="185"/>
      <c r="AG239" s="185"/>
      <c r="AH239" s="185"/>
      <c r="AI239" s="185"/>
      <c r="AJ239" s="185"/>
      <c r="AK239" s="185"/>
      <c r="AL239" s="185"/>
      <c r="AM239" s="185"/>
      <c r="AN239" s="185"/>
      <c r="AO239" s="185"/>
      <c r="AP239" s="185"/>
      <c r="AQ239" s="185"/>
      <c r="AR239" s="185"/>
      <c r="AS239" s="185"/>
      <c r="AT239" s="185"/>
      <c r="AU239" s="185"/>
      <c r="AV239" s="185"/>
      <c r="AW239" s="185"/>
      <c r="AX239" s="185"/>
      <c r="AY239" s="185"/>
      <c r="AZ239" s="185"/>
      <c r="BA239" s="185"/>
      <c r="BB239" s="185"/>
      <c r="BC239" s="185"/>
      <c r="BD239" s="185"/>
      <c r="BE239" s="185"/>
      <c r="BF239" s="185"/>
      <c r="BG239" s="185"/>
      <c r="BH239" s="185"/>
      <c r="BI239" s="185"/>
      <c r="BJ239" s="185"/>
      <c r="BK239" s="186"/>
    </row>
    <row r="240" spans="1:63">
      <c r="A240" s="185"/>
      <c r="B240" s="185"/>
      <c r="C240" s="185"/>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6"/>
    </row>
    <row r="241" spans="1:63">
      <c r="A241" s="185"/>
      <c r="B241" s="185"/>
      <c r="C241" s="185"/>
      <c r="D241" s="185"/>
      <c r="E241" s="185"/>
      <c r="F241" s="185"/>
      <c r="G241" s="185"/>
      <c r="H241" s="185"/>
      <c r="I241" s="185"/>
      <c r="J241" s="185"/>
      <c r="K241" s="185"/>
      <c r="L241" s="185"/>
      <c r="M241" s="185"/>
      <c r="N241" s="185"/>
      <c r="O241" s="185"/>
      <c r="P241" s="185"/>
      <c r="Q241" s="185"/>
      <c r="R241" s="185"/>
      <c r="S241" s="185"/>
      <c r="T241" s="185"/>
      <c r="U241" s="185"/>
      <c r="V241" s="185"/>
      <c r="W241" s="185"/>
      <c r="X241" s="185"/>
      <c r="Y241" s="185"/>
      <c r="Z241" s="185"/>
      <c r="AA241" s="185"/>
      <c r="AB241" s="185"/>
      <c r="AC241" s="185"/>
      <c r="AD241" s="185"/>
      <c r="AE241" s="185"/>
      <c r="AF241" s="185"/>
      <c r="AG241" s="185"/>
      <c r="AH241" s="185"/>
      <c r="AI241" s="185"/>
      <c r="AJ241" s="185"/>
      <c r="AK241" s="185"/>
      <c r="AL241" s="185"/>
      <c r="AM241" s="185"/>
      <c r="AN241" s="185"/>
      <c r="AO241" s="185"/>
      <c r="AP241" s="185"/>
      <c r="AQ241" s="185"/>
      <c r="AR241" s="185"/>
      <c r="AS241" s="185"/>
      <c r="AT241" s="185"/>
      <c r="AU241" s="185"/>
      <c r="AV241" s="185"/>
      <c r="AW241" s="185"/>
      <c r="AX241" s="185"/>
      <c r="AY241" s="185"/>
      <c r="AZ241" s="185"/>
      <c r="BA241" s="185"/>
      <c r="BB241" s="185"/>
      <c r="BC241" s="185"/>
      <c r="BD241" s="185"/>
      <c r="BE241" s="185"/>
      <c r="BF241" s="185"/>
      <c r="BG241" s="185"/>
      <c r="BH241" s="185"/>
      <c r="BI241" s="185"/>
      <c r="BJ241" s="185"/>
      <c r="BK241" s="186"/>
    </row>
    <row r="242" spans="1:63">
      <c r="A242" s="185"/>
      <c r="B242" s="185"/>
      <c r="C242" s="185"/>
      <c r="D242" s="185"/>
      <c r="E242" s="185"/>
      <c r="F242" s="185"/>
      <c r="G242" s="185"/>
      <c r="H242" s="185"/>
      <c r="I242" s="185"/>
      <c r="J242" s="185"/>
      <c r="K242" s="185"/>
      <c r="L242" s="185"/>
      <c r="M242" s="185"/>
      <c r="N242" s="185"/>
      <c r="O242" s="185"/>
      <c r="P242" s="185"/>
      <c r="Q242" s="185"/>
      <c r="R242" s="185"/>
      <c r="S242" s="185"/>
      <c r="T242" s="185"/>
      <c r="U242" s="185"/>
      <c r="V242" s="185"/>
      <c r="W242" s="185"/>
      <c r="X242" s="185"/>
      <c r="Y242" s="185"/>
      <c r="Z242" s="185"/>
      <c r="AA242" s="185"/>
      <c r="AB242" s="185"/>
      <c r="AC242" s="185"/>
      <c r="AD242" s="185"/>
      <c r="AE242" s="185"/>
      <c r="AF242" s="185"/>
      <c r="AG242" s="185"/>
      <c r="AH242" s="185"/>
      <c r="AI242" s="185"/>
      <c r="AJ242" s="185"/>
      <c r="AK242" s="185"/>
      <c r="AL242" s="185"/>
      <c r="AM242" s="185"/>
      <c r="AN242" s="185"/>
      <c r="AO242" s="185"/>
      <c r="AP242" s="185"/>
      <c r="AQ242" s="185"/>
      <c r="AR242" s="185"/>
      <c r="AS242" s="185"/>
      <c r="AT242" s="185"/>
      <c r="AU242" s="185"/>
      <c r="AV242" s="185"/>
      <c r="AW242" s="185"/>
      <c r="AX242" s="185"/>
      <c r="AY242" s="185"/>
      <c r="AZ242" s="185"/>
      <c r="BA242" s="185"/>
      <c r="BB242" s="185"/>
      <c r="BC242" s="185"/>
      <c r="BD242" s="185"/>
      <c r="BE242" s="185"/>
      <c r="BF242" s="185"/>
      <c r="BG242" s="185"/>
      <c r="BH242" s="185"/>
      <c r="BI242" s="185"/>
      <c r="BJ242" s="185"/>
      <c r="BK242" s="186"/>
    </row>
    <row r="243" spans="1:63">
      <c r="A243" s="185"/>
      <c r="B243" s="185"/>
      <c r="C243" s="185"/>
      <c r="D243" s="185"/>
      <c r="E243" s="185"/>
      <c r="F243" s="185"/>
      <c r="G243" s="185"/>
      <c r="H243" s="185"/>
      <c r="I243" s="185"/>
      <c r="J243" s="185"/>
      <c r="K243" s="185"/>
      <c r="L243" s="185"/>
      <c r="M243" s="185"/>
      <c r="N243" s="185"/>
      <c r="O243" s="185"/>
      <c r="P243" s="185"/>
      <c r="Q243" s="185"/>
      <c r="R243" s="185"/>
      <c r="S243" s="185"/>
      <c r="T243" s="185"/>
      <c r="U243" s="185"/>
      <c r="V243" s="185"/>
      <c r="W243" s="185"/>
      <c r="X243" s="185"/>
      <c r="Y243" s="185"/>
      <c r="Z243" s="185"/>
      <c r="AA243" s="185"/>
      <c r="AB243" s="185"/>
      <c r="AC243" s="185"/>
      <c r="AD243" s="185"/>
      <c r="AE243" s="185"/>
      <c r="AF243" s="185"/>
      <c r="AG243" s="185"/>
      <c r="AH243" s="185"/>
      <c r="AI243" s="185"/>
      <c r="AJ243" s="185"/>
      <c r="AK243" s="185"/>
      <c r="AL243" s="185"/>
      <c r="AM243" s="185"/>
      <c r="AN243" s="185"/>
      <c r="AO243" s="185"/>
      <c r="AP243" s="185"/>
      <c r="AQ243" s="185"/>
      <c r="AR243" s="185"/>
      <c r="AS243" s="185"/>
      <c r="AT243" s="185"/>
      <c r="AU243" s="185"/>
      <c r="AV243" s="185"/>
      <c r="AW243" s="185"/>
      <c r="AX243" s="185"/>
      <c r="AY243" s="185"/>
      <c r="AZ243" s="185"/>
      <c r="BA243" s="185"/>
      <c r="BB243" s="185"/>
      <c r="BC243" s="185"/>
      <c r="BD243" s="185"/>
      <c r="BE243" s="185"/>
      <c r="BF243" s="185"/>
      <c r="BG243" s="185"/>
      <c r="BH243" s="185"/>
      <c r="BI243" s="185"/>
      <c r="BJ243" s="185"/>
      <c r="BK243" s="186"/>
    </row>
    <row r="244" spans="1:63">
      <c r="A244" s="185"/>
      <c r="B244" s="185"/>
      <c r="C244" s="185"/>
      <c r="D244" s="185"/>
      <c r="E244" s="185"/>
      <c r="F244" s="185"/>
      <c r="G244" s="185"/>
      <c r="H244" s="185"/>
      <c r="I244" s="185"/>
      <c r="J244" s="185"/>
      <c r="K244" s="185"/>
      <c r="L244" s="185"/>
      <c r="M244" s="185"/>
      <c r="N244" s="185"/>
      <c r="O244" s="185"/>
      <c r="P244" s="185"/>
      <c r="Q244" s="185"/>
      <c r="R244" s="185"/>
      <c r="S244" s="185"/>
      <c r="T244" s="185"/>
      <c r="U244" s="185"/>
      <c r="V244" s="185"/>
      <c r="W244" s="185"/>
      <c r="X244" s="185"/>
      <c r="Y244" s="185"/>
      <c r="Z244" s="185"/>
      <c r="AA244" s="185"/>
      <c r="AB244" s="185"/>
      <c r="AC244" s="185"/>
      <c r="AD244" s="185"/>
      <c r="AE244" s="185"/>
      <c r="AF244" s="185"/>
      <c r="AG244" s="185"/>
      <c r="AH244" s="185"/>
      <c r="AI244" s="185"/>
      <c r="AJ244" s="185"/>
      <c r="AK244" s="185"/>
      <c r="AL244" s="185"/>
      <c r="AM244" s="185"/>
      <c r="AN244" s="185"/>
      <c r="AO244" s="185"/>
      <c r="AP244" s="185"/>
      <c r="AQ244" s="185"/>
      <c r="AR244" s="185"/>
      <c r="AS244" s="185"/>
      <c r="AT244" s="185"/>
      <c r="AU244" s="185"/>
      <c r="AV244" s="185"/>
      <c r="AW244" s="185"/>
      <c r="AX244" s="185"/>
      <c r="AY244" s="185"/>
      <c r="AZ244" s="185"/>
      <c r="BA244" s="185"/>
      <c r="BB244" s="185"/>
      <c r="BC244" s="185"/>
      <c r="BD244" s="185"/>
      <c r="BE244" s="185"/>
      <c r="BF244" s="185"/>
      <c r="BG244" s="185"/>
      <c r="BH244" s="185"/>
      <c r="BI244" s="185"/>
      <c r="BJ244" s="185"/>
      <c r="BK244" s="186"/>
    </row>
    <row r="245" spans="1:63">
      <c r="A245" s="185"/>
      <c r="B245" s="185"/>
      <c r="C245" s="185"/>
      <c r="D245" s="185"/>
      <c r="E245" s="185"/>
      <c r="F245" s="185"/>
      <c r="G245" s="185"/>
      <c r="H245" s="185"/>
      <c r="I245" s="185"/>
      <c r="J245" s="185"/>
      <c r="K245" s="185"/>
      <c r="L245" s="185"/>
      <c r="M245" s="185"/>
      <c r="N245" s="185"/>
      <c r="O245" s="185"/>
      <c r="P245" s="185"/>
      <c r="Q245" s="185"/>
      <c r="R245" s="185"/>
      <c r="S245" s="185"/>
      <c r="T245" s="185"/>
      <c r="U245" s="185"/>
      <c r="V245" s="185"/>
      <c r="W245" s="185"/>
      <c r="X245" s="185"/>
      <c r="Y245" s="185"/>
      <c r="Z245" s="185"/>
      <c r="AA245" s="185"/>
      <c r="AB245" s="185"/>
      <c r="AC245" s="185"/>
      <c r="AD245" s="185"/>
      <c r="AE245" s="185"/>
      <c r="AF245" s="185"/>
      <c r="AG245" s="185"/>
      <c r="AH245" s="185"/>
      <c r="AI245" s="185"/>
      <c r="AJ245" s="185"/>
      <c r="AK245" s="185"/>
      <c r="AL245" s="185"/>
      <c r="AM245" s="185"/>
      <c r="AN245" s="185"/>
      <c r="AO245" s="185"/>
      <c r="AP245" s="185"/>
      <c r="AQ245" s="185"/>
      <c r="AR245" s="185"/>
      <c r="AS245" s="185"/>
      <c r="AT245" s="185"/>
      <c r="AU245" s="185"/>
      <c r="AV245" s="185"/>
      <c r="AW245" s="185"/>
      <c r="AX245" s="185"/>
      <c r="AY245" s="185"/>
      <c r="AZ245" s="185"/>
      <c r="BA245" s="185"/>
      <c r="BB245" s="185"/>
      <c r="BC245" s="185"/>
      <c r="BD245" s="185"/>
      <c r="BE245" s="185"/>
      <c r="BF245" s="185"/>
      <c r="BG245" s="185"/>
      <c r="BH245" s="185"/>
      <c r="BI245" s="185"/>
      <c r="BJ245" s="185"/>
      <c r="BK245" s="186"/>
    </row>
    <row r="246" spans="1:63">
      <c r="A246" s="185"/>
      <c r="B246" s="185"/>
      <c r="C246" s="185"/>
      <c r="D246" s="185"/>
      <c r="E246" s="185"/>
      <c r="F246" s="185"/>
      <c r="G246" s="185"/>
      <c r="H246" s="185"/>
      <c r="I246" s="185"/>
      <c r="J246" s="185"/>
      <c r="K246" s="185"/>
      <c r="L246" s="185"/>
      <c r="M246" s="185"/>
      <c r="N246" s="185"/>
      <c r="O246" s="185"/>
      <c r="P246" s="185"/>
      <c r="Q246" s="185"/>
      <c r="R246" s="185"/>
      <c r="S246" s="185"/>
      <c r="T246" s="185"/>
      <c r="U246" s="185"/>
      <c r="V246" s="185"/>
      <c r="W246" s="185"/>
      <c r="X246" s="185"/>
      <c r="Y246" s="185"/>
      <c r="Z246" s="185"/>
      <c r="AA246" s="185"/>
      <c r="AB246" s="185"/>
      <c r="AC246" s="185"/>
      <c r="AD246" s="185"/>
      <c r="AE246" s="185"/>
      <c r="AF246" s="185"/>
      <c r="AG246" s="185"/>
      <c r="AH246" s="185"/>
      <c r="AI246" s="185"/>
      <c r="AJ246" s="185"/>
      <c r="AK246" s="185"/>
      <c r="AL246" s="185"/>
      <c r="AM246" s="185"/>
      <c r="AN246" s="185"/>
      <c r="AO246" s="185"/>
      <c r="AP246" s="185"/>
      <c r="AQ246" s="185"/>
      <c r="AR246" s="185"/>
      <c r="AS246" s="185"/>
      <c r="AT246" s="185"/>
      <c r="AU246" s="185"/>
      <c r="AV246" s="185"/>
      <c r="AW246" s="185"/>
      <c r="AX246" s="185"/>
      <c r="AY246" s="185"/>
      <c r="AZ246" s="185"/>
      <c r="BA246" s="185"/>
      <c r="BB246" s="185"/>
      <c r="BC246" s="185"/>
      <c r="BD246" s="185"/>
      <c r="BE246" s="185"/>
      <c r="BF246" s="185"/>
      <c r="BG246" s="185"/>
      <c r="BH246" s="185"/>
      <c r="BI246" s="185"/>
      <c r="BJ246" s="185"/>
      <c r="BK246" s="186"/>
    </row>
    <row r="247" spans="1:63">
      <c r="A247" s="185"/>
      <c r="B247" s="185"/>
      <c r="C247" s="185"/>
      <c r="D247" s="185"/>
      <c r="E247" s="185"/>
      <c r="F247" s="185"/>
      <c r="G247" s="185"/>
      <c r="H247" s="185"/>
      <c r="I247" s="185"/>
      <c r="J247" s="185"/>
      <c r="K247" s="185"/>
      <c r="L247" s="185"/>
      <c r="M247" s="185"/>
      <c r="N247" s="185"/>
      <c r="O247" s="185"/>
      <c r="P247" s="185"/>
      <c r="Q247" s="185"/>
      <c r="R247" s="185"/>
      <c r="S247" s="185"/>
      <c r="T247" s="185"/>
      <c r="U247" s="185"/>
      <c r="V247" s="185"/>
      <c r="W247" s="185"/>
      <c r="X247" s="185"/>
      <c r="Y247" s="185"/>
      <c r="Z247" s="185"/>
      <c r="AA247" s="185"/>
      <c r="AB247" s="185"/>
      <c r="AC247" s="185"/>
      <c r="AD247" s="185"/>
      <c r="AE247" s="185"/>
      <c r="AF247" s="185"/>
      <c r="AG247" s="185"/>
      <c r="AH247" s="185"/>
      <c r="AI247" s="185"/>
      <c r="AJ247" s="185"/>
      <c r="AK247" s="185"/>
      <c r="AL247" s="185"/>
      <c r="AM247" s="185"/>
      <c r="AN247" s="185"/>
      <c r="AO247" s="185"/>
      <c r="AP247" s="185"/>
      <c r="AQ247" s="185"/>
      <c r="AR247" s="185"/>
      <c r="AS247" s="185"/>
      <c r="AT247" s="185"/>
      <c r="AU247" s="185"/>
      <c r="AV247" s="185"/>
      <c r="AW247" s="185"/>
      <c r="AX247" s="185"/>
      <c r="AY247" s="185"/>
      <c r="AZ247" s="185"/>
      <c r="BA247" s="185"/>
      <c r="BB247" s="185"/>
      <c r="BC247" s="185"/>
      <c r="BD247" s="185"/>
      <c r="BE247" s="185"/>
      <c r="BF247" s="185"/>
      <c r="BG247" s="185"/>
      <c r="BH247" s="185"/>
      <c r="BI247" s="185"/>
      <c r="BJ247" s="185"/>
      <c r="BK247" s="186"/>
    </row>
    <row r="248" spans="1:63">
      <c r="A248" s="185"/>
      <c r="B248" s="185"/>
      <c r="C248" s="185"/>
      <c r="D248" s="185"/>
      <c r="E248" s="185"/>
      <c r="F248" s="185"/>
      <c r="G248" s="185"/>
      <c r="H248" s="185"/>
      <c r="I248" s="185"/>
      <c r="J248" s="185"/>
      <c r="K248" s="185"/>
      <c r="L248" s="185"/>
      <c r="M248" s="185"/>
      <c r="N248" s="185"/>
      <c r="O248" s="185"/>
      <c r="P248" s="185"/>
      <c r="Q248" s="185"/>
      <c r="R248" s="185"/>
      <c r="S248" s="185"/>
      <c r="T248" s="185"/>
      <c r="U248" s="185"/>
      <c r="V248" s="185"/>
      <c r="W248" s="185"/>
      <c r="X248" s="185"/>
      <c r="Y248" s="185"/>
      <c r="Z248" s="185"/>
      <c r="AA248" s="185"/>
      <c r="AB248" s="185"/>
      <c r="AC248" s="185"/>
      <c r="AD248" s="185"/>
      <c r="AE248" s="185"/>
      <c r="AF248" s="185"/>
      <c r="AG248" s="185"/>
      <c r="AH248" s="185"/>
      <c r="AI248" s="185"/>
      <c r="AJ248" s="185"/>
      <c r="AK248" s="185"/>
      <c r="AL248" s="185"/>
      <c r="AM248" s="185"/>
      <c r="AN248" s="185"/>
      <c r="AO248" s="185"/>
      <c r="AP248" s="185"/>
      <c r="AQ248" s="185"/>
      <c r="AR248" s="185"/>
      <c r="AS248" s="185"/>
      <c r="AT248" s="185"/>
      <c r="AU248" s="185"/>
      <c r="AV248" s="185"/>
      <c r="AW248" s="185"/>
      <c r="AX248" s="185"/>
      <c r="AY248" s="185"/>
      <c r="AZ248" s="185"/>
      <c r="BA248" s="185"/>
      <c r="BB248" s="185"/>
      <c r="BC248" s="185"/>
      <c r="BD248" s="185"/>
      <c r="BE248" s="185"/>
      <c r="BF248" s="185"/>
      <c r="BG248" s="185"/>
      <c r="BH248" s="185"/>
      <c r="BI248" s="185"/>
      <c r="BJ248" s="185"/>
      <c r="BK248" s="186"/>
    </row>
    <row r="249" spans="1:63">
      <c r="A249" s="185"/>
      <c r="B249" s="185"/>
      <c r="C249" s="185"/>
      <c r="D249" s="185"/>
      <c r="E249" s="185"/>
      <c r="F249" s="185"/>
      <c r="G249" s="185"/>
      <c r="H249" s="185"/>
      <c r="I249" s="185"/>
      <c r="J249" s="185"/>
      <c r="K249" s="185"/>
      <c r="L249" s="185"/>
      <c r="M249" s="185"/>
      <c r="N249" s="185"/>
      <c r="O249" s="185"/>
      <c r="P249" s="185"/>
      <c r="Q249" s="185"/>
      <c r="R249" s="185"/>
      <c r="S249" s="185"/>
      <c r="T249" s="185"/>
      <c r="U249" s="185"/>
      <c r="V249" s="185"/>
      <c r="W249" s="185"/>
      <c r="X249" s="185"/>
      <c r="Y249" s="185"/>
      <c r="Z249" s="185"/>
      <c r="AA249" s="185"/>
      <c r="AB249" s="185"/>
      <c r="AC249" s="185"/>
      <c r="AD249" s="185"/>
      <c r="AE249" s="185"/>
      <c r="AF249" s="185"/>
      <c r="AG249" s="185"/>
      <c r="AH249" s="185"/>
      <c r="AI249" s="185"/>
      <c r="AJ249" s="185"/>
      <c r="AK249" s="185"/>
      <c r="AL249" s="185"/>
      <c r="AM249" s="185"/>
      <c r="AN249" s="185"/>
      <c r="AO249" s="185"/>
      <c r="AP249" s="185"/>
      <c r="AQ249" s="185"/>
      <c r="AR249" s="185"/>
      <c r="AS249" s="185"/>
      <c r="AT249" s="185"/>
      <c r="AU249" s="185"/>
      <c r="AV249" s="185"/>
      <c r="AW249" s="185"/>
      <c r="AX249" s="185"/>
      <c r="AY249" s="185"/>
      <c r="AZ249" s="185"/>
      <c r="BA249" s="185"/>
      <c r="BB249" s="185"/>
      <c r="BC249" s="185"/>
      <c r="BD249" s="185"/>
      <c r="BE249" s="185"/>
      <c r="BF249" s="185"/>
      <c r="BG249" s="185"/>
      <c r="BH249" s="185"/>
      <c r="BI249" s="185"/>
      <c r="BJ249" s="185"/>
      <c r="BK249" s="186"/>
    </row>
    <row r="250" spans="1:63">
      <c r="A250" s="185"/>
      <c r="B250" s="185"/>
      <c r="C250" s="185"/>
      <c r="D250" s="185"/>
      <c r="E250" s="185"/>
      <c r="F250" s="185"/>
      <c r="G250" s="185"/>
      <c r="H250" s="185"/>
      <c r="I250" s="185"/>
      <c r="J250" s="185"/>
      <c r="K250" s="185"/>
      <c r="L250" s="185"/>
      <c r="M250" s="185"/>
      <c r="N250" s="185"/>
      <c r="O250" s="185"/>
      <c r="P250" s="185"/>
      <c r="Q250" s="185"/>
      <c r="R250" s="185"/>
      <c r="S250" s="185"/>
      <c r="T250" s="185"/>
      <c r="U250" s="185"/>
      <c r="V250" s="185"/>
      <c r="W250" s="185"/>
      <c r="X250" s="185"/>
      <c r="Y250" s="185"/>
      <c r="Z250" s="185"/>
      <c r="AA250" s="185"/>
      <c r="AB250" s="185"/>
      <c r="AC250" s="185"/>
      <c r="AD250" s="185"/>
      <c r="AE250" s="185"/>
      <c r="AF250" s="185"/>
      <c r="AG250" s="185"/>
      <c r="AH250" s="185"/>
      <c r="AI250" s="185"/>
      <c r="AJ250" s="185"/>
      <c r="AK250" s="185"/>
      <c r="AL250" s="185"/>
      <c r="AM250" s="185"/>
      <c r="AN250" s="185"/>
      <c r="AO250" s="185"/>
      <c r="AP250" s="185"/>
      <c r="AQ250" s="185"/>
      <c r="AR250" s="185"/>
      <c r="AS250" s="185"/>
      <c r="AT250" s="185"/>
      <c r="AU250" s="185"/>
      <c r="AV250" s="185"/>
      <c r="AW250" s="185"/>
      <c r="AX250" s="185"/>
      <c r="AY250" s="185"/>
      <c r="AZ250" s="185"/>
      <c r="BA250" s="185"/>
      <c r="BB250" s="185"/>
      <c r="BC250" s="185"/>
      <c r="BD250" s="185"/>
      <c r="BE250" s="185"/>
      <c r="BF250" s="185"/>
      <c r="BG250" s="185"/>
      <c r="BH250" s="185"/>
      <c r="BI250" s="185"/>
      <c r="BJ250" s="185"/>
      <c r="BK250" s="186"/>
    </row>
    <row r="251" spans="1:63">
      <c r="A251" s="185"/>
      <c r="B251" s="185"/>
      <c r="C251" s="185"/>
      <c r="D251" s="185"/>
      <c r="E251" s="185"/>
      <c r="F251" s="185"/>
      <c r="G251" s="185"/>
      <c r="H251" s="185"/>
      <c r="I251" s="185"/>
      <c r="J251" s="185"/>
      <c r="K251" s="185"/>
      <c r="L251" s="185"/>
      <c r="M251" s="185"/>
      <c r="N251" s="185"/>
      <c r="O251" s="185"/>
      <c r="P251" s="185"/>
      <c r="Q251" s="185"/>
      <c r="R251" s="185"/>
      <c r="S251" s="185"/>
      <c r="T251" s="185"/>
      <c r="U251" s="185"/>
      <c r="V251" s="185"/>
      <c r="W251" s="185"/>
      <c r="X251" s="185"/>
      <c r="Y251" s="185"/>
      <c r="Z251" s="185"/>
      <c r="AA251" s="185"/>
      <c r="AB251" s="185"/>
      <c r="AC251" s="185"/>
      <c r="AD251" s="185"/>
      <c r="AE251" s="185"/>
      <c r="AF251" s="185"/>
      <c r="AG251" s="185"/>
      <c r="AH251" s="185"/>
      <c r="AI251" s="185"/>
      <c r="AJ251" s="185"/>
      <c r="AK251" s="185"/>
      <c r="AL251" s="185"/>
      <c r="AM251" s="185"/>
      <c r="AN251" s="185"/>
      <c r="AO251" s="185"/>
      <c r="AP251" s="185"/>
      <c r="AQ251" s="185"/>
      <c r="AR251" s="185"/>
      <c r="AS251" s="185"/>
      <c r="AT251" s="185"/>
      <c r="AU251" s="185"/>
      <c r="AV251" s="185"/>
      <c r="AW251" s="185"/>
      <c r="AX251" s="185"/>
      <c r="AY251" s="185"/>
      <c r="AZ251" s="185"/>
      <c r="BA251" s="185"/>
      <c r="BB251" s="185"/>
      <c r="BC251" s="185"/>
      <c r="BD251" s="185"/>
      <c r="BE251" s="185"/>
      <c r="BF251" s="185"/>
      <c r="BG251" s="185"/>
      <c r="BH251" s="185"/>
      <c r="BI251" s="185"/>
      <c r="BJ251" s="185"/>
      <c r="BK251" s="186"/>
    </row>
    <row r="252" spans="1:63">
      <c r="A252" s="185"/>
      <c r="B252" s="185"/>
      <c r="C252" s="185"/>
      <c r="D252" s="185"/>
      <c r="E252" s="185"/>
      <c r="F252" s="185"/>
      <c r="G252" s="185"/>
      <c r="H252" s="185"/>
      <c r="I252" s="185"/>
      <c r="J252" s="185"/>
      <c r="K252" s="185"/>
      <c r="L252" s="185"/>
      <c r="M252" s="185"/>
      <c r="N252" s="185"/>
      <c r="O252" s="185"/>
      <c r="P252" s="185"/>
      <c r="Q252" s="185"/>
      <c r="R252" s="185"/>
      <c r="S252" s="185"/>
      <c r="T252" s="185"/>
      <c r="U252" s="185"/>
      <c r="V252" s="185"/>
      <c r="W252" s="185"/>
      <c r="X252" s="185"/>
      <c r="Y252" s="185"/>
      <c r="Z252" s="185"/>
      <c r="AA252" s="185"/>
      <c r="AB252" s="185"/>
      <c r="AC252" s="185"/>
      <c r="AD252" s="185"/>
      <c r="AE252" s="185"/>
      <c r="AF252" s="185"/>
      <c r="AG252" s="185"/>
      <c r="AH252" s="185"/>
      <c r="AI252" s="185"/>
      <c r="AJ252" s="185"/>
      <c r="AK252" s="185"/>
      <c r="AL252" s="185"/>
      <c r="AM252" s="185"/>
      <c r="AN252" s="185"/>
      <c r="AO252" s="185"/>
      <c r="AP252" s="185"/>
      <c r="AQ252" s="185"/>
      <c r="AR252" s="185"/>
      <c r="AS252" s="185"/>
      <c r="AT252" s="185"/>
      <c r="AU252" s="185"/>
      <c r="AV252" s="185"/>
      <c r="AW252" s="185"/>
      <c r="AX252" s="185"/>
      <c r="AY252" s="185"/>
      <c r="AZ252" s="185"/>
      <c r="BA252" s="185"/>
      <c r="BB252" s="185"/>
      <c r="BC252" s="185"/>
      <c r="BD252" s="185"/>
      <c r="BE252" s="185"/>
      <c r="BF252" s="185"/>
      <c r="BG252" s="185"/>
      <c r="BH252" s="185"/>
      <c r="BI252" s="185"/>
      <c r="BJ252" s="185"/>
      <c r="BK252" s="186"/>
    </row>
    <row r="253" spans="1:63">
      <c r="A253" s="185"/>
      <c r="B253" s="185"/>
      <c r="C253" s="185"/>
      <c r="D253" s="185"/>
      <c r="E253" s="185"/>
      <c r="F253" s="185"/>
      <c r="G253" s="185"/>
      <c r="H253" s="185"/>
      <c r="I253" s="185"/>
      <c r="J253" s="185"/>
      <c r="K253" s="185"/>
      <c r="L253" s="185"/>
      <c r="M253" s="185"/>
      <c r="N253" s="185"/>
      <c r="O253" s="185"/>
      <c r="P253" s="185"/>
      <c r="Q253" s="185"/>
      <c r="R253" s="185"/>
      <c r="S253" s="185"/>
      <c r="T253" s="185"/>
      <c r="U253" s="185"/>
      <c r="V253" s="185"/>
      <c r="W253" s="185"/>
      <c r="X253" s="185"/>
      <c r="Y253" s="185"/>
      <c r="Z253" s="185"/>
      <c r="AA253" s="185"/>
      <c r="AB253" s="185"/>
      <c r="AC253" s="185"/>
      <c r="AD253" s="185"/>
      <c r="AE253" s="185"/>
      <c r="AF253" s="185"/>
      <c r="AG253" s="185"/>
      <c r="AH253" s="185"/>
      <c r="AI253" s="185"/>
      <c r="AJ253" s="185"/>
      <c r="AK253" s="185"/>
      <c r="AL253" s="185"/>
      <c r="AM253" s="185"/>
      <c r="AN253" s="185"/>
      <c r="AO253" s="185"/>
      <c r="AP253" s="185"/>
      <c r="AQ253" s="185"/>
      <c r="AR253" s="185"/>
      <c r="AS253" s="185"/>
      <c r="AT253" s="185"/>
      <c r="AU253" s="185"/>
      <c r="AV253" s="185"/>
      <c r="AW253" s="185"/>
      <c r="AX253" s="185"/>
      <c r="AY253" s="185"/>
      <c r="AZ253" s="185"/>
      <c r="BA253" s="185"/>
      <c r="BB253" s="185"/>
      <c r="BC253" s="185"/>
      <c r="BD253" s="185"/>
      <c r="BE253" s="185"/>
      <c r="BF253" s="185"/>
      <c r="BG253" s="185"/>
      <c r="BH253" s="185"/>
      <c r="BI253" s="185"/>
      <c r="BJ253" s="185"/>
      <c r="BK253" s="186"/>
    </row>
    <row r="254" spans="1:63">
      <c r="A254" s="185"/>
      <c r="B254" s="185"/>
      <c r="C254" s="185"/>
      <c r="D254" s="185"/>
      <c r="E254" s="185"/>
      <c r="F254" s="185"/>
      <c r="G254" s="185"/>
      <c r="H254" s="185"/>
      <c r="I254" s="185"/>
      <c r="J254" s="185"/>
      <c r="K254" s="185"/>
      <c r="L254" s="185"/>
      <c r="M254" s="185"/>
      <c r="N254" s="185"/>
      <c r="O254" s="185"/>
      <c r="P254" s="185"/>
      <c r="Q254" s="185"/>
      <c r="R254" s="185"/>
      <c r="S254" s="185"/>
      <c r="T254" s="185"/>
      <c r="U254" s="185"/>
      <c r="V254" s="185"/>
      <c r="W254" s="185"/>
      <c r="X254" s="185"/>
      <c r="Y254" s="185"/>
      <c r="Z254" s="185"/>
      <c r="AA254" s="185"/>
      <c r="AB254" s="185"/>
      <c r="AC254" s="185"/>
      <c r="AD254" s="185"/>
      <c r="AE254" s="185"/>
      <c r="AF254" s="185"/>
      <c r="AG254" s="185"/>
      <c r="AH254" s="185"/>
      <c r="AI254" s="185"/>
      <c r="AJ254" s="185"/>
      <c r="AK254" s="185"/>
      <c r="AL254" s="185"/>
      <c r="AM254" s="185"/>
      <c r="AN254" s="185"/>
      <c r="AO254" s="185"/>
      <c r="AP254" s="185"/>
      <c r="AQ254" s="185"/>
      <c r="AR254" s="185"/>
      <c r="AS254" s="185"/>
      <c r="AT254" s="185"/>
      <c r="AU254" s="185"/>
      <c r="AV254" s="185"/>
      <c r="AW254" s="185"/>
      <c r="AX254" s="185"/>
      <c r="AY254" s="185"/>
      <c r="AZ254" s="185"/>
      <c r="BA254" s="185"/>
      <c r="BB254" s="185"/>
      <c r="BC254" s="185"/>
      <c r="BD254" s="185"/>
      <c r="BE254" s="185"/>
      <c r="BF254" s="185"/>
      <c r="BG254" s="185"/>
      <c r="BH254" s="185"/>
      <c r="BI254" s="185"/>
      <c r="BJ254" s="185"/>
      <c r="BK254" s="186"/>
    </row>
    <row r="255" spans="1:63">
      <c r="A255" s="185"/>
      <c r="B255" s="185"/>
      <c r="C255" s="185"/>
      <c r="D255" s="185"/>
      <c r="E255" s="185"/>
      <c r="F255" s="185"/>
      <c r="G255" s="185"/>
      <c r="H255" s="185"/>
      <c r="I255" s="185"/>
      <c r="J255" s="185"/>
      <c r="K255" s="185"/>
      <c r="L255" s="185"/>
      <c r="M255" s="185"/>
      <c r="N255" s="185"/>
      <c r="O255" s="185"/>
      <c r="P255" s="185"/>
      <c r="Q255" s="185"/>
      <c r="R255" s="185"/>
      <c r="S255" s="185"/>
      <c r="T255" s="185"/>
      <c r="U255" s="185"/>
      <c r="V255" s="185"/>
      <c r="W255" s="185"/>
      <c r="X255" s="185"/>
      <c r="Y255" s="185"/>
      <c r="Z255" s="185"/>
      <c r="AA255" s="185"/>
      <c r="AB255" s="185"/>
      <c r="AC255" s="185"/>
      <c r="AD255" s="185"/>
      <c r="AE255" s="185"/>
      <c r="AF255" s="185"/>
      <c r="AG255" s="185"/>
      <c r="AH255" s="185"/>
      <c r="AI255" s="185"/>
      <c r="AJ255" s="185"/>
      <c r="AK255" s="185"/>
      <c r="AL255" s="185"/>
      <c r="AM255" s="185"/>
      <c r="AN255" s="185"/>
      <c r="AO255" s="185"/>
      <c r="AP255" s="185"/>
      <c r="AQ255" s="185"/>
      <c r="AR255" s="185"/>
      <c r="AS255" s="185"/>
      <c r="AT255" s="185"/>
      <c r="AU255" s="185"/>
      <c r="AV255" s="185"/>
      <c r="AW255" s="185"/>
      <c r="AX255" s="185"/>
      <c r="AY255" s="185"/>
      <c r="AZ255" s="185"/>
      <c r="BA255" s="185"/>
      <c r="BB255" s="185"/>
      <c r="BC255" s="185"/>
      <c r="BD255" s="185"/>
      <c r="BE255" s="185"/>
      <c r="BF255" s="185"/>
      <c r="BG255" s="185"/>
      <c r="BH255" s="185"/>
      <c r="BI255" s="185"/>
      <c r="BJ255" s="185"/>
      <c r="BK255" s="186"/>
    </row>
    <row r="256" spans="1:63">
      <c r="A256" s="185"/>
      <c r="B256" s="185"/>
      <c r="C256" s="185"/>
      <c r="D256" s="185"/>
      <c r="E256" s="185"/>
      <c r="F256" s="185"/>
      <c r="G256" s="185"/>
      <c r="H256" s="185"/>
      <c r="I256" s="185"/>
      <c r="J256" s="185"/>
      <c r="K256" s="185"/>
      <c r="L256" s="185"/>
      <c r="M256" s="185"/>
      <c r="N256" s="185"/>
      <c r="O256" s="185"/>
      <c r="P256" s="185"/>
      <c r="Q256" s="185"/>
      <c r="R256" s="185"/>
      <c r="S256" s="185"/>
      <c r="T256" s="185"/>
      <c r="U256" s="185"/>
      <c r="V256" s="185"/>
      <c r="W256" s="185"/>
      <c r="X256" s="185"/>
      <c r="Y256" s="185"/>
      <c r="Z256" s="185"/>
      <c r="AA256" s="185"/>
      <c r="AB256" s="185"/>
      <c r="AC256" s="185"/>
      <c r="AD256" s="185"/>
      <c r="AE256" s="185"/>
      <c r="AF256" s="185"/>
      <c r="AG256" s="185"/>
      <c r="AH256" s="185"/>
      <c r="AI256" s="185"/>
      <c r="AJ256" s="185"/>
      <c r="AK256" s="185"/>
      <c r="AL256" s="185"/>
      <c r="AM256" s="185"/>
      <c r="AN256" s="185"/>
      <c r="AO256" s="185"/>
      <c r="AP256" s="185"/>
      <c r="AQ256" s="185"/>
      <c r="AR256" s="185"/>
      <c r="AS256" s="185"/>
      <c r="AT256" s="185"/>
      <c r="AU256" s="185"/>
      <c r="AV256" s="185"/>
      <c r="AW256" s="185"/>
      <c r="AX256" s="185"/>
      <c r="AY256" s="185"/>
      <c r="AZ256" s="185"/>
      <c r="BA256" s="185"/>
      <c r="BB256" s="185"/>
      <c r="BC256" s="185"/>
      <c r="BD256" s="185"/>
      <c r="BE256" s="185"/>
      <c r="BF256" s="185"/>
      <c r="BG256" s="185"/>
      <c r="BH256" s="185"/>
      <c r="BI256" s="185"/>
      <c r="BJ256" s="185"/>
      <c r="BK256" s="186"/>
    </row>
    <row r="257" spans="1:63">
      <c r="A257" s="185"/>
      <c r="B257" s="185"/>
      <c r="C257" s="185"/>
      <c r="D257" s="185"/>
      <c r="E257" s="185"/>
      <c r="F257" s="185"/>
      <c r="G257" s="185"/>
      <c r="H257" s="185"/>
      <c r="I257" s="185"/>
      <c r="J257" s="185"/>
      <c r="K257" s="185"/>
      <c r="L257" s="185"/>
      <c r="M257" s="185"/>
      <c r="N257" s="185"/>
      <c r="O257" s="185"/>
      <c r="P257" s="185"/>
      <c r="Q257" s="185"/>
      <c r="R257" s="185"/>
      <c r="S257" s="185"/>
      <c r="T257" s="185"/>
      <c r="U257" s="185"/>
      <c r="V257" s="185"/>
      <c r="W257" s="185"/>
      <c r="X257" s="185"/>
      <c r="Y257" s="185"/>
      <c r="Z257" s="185"/>
      <c r="AA257" s="185"/>
      <c r="AB257" s="185"/>
      <c r="AC257" s="185"/>
      <c r="AD257" s="185"/>
      <c r="AE257" s="185"/>
      <c r="AF257" s="185"/>
      <c r="AG257" s="185"/>
      <c r="AH257" s="185"/>
      <c r="AI257" s="185"/>
      <c r="AJ257" s="185"/>
      <c r="AK257" s="185"/>
      <c r="AL257" s="185"/>
      <c r="AM257" s="185"/>
      <c r="AN257" s="185"/>
      <c r="AO257" s="185"/>
      <c r="AP257" s="185"/>
      <c r="AQ257" s="185"/>
      <c r="AR257" s="185"/>
      <c r="AS257" s="185"/>
      <c r="AT257" s="185"/>
      <c r="AU257" s="185"/>
      <c r="AV257" s="185"/>
      <c r="AW257" s="185"/>
      <c r="AX257" s="185"/>
      <c r="AY257" s="185"/>
      <c r="AZ257" s="185"/>
      <c r="BA257" s="185"/>
      <c r="BB257" s="185"/>
      <c r="BC257" s="185"/>
      <c r="BD257" s="185"/>
      <c r="BE257" s="185"/>
      <c r="BF257" s="185"/>
      <c r="BG257" s="185"/>
      <c r="BH257" s="185"/>
      <c r="BI257" s="185"/>
      <c r="BJ257" s="185"/>
      <c r="BK257" s="186"/>
    </row>
    <row r="258" spans="1:63">
      <c r="A258" s="185"/>
      <c r="B258" s="185"/>
      <c r="C258" s="185"/>
      <c r="D258" s="185"/>
      <c r="E258" s="185"/>
      <c r="F258" s="185"/>
      <c r="G258" s="185"/>
      <c r="H258" s="185"/>
      <c r="I258" s="185"/>
      <c r="J258" s="185"/>
      <c r="K258" s="185"/>
      <c r="L258" s="185"/>
      <c r="M258" s="185"/>
      <c r="N258" s="185"/>
      <c r="O258" s="185"/>
      <c r="P258" s="185"/>
      <c r="Q258" s="185"/>
      <c r="R258" s="185"/>
      <c r="S258" s="185"/>
      <c r="T258" s="185"/>
      <c r="U258" s="185"/>
      <c r="V258" s="185"/>
      <c r="W258" s="185"/>
      <c r="X258" s="185"/>
      <c r="Y258" s="185"/>
      <c r="Z258" s="185"/>
      <c r="AA258" s="185"/>
      <c r="AB258" s="185"/>
      <c r="AC258" s="185"/>
      <c r="AD258" s="185"/>
      <c r="AE258" s="185"/>
      <c r="AF258" s="185"/>
      <c r="AG258" s="185"/>
      <c r="AH258" s="185"/>
      <c r="AI258" s="185"/>
      <c r="AJ258" s="185"/>
      <c r="AK258" s="185"/>
      <c r="AL258" s="185"/>
      <c r="AM258" s="185"/>
      <c r="AN258" s="185"/>
      <c r="AO258" s="185"/>
      <c r="AP258" s="185"/>
      <c r="AQ258" s="185"/>
      <c r="AR258" s="185"/>
      <c r="AS258" s="185"/>
      <c r="AT258" s="185"/>
      <c r="AU258" s="185"/>
      <c r="AV258" s="185"/>
      <c r="AW258" s="185"/>
      <c r="AX258" s="185"/>
      <c r="AY258" s="185"/>
      <c r="AZ258" s="185"/>
      <c r="BA258" s="185"/>
      <c r="BB258" s="185"/>
      <c r="BC258" s="185"/>
      <c r="BD258" s="185"/>
      <c r="BE258" s="185"/>
      <c r="BF258" s="185"/>
      <c r="BG258" s="185"/>
      <c r="BH258" s="185"/>
      <c r="BI258" s="185"/>
      <c r="BJ258" s="185"/>
      <c r="BK258" s="186"/>
    </row>
    <row r="259" spans="1:63">
      <c r="A259" s="185"/>
      <c r="B259" s="185"/>
      <c r="C259" s="185"/>
      <c r="D259" s="185"/>
      <c r="E259" s="185"/>
      <c r="F259" s="185"/>
      <c r="G259" s="185"/>
      <c r="H259" s="185"/>
      <c r="I259" s="185"/>
      <c r="J259" s="185"/>
      <c r="K259" s="185"/>
      <c r="L259" s="185"/>
      <c r="M259" s="185"/>
      <c r="N259" s="185"/>
      <c r="O259" s="185"/>
      <c r="P259" s="185"/>
      <c r="Q259" s="185"/>
      <c r="R259" s="185"/>
      <c r="S259" s="185"/>
      <c r="T259" s="185"/>
      <c r="U259" s="185"/>
      <c r="V259" s="185"/>
      <c r="W259" s="185"/>
      <c r="X259" s="185"/>
      <c r="Y259" s="185"/>
      <c r="Z259" s="185"/>
      <c r="AA259" s="185"/>
      <c r="AB259" s="185"/>
      <c r="AC259" s="185"/>
      <c r="AD259" s="185"/>
      <c r="AE259" s="185"/>
      <c r="AF259" s="185"/>
      <c r="AG259" s="185"/>
      <c r="AH259" s="185"/>
      <c r="AI259" s="185"/>
      <c r="AJ259" s="185"/>
      <c r="AK259" s="185"/>
      <c r="AL259" s="185"/>
      <c r="AM259" s="185"/>
      <c r="AN259" s="185"/>
      <c r="AO259" s="185"/>
      <c r="AP259" s="185"/>
      <c r="AQ259" s="185"/>
      <c r="AR259" s="185"/>
      <c r="AS259" s="185"/>
      <c r="AT259" s="185"/>
      <c r="AU259" s="185"/>
      <c r="AV259" s="185"/>
      <c r="AW259" s="185"/>
      <c r="AX259" s="185"/>
      <c r="AY259" s="185"/>
      <c r="AZ259" s="185"/>
      <c r="BA259" s="185"/>
      <c r="BB259" s="185"/>
      <c r="BC259" s="185"/>
      <c r="BD259" s="185"/>
      <c r="BE259" s="185"/>
      <c r="BF259" s="185"/>
      <c r="BG259" s="185"/>
      <c r="BH259" s="185"/>
      <c r="BI259" s="185"/>
      <c r="BJ259" s="185"/>
      <c r="BK259" s="186"/>
    </row>
    <row r="260" spans="1:63">
      <c r="A260" s="186"/>
      <c r="B260" s="186"/>
      <c r="C260" s="186"/>
      <c r="D260" s="186"/>
      <c r="E260" s="186"/>
      <c r="F260" s="186"/>
      <c r="G260" s="186"/>
      <c r="H260" s="186"/>
      <c r="I260" s="186"/>
      <c r="J260" s="186"/>
      <c r="K260" s="186"/>
      <c r="L260" s="186"/>
      <c r="M260" s="186"/>
      <c r="N260" s="186"/>
      <c r="O260" s="186"/>
      <c r="P260" s="186"/>
      <c r="Q260" s="186"/>
      <c r="R260" s="186"/>
      <c r="S260" s="186"/>
      <c r="T260" s="186"/>
      <c r="U260" s="186"/>
      <c r="V260" s="186"/>
      <c r="W260" s="186"/>
      <c r="X260" s="186"/>
      <c r="Y260" s="186"/>
      <c r="Z260" s="186"/>
      <c r="AA260" s="186"/>
      <c r="AB260" s="186"/>
      <c r="AC260" s="186"/>
      <c r="AD260" s="186"/>
      <c r="AE260" s="186"/>
      <c r="AF260" s="186"/>
      <c r="AG260" s="186"/>
      <c r="AH260" s="186"/>
      <c r="AI260" s="186"/>
      <c r="AJ260" s="186"/>
      <c r="AK260" s="186"/>
      <c r="AL260" s="186"/>
      <c r="AM260" s="186"/>
      <c r="AN260" s="186"/>
      <c r="AO260" s="186"/>
      <c r="AP260" s="186"/>
      <c r="AQ260" s="186"/>
      <c r="AR260" s="186"/>
      <c r="AS260" s="186"/>
      <c r="AT260" s="186"/>
      <c r="AU260" s="186"/>
      <c r="AV260" s="186"/>
      <c r="AW260" s="186"/>
      <c r="AX260" s="186"/>
      <c r="AY260" s="186"/>
      <c r="AZ260" s="186"/>
      <c r="BA260" s="186"/>
      <c r="BB260" s="186"/>
      <c r="BC260" s="186"/>
      <c r="BD260" s="186"/>
      <c r="BE260" s="186"/>
      <c r="BF260" s="186"/>
      <c r="BG260" s="186"/>
      <c r="BH260" s="186"/>
      <c r="BI260" s="186"/>
      <c r="BJ260" s="186"/>
      <c r="BK260" s="186"/>
    </row>
    <row r="261" spans="1:63">
      <c r="A261" s="186"/>
      <c r="B261" s="186"/>
      <c r="C261" s="186"/>
      <c r="D261" s="186"/>
      <c r="E261" s="186"/>
      <c r="F261" s="186"/>
      <c r="G261" s="186"/>
      <c r="H261" s="186"/>
      <c r="I261" s="186"/>
      <c r="J261" s="186"/>
      <c r="K261" s="186"/>
      <c r="L261" s="186"/>
      <c r="M261" s="186"/>
      <c r="N261" s="186"/>
      <c r="O261" s="186"/>
      <c r="P261" s="186"/>
      <c r="Q261" s="186"/>
      <c r="R261" s="186"/>
      <c r="S261" s="186"/>
      <c r="T261" s="186"/>
      <c r="U261" s="186"/>
      <c r="V261" s="186"/>
      <c r="W261" s="186"/>
      <c r="X261" s="186"/>
      <c r="Y261" s="186"/>
      <c r="Z261" s="186"/>
      <c r="AA261" s="186"/>
      <c r="AB261" s="186"/>
      <c r="AC261" s="186"/>
      <c r="AD261" s="186"/>
      <c r="AE261" s="186"/>
      <c r="AF261" s="186"/>
      <c r="AG261" s="186"/>
      <c r="AH261" s="186"/>
      <c r="AI261" s="186"/>
      <c r="AJ261" s="186"/>
      <c r="AK261" s="186"/>
      <c r="AL261" s="186"/>
      <c r="AM261" s="186"/>
      <c r="AN261" s="186"/>
      <c r="AO261" s="186"/>
      <c r="AP261" s="186"/>
      <c r="AQ261" s="186"/>
      <c r="AR261" s="186"/>
      <c r="AS261" s="186"/>
      <c r="AT261" s="186"/>
      <c r="AU261" s="186"/>
      <c r="AV261" s="186"/>
      <c r="AW261" s="186"/>
      <c r="AX261" s="186"/>
      <c r="AY261" s="186"/>
      <c r="AZ261" s="186"/>
      <c r="BA261" s="186"/>
      <c r="BB261" s="186"/>
      <c r="BC261" s="186"/>
      <c r="BD261" s="186"/>
      <c r="BE261" s="186"/>
      <c r="BF261" s="186"/>
      <c r="BG261" s="186"/>
      <c r="BH261" s="186"/>
      <c r="BI261" s="186"/>
      <c r="BJ261" s="186"/>
      <c r="BK261" s="186"/>
    </row>
    <row r="262" spans="1:63">
      <c r="A262" s="186"/>
      <c r="B262" s="186"/>
      <c r="C262" s="186"/>
      <c r="D262" s="186"/>
      <c r="E262" s="186"/>
      <c r="F262" s="186"/>
      <c r="G262" s="186"/>
      <c r="H262" s="186"/>
      <c r="I262" s="186"/>
      <c r="J262" s="186"/>
      <c r="K262" s="186"/>
      <c r="L262" s="186"/>
      <c r="M262" s="186"/>
      <c r="N262" s="186"/>
      <c r="O262" s="186"/>
      <c r="P262" s="186"/>
      <c r="Q262" s="186"/>
      <c r="R262" s="186"/>
      <c r="S262" s="186"/>
      <c r="T262" s="186"/>
      <c r="U262" s="186"/>
      <c r="V262" s="186"/>
      <c r="W262" s="186"/>
      <c r="X262" s="186"/>
      <c r="Y262" s="186"/>
      <c r="Z262" s="186"/>
      <c r="AA262" s="186"/>
      <c r="AB262" s="186"/>
      <c r="AC262" s="186"/>
      <c r="AD262" s="186"/>
      <c r="AE262" s="186"/>
      <c r="AF262" s="186"/>
      <c r="AG262" s="186"/>
      <c r="AH262" s="186"/>
      <c r="AI262" s="186"/>
      <c r="AJ262" s="186"/>
      <c r="AK262" s="186"/>
      <c r="AL262" s="186"/>
      <c r="AM262" s="186"/>
      <c r="AN262" s="186"/>
      <c r="AO262" s="186"/>
      <c r="AP262" s="186"/>
      <c r="AQ262" s="186"/>
      <c r="AR262" s="186"/>
      <c r="AS262" s="186"/>
      <c r="AT262" s="186"/>
      <c r="AU262" s="186"/>
      <c r="AV262" s="186"/>
      <c r="AW262" s="186"/>
      <c r="AX262" s="186"/>
      <c r="AY262" s="186"/>
      <c r="AZ262" s="186"/>
      <c r="BA262" s="186"/>
      <c r="BB262" s="186"/>
      <c r="BC262" s="186"/>
      <c r="BD262" s="186"/>
      <c r="BE262" s="186"/>
      <c r="BF262" s="186"/>
      <c r="BG262" s="186"/>
      <c r="BH262" s="186"/>
      <c r="BI262" s="186"/>
      <c r="BJ262" s="186"/>
      <c r="BK262" s="186"/>
    </row>
    <row r="263" spans="1:63">
      <c r="A263" s="186"/>
      <c r="B263" s="186"/>
      <c r="C263" s="186"/>
      <c r="D263" s="186"/>
      <c r="E263" s="186"/>
      <c r="F263" s="186"/>
      <c r="G263" s="186"/>
      <c r="H263" s="186"/>
      <c r="I263" s="186"/>
      <c r="J263" s="186"/>
      <c r="K263" s="186"/>
      <c r="L263" s="186"/>
      <c r="M263" s="186"/>
      <c r="N263" s="186"/>
      <c r="O263" s="186"/>
      <c r="P263" s="186"/>
      <c r="Q263" s="186"/>
      <c r="R263" s="186"/>
      <c r="S263" s="186"/>
      <c r="T263" s="186"/>
      <c r="U263" s="186"/>
      <c r="V263" s="186"/>
      <c r="W263" s="186"/>
      <c r="X263" s="186"/>
      <c r="Y263" s="186"/>
      <c r="Z263" s="186"/>
      <c r="AA263" s="186"/>
      <c r="AB263" s="186"/>
      <c r="AC263" s="186"/>
      <c r="AD263" s="186"/>
      <c r="AE263" s="186"/>
      <c r="AF263" s="186"/>
      <c r="AG263" s="186"/>
      <c r="AH263" s="186"/>
      <c r="AI263" s="186"/>
      <c r="AJ263" s="186"/>
      <c r="AK263" s="186"/>
      <c r="AL263" s="186"/>
      <c r="AM263" s="186"/>
      <c r="AN263" s="186"/>
      <c r="AO263" s="186"/>
      <c r="AP263" s="186"/>
      <c r="AQ263" s="186"/>
      <c r="AR263" s="186"/>
      <c r="AS263" s="186"/>
      <c r="AT263" s="186"/>
      <c r="AU263" s="186"/>
      <c r="AV263" s="186"/>
      <c r="AW263" s="186"/>
      <c r="AX263" s="186"/>
      <c r="AY263" s="186"/>
      <c r="AZ263" s="186"/>
      <c r="BA263" s="186"/>
      <c r="BB263" s="186"/>
      <c r="BC263" s="186"/>
      <c r="BD263" s="186"/>
      <c r="BE263" s="186"/>
      <c r="BF263" s="186"/>
      <c r="BG263" s="186"/>
      <c r="BH263" s="186"/>
      <c r="BI263" s="186"/>
      <c r="BJ263" s="186"/>
      <c r="BK263" s="186"/>
    </row>
    <row r="264" spans="1:63">
      <c r="A264" s="186"/>
      <c r="B264" s="186"/>
      <c r="C264" s="186"/>
      <c r="D264" s="186"/>
      <c r="E264" s="186"/>
      <c r="F264" s="186"/>
      <c r="G264" s="186"/>
      <c r="H264" s="186"/>
      <c r="I264" s="186"/>
      <c r="J264" s="186"/>
      <c r="K264" s="186"/>
      <c r="L264" s="186"/>
      <c r="M264" s="186"/>
      <c r="N264" s="186"/>
      <c r="O264" s="186"/>
      <c r="P264" s="186"/>
      <c r="Q264" s="186"/>
      <c r="R264" s="186"/>
      <c r="S264" s="186"/>
      <c r="T264" s="186"/>
      <c r="U264" s="186"/>
      <c r="V264" s="186"/>
      <c r="W264" s="186"/>
      <c r="X264" s="186"/>
      <c r="Y264" s="186"/>
      <c r="Z264" s="186"/>
      <c r="AA264" s="186"/>
      <c r="AB264" s="186"/>
      <c r="AC264" s="186"/>
      <c r="AD264" s="186"/>
      <c r="AE264" s="186"/>
      <c r="AF264" s="186"/>
      <c r="AG264" s="186"/>
      <c r="AH264" s="186"/>
      <c r="AI264" s="186"/>
      <c r="AJ264" s="186"/>
      <c r="AK264" s="186"/>
      <c r="AL264" s="186"/>
      <c r="AM264" s="186"/>
      <c r="AN264" s="186"/>
      <c r="AO264" s="186"/>
      <c r="AP264" s="186"/>
      <c r="AQ264" s="186"/>
      <c r="AR264" s="186"/>
      <c r="AS264" s="186"/>
      <c r="AT264" s="186"/>
      <c r="AU264" s="186"/>
      <c r="AV264" s="186"/>
      <c r="AW264" s="186"/>
      <c r="AX264" s="186"/>
      <c r="AY264" s="186"/>
      <c r="AZ264" s="186"/>
      <c r="BA264" s="186"/>
      <c r="BB264" s="186"/>
      <c r="BC264" s="186"/>
      <c r="BD264" s="186"/>
      <c r="BE264" s="186"/>
      <c r="BF264" s="186"/>
      <c r="BG264" s="186"/>
      <c r="BH264" s="186"/>
      <c r="BI264" s="186"/>
      <c r="BJ264" s="186"/>
      <c r="BK264" s="186"/>
    </row>
    <row r="265" spans="1:63">
      <c r="A265" s="186"/>
      <c r="B265" s="186"/>
      <c r="C265" s="186"/>
      <c r="D265" s="186"/>
      <c r="E265" s="186"/>
      <c r="F265" s="186"/>
      <c r="G265" s="186"/>
      <c r="H265" s="186"/>
      <c r="I265" s="186"/>
      <c r="J265" s="186"/>
      <c r="K265" s="186"/>
      <c r="L265" s="186"/>
      <c r="M265" s="186"/>
      <c r="N265" s="186"/>
      <c r="O265" s="186"/>
      <c r="P265" s="186"/>
      <c r="Q265" s="186"/>
      <c r="R265" s="186"/>
      <c r="S265" s="186"/>
      <c r="T265" s="186"/>
      <c r="U265" s="186"/>
      <c r="V265" s="186"/>
      <c r="W265" s="186"/>
      <c r="X265" s="186"/>
      <c r="Y265" s="186"/>
      <c r="Z265" s="186"/>
      <c r="AA265" s="186"/>
      <c r="AB265" s="186"/>
      <c r="AC265" s="186"/>
      <c r="AD265" s="186"/>
      <c r="AE265" s="186"/>
      <c r="AF265" s="186"/>
      <c r="AG265" s="186"/>
      <c r="AH265" s="186"/>
      <c r="AI265" s="186"/>
      <c r="AJ265" s="186"/>
      <c r="AK265" s="186"/>
      <c r="AL265" s="186"/>
      <c r="AM265" s="186"/>
      <c r="AN265" s="186"/>
      <c r="AO265" s="186"/>
      <c r="AP265" s="186"/>
      <c r="AQ265" s="186"/>
      <c r="AR265" s="186"/>
      <c r="AS265" s="186"/>
      <c r="AT265" s="186"/>
      <c r="AU265" s="186"/>
      <c r="AV265" s="186"/>
      <c r="AW265" s="186"/>
      <c r="AX265" s="186"/>
      <c r="AY265" s="186"/>
      <c r="AZ265" s="186"/>
      <c r="BA265" s="186"/>
      <c r="BB265" s="186"/>
      <c r="BC265" s="186"/>
      <c r="BD265" s="186"/>
      <c r="BE265" s="186"/>
      <c r="BF265" s="186"/>
      <c r="BG265" s="186"/>
      <c r="BH265" s="186"/>
      <c r="BI265" s="186"/>
      <c r="BJ265" s="186"/>
      <c r="BK265" s="186"/>
    </row>
    <row r="266" spans="1:63">
      <c r="A266" s="186"/>
      <c r="B266" s="186"/>
      <c r="C266" s="186"/>
      <c r="D266" s="186"/>
      <c r="E266" s="186"/>
      <c r="F266" s="186"/>
      <c r="G266" s="186"/>
      <c r="H266" s="186"/>
      <c r="I266" s="186"/>
      <c r="J266" s="186"/>
      <c r="K266" s="186"/>
      <c r="L266" s="186"/>
      <c r="M266" s="186"/>
      <c r="N266" s="186"/>
      <c r="O266" s="186"/>
      <c r="P266" s="186"/>
      <c r="Q266" s="186"/>
      <c r="R266" s="186"/>
      <c r="S266" s="186"/>
      <c r="T266" s="186"/>
      <c r="U266" s="186"/>
      <c r="V266" s="186"/>
      <c r="W266" s="186"/>
      <c r="X266" s="186"/>
      <c r="Y266" s="186"/>
      <c r="Z266" s="186"/>
      <c r="AA266" s="186"/>
      <c r="AB266" s="186"/>
      <c r="AC266" s="186"/>
      <c r="AD266" s="186"/>
      <c r="AE266" s="186"/>
      <c r="AF266" s="186"/>
      <c r="AG266" s="186"/>
      <c r="AH266" s="186"/>
      <c r="AI266" s="186"/>
      <c r="AJ266" s="186"/>
      <c r="AK266" s="186"/>
      <c r="AL266" s="186"/>
      <c r="AM266" s="186"/>
      <c r="AN266" s="186"/>
      <c r="AO266" s="186"/>
      <c r="AP266" s="186"/>
      <c r="AQ266" s="186"/>
      <c r="AR266" s="186"/>
      <c r="AS266" s="186"/>
      <c r="AT266" s="186"/>
      <c r="AU266" s="186"/>
      <c r="AV266" s="186"/>
      <c r="AW266" s="186"/>
      <c r="AX266" s="186"/>
      <c r="AY266" s="186"/>
      <c r="AZ266" s="186"/>
      <c r="BA266" s="186"/>
      <c r="BB266" s="186"/>
      <c r="BC266" s="186"/>
      <c r="BD266" s="186"/>
      <c r="BE266" s="186"/>
      <c r="BF266" s="186"/>
      <c r="BG266" s="186"/>
      <c r="BH266" s="186"/>
      <c r="BI266" s="186"/>
      <c r="BJ266" s="186"/>
      <c r="BK266" s="186"/>
    </row>
    <row r="267" spans="1:63">
      <c r="A267" s="186"/>
      <c r="B267" s="186"/>
      <c r="C267" s="186"/>
      <c r="D267" s="186"/>
      <c r="E267" s="186"/>
      <c r="F267" s="186"/>
      <c r="G267" s="186"/>
      <c r="H267" s="186"/>
      <c r="I267" s="186"/>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186"/>
      <c r="AH267" s="186"/>
      <c r="AI267" s="186"/>
      <c r="AJ267" s="186"/>
      <c r="AK267" s="186"/>
      <c r="AL267" s="186"/>
      <c r="AM267" s="186"/>
      <c r="AN267" s="186"/>
      <c r="AO267" s="186"/>
      <c r="AP267" s="186"/>
      <c r="AQ267" s="186"/>
      <c r="AR267" s="186"/>
      <c r="AS267" s="186"/>
      <c r="AT267" s="186"/>
      <c r="AU267" s="186"/>
      <c r="AV267" s="186"/>
      <c r="AW267" s="186"/>
      <c r="AX267" s="186"/>
      <c r="AY267" s="186"/>
      <c r="AZ267" s="186"/>
      <c r="BA267" s="186"/>
      <c r="BB267" s="186"/>
      <c r="BC267" s="186"/>
      <c r="BD267" s="186"/>
      <c r="BE267" s="186"/>
      <c r="BF267" s="186"/>
      <c r="BG267" s="186"/>
      <c r="BH267" s="186"/>
      <c r="BI267" s="186"/>
      <c r="BJ267" s="186"/>
      <c r="BK267" s="186"/>
    </row>
    <row r="268" spans="1:63">
      <c r="A268" s="186"/>
      <c r="B268" s="186"/>
      <c r="C268" s="186"/>
      <c r="D268" s="186"/>
      <c r="E268" s="186"/>
      <c r="F268" s="186"/>
      <c r="G268" s="186"/>
      <c r="H268" s="186"/>
      <c r="I268" s="186"/>
      <c r="J268" s="186"/>
      <c r="K268" s="186"/>
      <c r="L268" s="186"/>
      <c r="M268" s="186"/>
      <c r="N268" s="186"/>
      <c r="O268" s="186"/>
      <c r="P268" s="186"/>
      <c r="Q268" s="186"/>
      <c r="R268" s="186"/>
      <c r="S268" s="186"/>
      <c r="T268" s="186"/>
      <c r="U268" s="186"/>
      <c r="V268" s="186"/>
      <c r="W268" s="186"/>
      <c r="X268" s="186"/>
      <c r="Y268" s="186"/>
      <c r="Z268" s="186"/>
      <c r="AA268" s="186"/>
      <c r="AB268" s="186"/>
      <c r="AC268" s="186"/>
      <c r="AD268" s="186"/>
      <c r="AE268" s="186"/>
      <c r="AF268" s="186"/>
      <c r="AG268" s="186"/>
      <c r="AH268" s="186"/>
      <c r="AI268" s="186"/>
      <c r="AJ268" s="186"/>
      <c r="AK268" s="186"/>
      <c r="AL268" s="186"/>
      <c r="AM268" s="186"/>
      <c r="AN268" s="186"/>
      <c r="AO268" s="186"/>
      <c r="AP268" s="186"/>
      <c r="AQ268" s="186"/>
      <c r="AR268" s="186"/>
      <c r="AS268" s="186"/>
      <c r="AT268" s="186"/>
      <c r="AU268" s="186"/>
      <c r="AV268" s="186"/>
      <c r="AW268" s="186"/>
      <c r="AX268" s="186"/>
      <c r="AY268" s="186"/>
      <c r="AZ268" s="186"/>
      <c r="BA268" s="186"/>
      <c r="BB268" s="186"/>
      <c r="BC268" s="186"/>
      <c r="BD268" s="186"/>
      <c r="BE268" s="186"/>
      <c r="BF268" s="186"/>
      <c r="BG268" s="186"/>
      <c r="BH268" s="186"/>
      <c r="BI268" s="186"/>
      <c r="BJ268" s="186"/>
      <c r="BK268" s="186"/>
    </row>
    <row r="269" spans="1:63">
      <c r="A269" s="186"/>
      <c r="B269" s="186"/>
      <c r="C269" s="186"/>
      <c r="D269" s="186"/>
      <c r="E269" s="186"/>
      <c r="F269" s="186"/>
      <c r="G269" s="186"/>
      <c r="H269" s="186"/>
      <c r="I269" s="186"/>
      <c r="J269" s="186"/>
      <c r="K269" s="186"/>
      <c r="L269" s="186"/>
      <c r="M269" s="186"/>
      <c r="N269" s="186"/>
      <c r="O269" s="186"/>
      <c r="P269" s="186"/>
      <c r="Q269" s="186"/>
      <c r="R269" s="186"/>
      <c r="S269" s="186"/>
      <c r="T269" s="186"/>
      <c r="U269" s="186"/>
      <c r="V269" s="186"/>
      <c r="W269" s="186"/>
      <c r="X269" s="186"/>
      <c r="Y269" s="186"/>
      <c r="Z269" s="186"/>
      <c r="AA269" s="186"/>
      <c r="AB269" s="186"/>
      <c r="AC269" s="186"/>
      <c r="AD269" s="186"/>
      <c r="AE269" s="186"/>
      <c r="AF269" s="186"/>
      <c r="AG269" s="186"/>
      <c r="AH269" s="186"/>
      <c r="AI269" s="186"/>
      <c r="AJ269" s="186"/>
      <c r="AK269" s="186"/>
      <c r="AL269" s="186"/>
      <c r="AM269" s="186"/>
      <c r="AN269" s="186"/>
      <c r="AO269" s="186"/>
      <c r="AP269" s="186"/>
      <c r="AQ269" s="186"/>
      <c r="AR269" s="186"/>
      <c r="AS269" s="186"/>
      <c r="AT269" s="186"/>
      <c r="AU269" s="186"/>
      <c r="AV269" s="186"/>
      <c r="AW269" s="186"/>
      <c r="AX269" s="186"/>
      <c r="AY269" s="186"/>
      <c r="AZ269" s="186"/>
      <c r="BA269" s="186"/>
      <c r="BB269" s="186"/>
      <c r="BC269" s="186"/>
      <c r="BD269" s="186"/>
      <c r="BE269" s="186"/>
      <c r="BF269" s="186"/>
      <c r="BG269" s="186"/>
      <c r="BH269" s="186"/>
      <c r="BI269" s="186"/>
      <c r="BJ269" s="186"/>
      <c r="BK269" s="186"/>
    </row>
    <row r="270" spans="1:63">
      <c r="A270" s="186"/>
      <c r="B270" s="186"/>
      <c r="C270" s="186"/>
      <c r="D270" s="186"/>
      <c r="E270" s="186"/>
      <c r="F270" s="186"/>
      <c r="G270" s="186"/>
      <c r="H270" s="186"/>
      <c r="I270" s="186"/>
      <c r="J270" s="186"/>
      <c r="K270" s="186"/>
      <c r="L270" s="186"/>
      <c r="M270" s="186"/>
      <c r="N270" s="186"/>
      <c r="O270" s="186"/>
      <c r="P270" s="186"/>
      <c r="Q270" s="186"/>
      <c r="R270" s="186"/>
      <c r="S270" s="186"/>
      <c r="T270" s="186"/>
      <c r="U270" s="186"/>
      <c r="V270" s="186"/>
      <c r="W270" s="186"/>
      <c r="X270" s="186"/>
      <c r="Y270" s="186"/>
      <c r="Z270" s="186"/>
      <c r="AA270" s="186"/>
      <c r="AB270" s="186"/>
      <c r="AC270" s="186"/>
      <c r="AD270" s="186"/>
      <c r="AE270" s="186"/>
      <c r="AF270" s="186"/>
      <c r="AG270" s="186"/>
      <c r="AH270" s="186"/>
      <c r="AI270" s="186"/>
      <c r="AJ270" s="186"/>
      <c r="AK270" s="186"/>
      <c r="AL270" s="186"/>
      <c r="AM270" s="186"/>
      <c r="AN270" s="186"/>
      <c r="AO270" s="186"/>
      <c r="AP270" s="186"/>
      <c r="AQ270" s="186"/>
      <c r="AR270" s="186"/>
      <c r="AS270" s="186"/>
      <c r="AT270" s="186"/>
      <c r="AU270" s="186"/>
      <c r="AV270" s="186"/>
      <c r="AW270" s="186"/>
      <c r="AX270" s="186"/>
      <c r="AY270" s="186"/>
      <c r="AZ270" s="186"/>
      <c r="BA270" s="186"/>
      <c r="BB270" s="186"/>
      <c r="BC270" s="186"/>
      <c r="BD270" s="186"/>
      <c r="BE270" s="186"/>
      <c r="BF270" s="186"/>
      <c r="BG270" s="186"/>
      <c r="BH270" s="186"/>
      <c r="BI270" s="186"/>
      <c r="BJ270" s="186"/>
      <c r="BK270" s="186"/>
    </row>
    <row r="271" spans="1:63">
      <c r="A271" s="186"/>
      <c r="B271" s="186"/>
      <c r="C271" s="186"/>
      <c r="D271" s="186"/>
      <c r="E271" s="186"/>
      <c r="F271" s="186"/>
      <c r="G271" s="186"/>
      <c r="H271" s="186"/>
      <c r="I271" s="186"/>
      <c r="J271" s="186"/>
      <c r="K271" s="186"/>
      <c r="L271" s="186"/>
      <c r="M271" s="186"/>
      <c r="N271" s="186"/>
      <c r="O271" s="186"/>
      <c r="P271" s="186"/>
      <c r="Q271" s="186"/>
      <c r="R271" s="186"/>
      <c r="S271" s="186"/>
      <c r="T271" s="186"/>
      <c r="U271" s="186"/>
      <c r="V271" s="186"/>
      <c r="W271" s="186"/>
      <c r="X271" s="186"/>
      <c r="Y271" s="186"/>
      <c r="Z271" s="186"/>
      <c r="AA271" s="186"/>
      <c r="AB271" s="186"/>
      <c r="AC271" s="186"/>
      <c r="AD271" s="186"/>
      <c r="AE271" s="186"/>
      <c r="AF271" s="186"/>
      <c r="AG271" s="186"/>
      <c r="AH271" s="186"/>
      <c r="AI271" s="186"/>
      <c r="AJ271" s="186"/>
      <c r="AK271" s="186"/>
      <c r="AL271" s="186"/>
      <c r="AM271" s="186"/>
      <c r="AN271" s="186"/>
      <c r="AO271" s="186"/>
      <c r="AP271" s="186"/>
      <c r="AQ271" s="186"/>
      <c r="AR271" s="186"/>
      <c r="AS271" s="186"/>
      <c r="AT271" s="186"/>
      <c r="AU271" s="186"/>
      <c r="AV271" s="186"/>
      <c r="AW271" s="186"/>
      <c r="AX271" s="186"/>
      <c r="AY271" s="186"/>
      <c r="AZ271" s="186"/>
      <c r="BA271" s="186"/>
      <c r="BB271" s="186"/>
      <c r="BC271" s="186"/>
      <c r="BD271" s="186"/>
      <c r="BE271" s="186"/>
      <c r="BF271" s="186"/>
      <c r="BG271" s="186"/>
      <c r="BH271" s="186"/>
      <c r="BI271" s="186"/>
      <c r="BJ271" s="186"/>
      <c r="BK271" s="186"/>
    </row>
    <row r="272" spans="1:63">
      <c r="A272" s="186"/>
      <c r="B272" s="186"/>
      <c r="C272" s="186"/>
      <c r="D272" s="186"/>
      <c r="E272" s="186"/>
      <c r="F272" s="186"/>
      <c r="G272" s="186"/>
      <c r="H272" s="186"/>
      <c r="I272" s="186"/>
      <c r="J272" s="186"/>
      <c r="K272" s="186"/>
      <c r="L272" s="186"/>
      <c r="M272" s="186"/>
      <c r="N272" s="186"/>
      <c r="O272" s="186"/>
      <c r="P272" s="186"/>
      <c r="Q272" s="186"/>
      <c r="R272" s="186"/>
      <c r="S272" s="186"/>
      <c r="T272" s="186"/>
      <c r="U272" s="186"/>
      <c r="V272" s="186"/>
      <c r="W272" s="186"/>
      <c r="X272" s="186"/>
      <c r="Y272" s="186"/>
      <c r="Z272" s="186"/>
      <c r="AA272" s="186"/>
      <c r="AB272" s="186"/>
      <c r="AC272" s="186"/>
      <c r="AD272" s="186"/>
      <c r="AE272" s="186"/>
      <c r="AF272" s="186"/>
      <c r="AG272" s="186"/>
      <c r="AH272" s="186"/>
      <c r="AI272" s="186"/>
      <c r="AJ272" s="186"/>
      <c r="AK272" s="186"/>
      <c r="AL272" s="186"/>
      <c r="AM272" s="186"/>
      <c r="AN272" s="186"/>
      <c r="AO272" s="186"/>
      <c r="AP272" s="186"/>
      <c r="AQ272" s="186"/>
      <c r="AR272" s="186"/>
      <c r="AS272" s="186"/>
      <c r="AT272" s="186"/>
      <c r="AU272" s="186"/>
      <c r="AV272" s="186"/>
      <c r="AW272" s="186"/>
      <c r="AX272" s="186"/>
      <c r="AY272" s="186"/>
      <c r="AZ272" s="186"/>
      <c r="BA272" s="186"/>
      <c r="BB272" s="186"/>
      <c r="BC272" s="186"/>
      <c r="BD272" s="186"/>
      <c r="BE272" s="186"/>
      <c r="BF272" s="186"/>
      <c r="BG272" s="186"/>
      <c r="BH272" s="186"/>
      <c r="BI272" s="186"/>
      <c r="BJ272" s="186"/>
      <c r="BK272" s="186"/>
    </row>
    <row r="273" spans="1:63">
      <c r="A273" s="186"/>
      <c r="B273" s="186"/>
      <c r="C273" s="186"/>
      <c r="D273" s="186"/>
      <c r="E273" s="186"/>
      <c r="F273" s="186"/>
      <c r="G273" s="186"/>
      <c r="H273" s="186"/>
      <c r="I273" s="186"/>
      <c r="J273" s="186"/>
      <c r="K273" s="186"/>
      <c r="L273" s="186"/>
      <c r="M273" s="186"/>
      <c r="N273" s="186"/>
      <c r="O273" s="186"/>
      <c r="P273" s="186"/>
      <c r="Q273" s="186"/>
      <c r="R273" s="186"/>
      <c r="S273" s="186"/>
      <c r="T273" s="186"/>
      <c r="U273" s="186"/>
      <c r="V273" s="186"/>
      <c r="W273" s="186"/>
      <c r="X273" s="186"/>
      <c r="Y273" s="186"/>
      <c r="Z273" s="186"/>
      <c r="AA273" s="186"/>
      <c r="AB273" s="186"/>
      <c r="AC273" s="186"/>
      <c r="AD273" s="186"/>
      <c r="AE273" s="186"/>
      <c r="AF273" s="186"/>
      <c r="AG273" s="186"/>
      <c r="AH273" s="186"/>
      <c r="AI273" s="186"/>
      <c r="AJ273" s="186"/>
      <c r="AK273" s="186"/>
      <c r="AL273" s="186"/>
      <c r="AM273" s="186"/>
      <c r="AN273" s="186"/>
      <c r="AO273" s="186"/>
      <c r="AP273" s="186"/>
      <c r="AQ273" s="186"/>
      <c r="AR273" s="186"/>
      <c r="AS273" s="186"/>
      <c r="AT273" s="186"/>
      <c r="AU273" s="186"/>
      <c r="AV273" s="186"/>
      <c r="AW273" s="186"/>
      <c r="AX273" s="186"/>
      <c r="AY273" s="186"/>
      <c r="AZ273" s="186"/>
      <c r="BA273" s="186"/>
      <c r="BB273" s="186"/>
      <c r="BC273" s="186"/>
      <c r="BD273" s="186"/>
      <c r="BE273" s="186"/>
      <c r="BF273" s="186"/>
      <c r="BG273" s="186"/>
      <c r="BH273" s="186"/>
      <c r="BI273" s="186"/>
      <c r="BJ273" s="186"/>
      <c r="BK273" s="186"/>
    </row>
    <row r="274" spans="1:63">
      <c r="A274" s="186"/>
      <c r="B274" s="186"/>
      <c r="C274" s="186"/>
      <c r="D274" s="186"/>
      <c r="E274" s="186"/>
      <c r="F274" s="186"/>
      <c r="G274" s="186"/>
      <c r="H274" s="186"/>
      <c r="I274" s="186"/>
      <c r="J274" s="186"/>
      <c r="K274" s="186"/>
      <c r="L274" s="186"/>
      <c r="M274" s="186"/>
      <c r="N274" s="186"/>
      <c r="O274" s="186"/>
      <c r="P274" s="186"/>
      <c r="Q274" s="186"/>
      <c r="R274" s="186"/>
      <c r="S274" s="186"/>
      <c r="T274" s="186"/>
      <c r="U274" s="186"/>
      <c r="V274" s="186"/>
      <c r="W274" s="186"/>
      <c r="X274" s="186"/>
      <c r="Y274" s="186"/>
      <c r="Z274" s="186"/>
      <c r="AA274" s="186"/>
      <c r="AB274" s="186"/>
      <c r="AC274" s="186"/>
      <c r="AD274" s="186"/>
      <c r="AE274" s="186"/>
      <c r="AF274" s="186"/>
      <c r="AG274" s="186"/>
      <c r="AH274" s="186"/>
      <c r="AI274" s="186"/>
      <c r="AJ274" s="186"/>
      <c r="AK274" s="186"/>
      <c r="AL274" s="186"/>
      <c r="AM274" s="186"/>
      <c r="AN274" s="186"/>
      <c r="AO274" s="186"/>
      <c r="AP274" s="186"/>
      <c r="AQ274" s="186"/>
      <c r="AR274" s="186"/>
      <c r="AS274" s="186"/>
      <c r="AT274" s="186"/>
      <c r="AU274" s="186"/>
      <c r="AV274" s="186"/>
      <c r="AW274" s="186"/>
      <c r="AX274" s="186"/>
      <c r="AY274" s="186"/>
      <c r="AZ274" s="186"/>
      <c r="BA274" s="186"/>
      <c r="BB274" s="186"/>
      <c r="BC274" s="186"/>
      <c r="BD274" s="186"/>
      <c r="BE274" s="186"/>
      <c r="BF274" s="186"/>
      <c r="BG274" s="186"/>
      <c r="BH274" s="186"/>
      <c r="BI274" s="186"/>
      <c r="BJ274" s="186"/>
      <c r="BK274" s="186"/>
    </row>
    <row r="275" spans="1:63">
      <c r="A275" s="186"/>
      <c r="B275" s="186"/>
      <c r="C275" s="186"/>
      <c r="D275" s="186"/>
      <c r="E275" s="186"/>
      <c r="F275" s="186"/>
      <c r="G275" s="186"/>
      <c r="H275" s="186"/>
      <c r="I275" s="186"/>
      <c r="J275" s="186"/>
      <c r="K275" s="186"/>
      <c r="L275" s="186"/>
      <c r="M275" s="186"/>
      <c r="N275" s="186"/>
      <c r="O275" s="186"/>
      <c r="P275" s="186"/>
      <c r="Q275" s="186"/>
      <c r="R275" s="186"/>
      <c r="S275" s="186"/>
      <c r="T275" s="186"/>
      <c r="U275" s="186"/>
      <c r="V275" s="186"/>
      <c r="W275" s="186"/>
      <c r="X275" s="186"/>
      <c r="Y275" s="186"/>
      <c r="Z275" s="186"/>
      <c r="AA275" s="186"/>
      <c r="AB275" s="186"/>
      <c r="AC275" s="186"/>
      <c r="AD275" s="186"/>
      <c r="AE275" s="186"/>
      <c r="AF275" s="186"/>
      <c r="AG275" s="186"/>
      <c r="AH275" s="186"/>
      <c r="AI275" s="186"/>
      <c r="AJ275" s="186"/>
      <c r="AK275" s="186"/>
      <c r="AL275" s="186"/>
      <c r="AM275" s="186"/>
      <c r="AN275" s="186"/>
      <c r="AO275" s="186"/>
      <c r="AP275" s="186"/>
      <c r="AQ275" s="186"/>
      <c r="AR275" s="186"/>
      <c r="AS275" s="186"/>
      <c r="AT275" s="186"/>
      <c r="AU275" s="186"/>
      <c r="AV275" s="186"/>
      <c r="AW275" s="186"/>
      <c r="AX275" s="186"/>
      <c r="AY275" s="186"/>
      <c r="AZ275" s="186"/>
      <c r="BA275" s="186"/>
      <c r="BB275" s="186"/>
      <c r="BC275" s="186"/>
      <c r="BD275" s="186"/>
      <c r="BE275" s="186"/>
      <c r="BF275" s="186"/>
      <c r="BG275" s="186"/>
      <c r="BH275" s="186"/>
      <c r="BI275" s="186"/>
      <c r="BJ275" s="186"/>
      <c r="BK275" s="186"/>
    </row>
    <row r="276" spans="1:63">
      <c r="A276" s="186"/>
      <c r="B276" s="186"/>
      <c r="C276" s="186"/>
      <c r="D276" s="186"/>
      <c r="E276" s="186"/>
      <c r="F276" s="186"/>
      <c r="G276" s="186"/>
      <c r="H276" s="186"/>
      <c r="I276" s="186"/>
      <c r="J276" s="186"/>
      <c r="K276" s="186"/>
      <c r="L276" s="186"/>
      <c r="M276" s="186"/>
      <c r="N276" s="186"/>
      <c r="O276" s="186"/>
      <c r="P276" s="186"/>
      <c r="Q276" s="186"/>
      <c r="R276" s="186"/>
      <c r="S276" s="186"/>
      <c r="T276" s="186"/>
      <c r="U276" s="186"/>
      <c r="V276" s="186"/>
      <c r="W276" s="186"/>
      <c r="X276" s="186"/>
      <c r="Y276" s="186"/>
      <c r="Z276" s="186"/>
      <c r="AA276" s="186"/>
      <c r="AB276" s="186"/>
      <c r="AC276" s="186"/>
      <c r="AD276" s="186"/>
      <c r="AE276" s="186"/>
      <c r="AF276" s="186"/>
      <c r="AG276" s="186"/>
      <c r="AH276" s="186"/>
      <c r="AI276" s="186"/>
      <c r="AJ276" s="186"/>
      <c r="AK276" s="186"/>
      <c r="AL276" s="186"/>
      <c r="AM276" s="186"/>
      <c r="AN276" s="186"/>
      <c r="AO276" s="186"/>
      <c r="AP276" s="186"/>
      <c r="AQ276" s="186"/>
      <c r="AR276" s="186"/>
      <c r="AS276" s="186"/>
      <c r="AT276" s="186"/>
      <c r="AU276" s="186"/>
      <c r="AV276" s="186"/>
      <c r="AW276" s="186"/>
      <c r="AX276" s="186"/>
      <c r="AY276" s="186"/>
      <c r="AZ276" s="186"/>
      <c r="BA276" s="186"/>
      <c r="BB276" s="186"/>
      <c r="BC276" s="186"/>
      <c r="BD276" s="186"/>
      <c r="BE276" s="186"/>
      <c r="BF276" s="186"/>
      <c r="BG276" s="186"/>
      <c r="BH276" s="186"/>
      <c r="BI276" s="186"/>
      <c r="BJ276" s="186"/>
      <c r="BK276" s="186"/>
    </row>
    <row r="277" spans="1:63">
      <c r="A277" s="186"/>
      <c r="B277" s="186"/>
      <c r="C277" s="186"/>
      <c r="D277" s="186"/>
      <c r="E277" s="186"/>
      <c r="F277" s="186"/>
      <c r="G277" s="186"/>
      <c r="H277" s="186"/>
      <c r="I277" s="186"/>
      <c r="J277" s="186"/>
      <c r="K277" s="186"/>
      <c r="L277" s="186"/>
      <c r="M277" s="186"/>
      <c r="N277" s="186"/>
      <c r="O277" s="186"/>
      <c r="P277" s="186"/>
      <c r="Q277" s="186"/>
      <c r="R277" s="186"/>
      <c r="S277" s="186"/>
      <c r="T277" s="186"/>
      <c r="U277" s="186"/>
      <c r="V277" s="186"/>
      <c r="W277" s="186"/>
      <c r="X277" s="186"/>
      <c r="Y277" s="186"/>
      <c r="Z277" s="186"/>
      <c r="AA277" s="186"/>
      <c r="AB277" s="186"/>
      <c r="AC277" s="186"/>
      <c r="AD277" s="186"/>
      <c r="AE277" s="186"/>
      <c r="AF277" s="186"/>
      <c r="AG277" s="186"/>
      <c r="AH277" s="186"/>
      <c r="AI277" s="186"/>
      <c r="AJ277" s="186"/>
      <c r="AK277" s="186"/>
      <c r="AL277" s="186"/>
      <c r="AM277" s="186"/>
      <c r="AN277" s="186"/>
      <c r="AO277" s="186"/>
      <c r="AP277" s="186"/>
      <c r="AQ277" s="186"/>
      <c r="AR277" s="186"/>
      <c r="AS277" s="186"/>
      <c r="AT277" s="186"/>
      <c r="AU277" s="186"/>
      <c r="AV277" s="186"/>
      <c r="AW277" s="186"/>
      <c r="AX277" s="186"/>
      <c r="AY277" s="186"/>
      <c r="AZ277" s="186"/>
      <c r="BA277" s="186"/>
      <c r="BB277" s="186"/>
      <c r="BC277" s="186"/>
      <c r="BD277" s="186"/>
      <c r="BE277" s="186"/>
      <c r="BF277" s="186"/>
      <c r="BG277" s="186"/>
      <c r="BH277" s="186"/>
      <c r="BI277" s="186"/>
      <c r="BJ277" s="186"/>
      <c r="BK277" s="186"/>
    </row>
    <row r="278" spans="1:63">
      <c r="A278" s="186"/>
      <c r="B278" s="186"/>
      <c r="C278" s="186"/>
      <c r="D278" s="186"/>
      <c r="E278" s="186"/>
      <c r="F278" s="186"/>
      <c r="G278" s="186"/>
      <c r="H278" s="186"/>
      <c r="I278" s="186"/>
      <c r="J278" s="186"/>
      <c r="K278" s="186"/>
      <c r="L278" s="186"/>
      <c r="M278" s="186"/>
      <c r="N278" s="186"/>
      <c r="O278" s="186"/>
      <c r="P278" s="186"/>
      <c r="Q278" s="186"/>
      <c r="R278" s="186"/>
      <c r="S278" s="186"/>
      <c r="T278" s="186"/>
      <c r="U278" s="186"/>
      <c r="V278" s="186"/>
      <c r="W278" s="186"/>
      <c r="X278" s="186"/>
      <c r="Y278" s="186"/>
      <c r="Z278" s="186"/>
      <c r="AA278" s="186"/>
      <c r="AB278" s="186"/>
      <c r="AC278" s="186"/>
      <c r="AD278" s="186"/>
      <c r="AE278" s="186"/>
      <c r="AF278" s="186"/>
      <c r="AG278" s="186"/>
      <c r="AH278" s="186"/>
      <c r="AI278" s="186"/>
      <c r="AJ278" s="186"/>
      <c r="AK278" s="186"/>
      <c r="AL278" s="186"/>
      <c r="AM278" s="186"/>
      <c r="AN278" s="186"/>
      <c r="AO278" s="186"/>
      <c r="AP278" s="186"/>
      <c r="AQ278" s="186"/>
      <c r="AR278" s="186"/>
      <c r="AS278" s="186"/>
      <c r="AT278" s="186"/>
      <c r="AU278" s="186"/>
      <c r="AV278" s="186"/>
      <c r="AW278" s="186"/>
      <c r="AX278" s="186"/>
      <c r="AY278" s="186"/>
      <c r="AZ278" s="186"/>
      <c r="BA278" s="186"/>
      <c r="BB278" s="186"/>
      <c r="BC278" s="186"/>
      <c r="BD278" s="186"/>
      <c r="BE278" s="186"/>
      <c r="BF278" s="186"/>
      <c r="BG278" s="186"/>
      <c r="BH278" s="186"/>
      <c r="BI278" s="186"/>
      <c r="BJ278" s="186"/>
      <c r="BK278" s="186"/>
    </row>
    <row r="279" spans="1:63">
      <c r="A279" s="186"/>
      <c r="B279" s="186"/>
      <c r="C279" s="186"/>
      <c r="D279" s="186"/>
      <c r="E279" s="186"/>
      <c r="F279" s="186"/>
      <c r="G279" s="186"/>
      <c r="H279" s="186"/>
      <c r="I279" s="186"/>
      <c r="J279" s="186"/>
      <c r="K279" s="186"/>
      <c r="L279" s="186"/>
      <c r="M279" s="186"/>
      <c r="N279" s="186"/>
      <c r="O279" s="186"/>
      <c r="P279" s="186"/>
      <c r="Q279" s="186"/>
      <c r="R279" s="186"/>
      <c r="S279" s="186"/>
      <c r="T279" s="186"/>
      <c r="U279" s="186"/>
      <c r="V279" s="186"/>
      <c r="W279" s="186"/>
      <c r="X279" s="186"/>
      <c r="Y279" s="186"/>
      <c r="Z279" s="186"/>
      <c r="AA279" s="186"/>
      <c r="AB279" s="186"/>
      <c r="AC279" s="186"/>
      <c r="AD279" s="186"/>
      <c r="AE279" s="186"/>
      <c r="AF279" s="186"/>
      <c r="AG279" s="186"/>
      <c r="AH279" s="186"/>
      <c r="AI279" s="186"/>
      <c r="AJ279" s="186"/>
      <c r="AK279" s="186"/>
      <c r="AL279" s="186"/>
      <c r="AM279" s="186"/>
      <c r="AN279" s="186"/>
      <c r="AO279" s="186"/>
      <c r="AP279" s="186"/>
      <c r="AQ279" s="186"/>
      <c r="AR279" s="186"/>
      <c r="AS279" s="186"/>
      <c r="AT279" s="186"/>
      <c r="AU279" s="186"/>
      <c r="AV279" s="186"/>
      <c r="AW279" s="186"/>
      <c r="AX279" s="186"/>
      <c r="AY279" s="186"/>
      <c r="AZ279" s="186"/>
      <c r="BA279" s="186"/>
      <c r="BB279" s="186"/>
      <c r="BC279" s="186"/>
      <c r="BD279" s="186"/>
      <c r="BE279" s="186"/>
      <c r="BF279" s="186"/>
      <c r="BG279" s="186"/>
      <c r="BH279" s="186"/>
      <c r="BI279" s="186"/>
      <c r="BJ279" s="186"/>
      <c r="BK279" s="186"/>
    </row>
    <row r="280" spans="1:63">
      <c r="A280" s="186"/>
      <c r="B280" s="186"/>
      <c r="C280" s="186"/>
      <c r="D280" s="186"/>
      <c r="E280" s="186"/>
      <c r="F280" s="186"/>
      <c r="G280" s="186"/>
      <c r="H280" s="186"/>
      <c r="I280" s="186"/>
      <c r="J280" s="186"/>
      <c r="K280" s="186"/>
      <c r="L280" s="186"/>
      <c r="M280" s="186"/>
      <c r="N280" s="186"/>
      <c r="O280" s="186"/>
      <c r="P280" s="186"/>
      <c r="Q280" s="186"/>
      <c r="R280" s="186"/>
      <c r="S280" s="186"/>
      <c r="T280" s="186"/>
      <c r="U280" s="186"/>
      <c r="V280" s="186"/>
      <c r="W280" s="186"/>
      <c r="X280" s="186"/>
      <c r="Y280" s="186"/>
      <c r="Z280" s="186"/>
      <c r="AA280" s="186"/>
      <c r="AB280" s="186"/>
      <c r="AC280" s="186"/>
      <c r="AD280" s="186"/>
      <c r="AE280" s="186"/>
      <c r="AF280" s="186"/>
      <c r="AG280" s="186"/>
      <c r="AH280" s="186"/>
      <c r="AI280" s="186"/>
      <c r="AJ280" s="186"/>
      <c r="AK280" s="186"/>
      <c r="AL280" s="186"/>
      <c r="AM280" s="186"/>
      <c r="AN280" s="186"/>
      <c r="AO280" s="186"/>
      <c r="AP280" s="186"/>
      <c r="AQ280" s="186"/>
      <c r="AR280" s="186"/>
      <c r="AS280" s="186"/>
      <c r="AT280" s="186"/>
      <c r="AU280" s="186"/>
      <c r="AV280" s="186"/>
      <c r="AW280" s="186"/>
      <c r="AX280" s="186"/>
      <c r="AY280" s="186"/>
      <c r="AZ280" s="186"/>
      <c r="BA280" s="186"/>
      <c r="BB280" s="186"/>
      <c r="BC280" s="186"/>
      <c r="BD280" s="186"/>
      <c r="BE280" s="186"/>
      <c r="BF280" s="186"/>
      <c r="BG280" s="186"/>
      <c r="BH280" s="186"/>
      <c r="BI280" s="186"/>
      <c r="BJ280" s="186"/>
      <c r="BK280" s="186"/>
    </row>
    <row r="281" spans="1:63">
      <c r="A281" s="186"/>
      <c r="B281" s="186"/>
      <c r="C281" s="186"/>
      <c r="D281" s="186"/>
      <c r="E281" s="186"/>
      <c r="F281" s="186"/>
      <c r="G281" s="186"/>
      <c r="H281" s="186"/>
      <c r="I281" s="186"/>
      <c r="J281" s="186"/>
      <c r="K281" s="186"/>
      <c r="L281" s="186"/>
      <c r="M281" s="186"/>
      <c r="N281" s="186"/>
      <c r="O281" s="186"/>
      <c r="P281" s="186"/>
      <c r="Q281" s="186"/>
      <c r="R281" s="186"/>
      <c r="S281" s="186"/>
      <c r="T281" s="186"/>
      <c r="U281" s="186"/>
      <c r="V281" s="186"/>
      <c r="W281" s="186"/>
      <c r="X281" s="186"/>
      <c r="Y281" s="186"/>
      <c r="Z281" s="186"/>
      <c r="AA281" s="186"/>
      <c r="AB281" s="186"/>
      <c r="AC281" s="186"/>
      <c r="AD281" s="186"/>
      <c r="AE281" s="186"/>
      <c r="AF281" s="186"/>
      <c r="AG281" s="186"/>
      <c r="AH281" s="186"/>
      <c r="AI281" s="186"/>
      <c r="AJ281" s="186"/>
      <c r="AK281" s="186"/>
      <c r="AL281" s="186"/>
      <c r="AM281" s="186"/>
      <c r="AN281" s="186"/>
      <c r="AO281" s="186"/>
      <c r="AP281" s="186"/>
      <c r="AQ281" s="186"/>
      <c r="AR281" s="186"/>
      <c r="AS281" s="186"/>
      <c r="AT281" s="186"/>
      <c r="AU281" s="186"/>
      <c r="AV281" s="186"/>
      <c r="AW281" s="186"/>
      <c r="AX281" s="186"/>
      <c r="AY281" s="186"/>
      <c r="AZ281" s="186"/>
      <c r="BA281" s="186"/>
      <c r="BB281" s="186"/>
      <c r="BC281" s="186"/>
      <c r="BD281" s="186"/>
      <c r="BE281" s="186"/>
      <c r="BF281" s="186"/>
      <c r="BG281" s="186"/>
      <c r="BH281" s="186"/>
      <c r="BI281" s="186"/>
      <c r="BJ281" s="186"/>
      <c r="BK281" s="186"/>
    </row>
    <row r="282" spans="1:63">
      <c r="A282" s="186"/>
      <c r="B282" s="186"/>
      <c r="C282" s="186"/>
      <c r="D282" s="186"/>
      <c r="E282" s="186"/>
      <c r="F282" s="186"/>
      <c r="G282" s="186"/>
      <c r="H282" s="186"/>
      <c r="I282" s="186"/>
      <c r="J282" s="186"/>
      <c r="K282" s="186"/>
      <c r="L282" s="186"/>
      <c r="M282" s="186"/>
      <c r="N282" s="186"/>
      <c r="O282" s="186"/>
      <c r="P282" s="186"/>
      <c r="Q282" s="186"/>
      <c r="R282" s="186"/>
      <c r="S282" s="186"/>
      <c r="T282" s="186"/>
      <c r="U282" s="186"/>
      <c r="V282" s="186"/>
      <c r="W282" s="186"/>
      <c r="X282" s="186"/>
      <c r="Y282" s="186"/>
      <c r="Z282" s="186"/>
      <c r="AA282" s="186"/>
      <c r="AB282" s="186"/>
      <c r="AC282" s="186"/>
      <c r="AD282" s="186"/>
      <c r="AE282" s="186"/>
      <c r="AF282" s="186"/>
      <c r="AG282" s="186"/>
      <c r="AH282" s="186"/>
      <c r="AI282" s="186"/>
      <c r="AJ282" s="186"/>
      <c r="AK282" s="186"/>
      <c r="AL282" s="186"/>
      <c r="AM282" s="186"/>
      <c r="AN282" s="186"/>
      <c r="AO282" s="186"/>
      <c r="AP282" s="186"/>
      <c r="AQ282" s="186"/>
      <c r="AR282" s="186"/>
      <c r="AS282" s="186"/>
      <c r="AT282" s="186"/>
      <c r="AU282" s="186"/>
      <c r="AV282" s="186"/>
      <c r="AW282" s="186"/>
      <c r="AX282" s="186"/>
      <c r="AY282" s="186"/>
      <c r="AZ282" s="186"/>
      <c r="BA282" s="186"/>
      <c r="BB282" s="186"/>
      <c r="BC282" s="186"/>
      <c r="BD282" s="186"/>
      <c r="BE282" s="186"/>
      <c r="BF282" s="186"/>
      <c r="BG282" s="186"/>
      <c r="BH282" s="186"/>
      <c r="BI282" s="186"/>
      <c r="BJ282" s="186"/>
      <c r="BK282" s="186"/>
    </row>
    <row r="283" spans="1:63">
      <c r="A283" s="186"/>
      <c r="B283" s="186"/>
      <c r="C283" s="186"/>
      <c r="D283" s="186"/>
      <c r="E283" s="186"/>
      <c r="F283" s="186"/>
      <c r="G283" s="186"/>
      <c r="H283" s="186"/>
      <c r="I283" s="186"/>
      <c r="J283" s="186"/>
      <c r="K283" s="186"/>
      <c r="L283" s="186"/>
      <c r="M283" s="186"/>
      <c r="N283" s="186"/>
      <c r="O283" s="186"/>
      <c r="P283" s="186"/>
      <c r="Q283" s="186"/>
      <c r="R283" s="186"/>
      <c r="S283" s="186"/>
      <c r="T283" s="186"/>
      <c r="U283" s="186"/>
      <c r="V283" s="186"/>
      <c r="W283" s="186"/>
      <c r="X283" s="186"/>
      <c r="Y283" s="186"/>
      <c r="Z283" s="186"/>
      <c r="AA283" s="186"/>
      <c r="AB283" s="186"/>
      <c r="AC283" s="186"/>
      <c r="AD283" s="186"/>
      <c r="AE283" s="186"/>
      <c r="AF283" s="186"/>
      <c r="AG283" s="186"/>
      <c r="AH283" s="186"/>
      <c r="AI283" s="186"/>
      <c r="AJ283" s="186"/>
      <c r="AK283" s="186"/>
      <c r="AL283" s="186"/>
      <c r="AM283" s="186"/>
      <c r="AN283" s="186"/>
      <c r="AO283" s="186"/>
      <c r="AP283" s="186"/>
      <c r="AQ283" s="186"/>
      <c r="AR283" s="186"/>
      <c r="AS283" s="186"/>
      <c r="AT283" s="186"/>
      <c r="AU283" s="186"/>
      <c r="AV283" s="186"/>
      <c r="AW283" s="186"/>
      <c r="AX283" s="186"/>
      <c r="AY283" s="186"/>
      <c r="AZ283" s="186"/>
      <c r="BA283" s="186"/>
      <c r="BB283" s="186"/>
      <c r="BC283" s="186"/>
      <c r="BD283" s="186"/>
      <c r="BE283" s="186"/>
      <c r="BF283" s="186"/>
      <c r="BG283" s="186"/>
      <c r="BH283" s="186"/>
      <c r="BI283" s="186"/>
      <c r="BJ283" s="186"/>
      <c r="BK283" s="186"/>
    </row>
    <row r="284" spans="1:63">
      <c r="A284" s="186"/>
      <c r="B284" s="186"/>
      <c r="C284" s="186"/>
      <c r="D284" s="186"/>
      <c r="E284" s="186"/>
      <c r="F284" s="186"/>
      <c r="G284" s="186"/>
      <c r="H284" s="186"/>
      <c r="I284" s="186"/>
      <c r="J284" s="186"/>
      <c r="K284" s="186"/>
      <c r="L284" s="186"/>
      <c r="M284" s="186"/>
      <c r="N284" s="186"/>
      <c r="O284" s="186"/>
      <c r="P284" s="186"/>
      <c r="Q284" s="186"/>
      <c r="R284" s="186"/>
      <c r="S284" s="186"/>
      <c r="T284" s="186"/>
      <c r="U284" s="186"/>
      <c r="V284" s="186"/>
      <c r="W284" s="186"/>
      <c r="X284" s="186"/>
      <c r="Y284" s="186"/>
      <c r="Z284" s="186"/>
      <c r="AA284" s="186"/>
      <c r="AB284" s="186"/>
      <c r="AC284" s="186"/>
      <c r="AD284" s="186"/>
      <c r="AE284" s="186"/>
      <c r="AF284" s="186"/>
      <c r="AG284" s="186"/>
      <c r="AH284" s="186"/>
      <c r="AI284" s="186"/>
      <c r="AJ284" s="186"/>
      <c r="AK284" s="186"/>
      <c r="AL284" s="186"/>
      <c r="AM284" s="186"/>
      <c r="AN284" s="186"/>
      <c r="AO284" s="186"/>
      <c r="AP284" s="186"/>
      <c r="AQ284" s="186"/>
      <c r="AR284" s="186"/>
      <c r="AS284" s="186"/>
      <c r="AT284" s="186"/>
      <c r="AU284" s="186"/>
      <c r="AV284" s="186"/>
      <c r="AW284" s="186"/>
      <c r="AX284" s="186"/>
      <c r="AY284" s="186"/>
      <c r="AZ284" s="186"/>
      <c r="BA284" s="186"/>
      <c r="BB284" s="186"/>
      <c r="BC284" s="186"/>
      <c r="BD284" s="186"/>
      <c r="BE284" s="186"/>
      <c r="BF284" s="186"/>
      <c r="BG284" s="186"/>
      <c r="BH284" s="186"/>
      <c r="BI284" s="186"/>
      <c r="BJ284" s="186"/>
      <c r="BK284" s="186"/>
    </row>
    <row r="285" spans="1:63">
      <c r="A285" s="186"/>
      <c r="B285" s="186"/>
      <c r="C285" s="186"/>
      <c r="D285" s="186"/>
      <c r="E285" s="186"/>
      <c r="F285" s="186"/>
      <c r="G285" s="186"/>
      <c r="H285" s="186"/>
      <c r="I285" s="186"/>
      <c r="J285" s="186"/>
      <c r="K285" s="186"/>
      <c r="L285" s="186"/>
      <c r="M285" s="186"/>
      <c r="N285" s="186"/>
      <c r="O285" s="186"/>
      <c r="P285" s="186"/>
      <c r="Q285" s="186"/>
      <c r="R285" s="186"/>
      <c r="S285" s="186"/>
      <c r="T285" s="186"/>
      <c r="U285" s="186"/>
      <c r="V285" s="186"/>
      <c r="W285" s="186"/>
      <c r="X285" s="186"/>
      <c r="Y285" s="186"/>
      <c r="Z285" s="186"/>
      <c r="AA285" s="186"/>
      <c r="AB285" s="186"/>
      <c r="AC285" s="186"/>
      <c r="AD285" s="186"/>
      <c r="AE285" s="186"/>
      <c r="AF285" s="186"/>
      <c r="AG285" s="186"/>
      <c r="AH285" s="186"/>
      <c r="AI285" s="186"/>
      <c r="AJ285" s="186"/>
      <c r="AK285" s="186"/>
      <c r="AL285" s="186"/>
      <c r="AM285" s="186"/>
      <c r="AN285" s="186"/>
      <c r="AO285" s="186"/>
      <c r="AP285" s="186"/>
      <c r="AQ285" s="186"/>
      <c r="AR285" s="186"/>
      <c r="AS285" s="186"/>
      <c r="AT285" s="186"/>
      <c r="AU285" s="186"/>
      <c r="AV285" s="186"/>
      <c r="AW285" s="186"/>
      <c r="AX285" s="186"/>
      <c r="AY285" s="186"/>
      <c r="AZ285" s="186"/>
      <c r="BA285" s="186"/>
      <c r="BB285" s="186"/>
      <c r="BC285" s="186"/>
      <c r="BD285" s="186"/>
      <c r="BE285" s="186"/>
      <c r="BF285" s="186"/>
      <c r="BG285" s="186"/>
      <c r="BH285" s="186"/>
      <c r="BI285" s="186"/>
      <c r="BJ285" s="186"/>
      <c r="BK285" s="186"/>
    </row>
    <row r="286" spans="1:63">
      <c r="A286" s="186"/>
      <c r="B286" s="186"/>
      <c r="C286" s="186"/>
      <c r="D286" s="186"/>
      <c r="E286" s="186"/>
      <c r="F286" s="186"/>
      <c r="G286" s="186"/>
      <c r="H286" s="186"/>
      <c r="I286" s="186"/>
      <c r="J286" s="186"/>
      <c r="K286" s="186"/>
      <c r="L286" s="186"/>
      <c r="M286" s="186"/>
      <c r="N286" s="186"/>
      <c r="O286" s="186"/>
      <c r="P286" s="186"/>
      <c r="Q286" s="186"/>
      <c r="R286" s="186"/>
      <c r="S286" s="186"/>
      <c r="T286" s="186"/>
      <c r="U286" s="186"/>
      <c r="V286" s="186"/>
      <c r="W286" s="186"/>
      <c r="X286" s="186"/>
      <c r="Y286" s="186"/>
      <c r="Z286" s="186"/>
      <c r="AA286" s="186"/>
      <c r="AB286" s="186"/>
      <c r="AC286" s="186"/>
      <c r="AD286" s="186"/>
      <c r="AE286" s="186"/>
      <c r="AF286" s="186"/>
      <c r="AG286" s="186"/>
      <c r="AH286" s="186"/>
      <c r="AI286" s="186"/>
      <c r="AJ286" s="186"/>
      <c r="AK286" s="186"/>
      <c r="AL286" s="186"/>
      <c r="AM286" s="186"/>
      <c r="AN286" s="186"/>
      <c r="AO286" s="186"/>
      <c r="AP286" s="186"/>
      <c r="AQ286" s="186"/>
      <c r="AR286" s="186"/>
      <c r="AS286" s="186"/>
      <c r="AT286" s="186"/>
      <c r="AU286" s="186"/>
      <c r="AV286" s="186"/>
      <c r="AW286" s="186"/>
      <c r="AX286" s="186"/>
      <c r="AY286" s="186"/>
      <c r="AZ286" s="186"/>
      <c r="BA286" s="186"/>
      <c r="BB286" s="186"/>
      <c r="BC286" s="186"/>
      <c r="BD286" s="186"/>
      <c r="BE286" s="186"/>
      <c r="BF286" s="186"/>
      <c r="BG286" s="186"/>
      <c r="BH286" s="186"/>
      <c r="BI286" s="186"/>
      <c r="BJ286" s="186"/>
      <c r="BK286" s="186"/>
    </row>
    <row r="287" spans="1:63">
      <c r="A287" s="186"/>
      <c r="B287" s="186"/>
      <c r="C287" s="186"/>
      <c r="D287" s="186"/>
      <c r="E287" s="186"/>
      <c r="F287" s="186"/>
      <c r="G287" s="186"/>
      <c r="H287" s="186"/>
      <c r="I287" s="186"/>
      <c r="J287" s="186"/>
      <c r="K287" s="186"/>
      <c r="L287" s="186"/>
      <c r="M287" s="186"/>
      <c r="N287" s="186"/>
      <c r="O287" s="186"/>
      <c r="P287" s="186"/>
      <c r="Q287" s="186"/>
      <c r="R287" s="186"/>
      <c r="S287" s="186"/>
      <c r="T287" s="186"/>
      <c r="U287" s="186"/>
      <c r="V287" s="186"/>
      <c r="W287" s="186"/>
      <c r="X287" s="186"/>
      <c r="Y287" s="186"/>
      <c r="Z287" s="186"/>
      <c r="AA287" s="186"/>
      <c r="AB287" s="186"/>
      <c r="AC287" s="186"/>
      <c r="AD287" s="186"/>
      <c r="AE287" s="186"/>
      <c r="AF287" s="186"/>
      <c r="AG287" s="186"/>
      <c r="AH287" s="186"/>
      <c r="AI287" s="186"/>
      <c r="AJ287" s="186"/>
      <c r="AK287" s="186"/>
      <c r="AL287" s="186"/>
      <c r="AM287" s="186"/>
      <c r="AN287" s="186"/>
      <c r="AO287" s="186"/>
      <c r="AP287" s="186"/>
      <c r="AQ287" s="186"/>
      <c r="AR287" s="186"/>
      <c r="AS287" s="186"/>
      <c r="AT287" s="186"/>
      <c r="AU287" s="186"/>
      <c r="AV287" s="186"/>
      <c r="AW287" s="186"/>
      <c r="AX287" s="186"/>
      <c r="AY287" s="186"/>
      <c r="AZ287" s="186"/>
      <c r="BA287" s="186"/>
      <c r="BB287" s="186"/>
      <c r="BC287" s="186"/>
      <c r="BD287" s="186"/>
      <c r="BE287" s="186"/>
      <c r="BF287" s="186"/>
      <c r="BG287" s="186"/>
      <c r="BH287" s="186"/>
      <c r="BI287" s="186"/>
      <c r="BJ287" s="186"/>
      <c r="BK287" s="186"/>
    </row>
    <row r="288" spans="1:63">
      <c r="A288" s="186"/>
      <c r="B288" s="186"/>
      <c r="C288" s="186"/>
      <c r="D288" s="186"/>
      <c r="E288" s="186"/>
      <c r="F288" s="186"/>
      <c r="G288" s="186"/>
      <c r="H288" s="186"/>
      <c r="I288" s="186"/>
      <c r="J288" s="186"/>
      <c r="K288" s="186"/>
      <c r="L288" s="186"/>
      <c r="M288" s="186"/>
      <c r="N288" s="186"/>
      <c r="O288" s="186"/>
      <c r="P288" s="186"/>
      <c r="Q288" s="186"/>
      <c r="R288" s="186"/>
      <c r="S288" s="186"/>
      <c r="T288" s="186"/>
      <c r="U288" s="186"/>
      <c r="V288" s="186"/>
      <c r="W288" s="186"/>
      <c r="X288" s="186"/>
      <c r="Y288" s="186"/>
      <c r="Z288" s="186"/>
      <c r="AA288" s="186"/>
      <c r="AB288" s="186"/>
      <c r="AC288" s="186"/>
      <c r="AD288" s="186"/>
      <c r="AE288" s="186"/>
      <c r="AF288" s="186"/>
      <c r="AG288" s="186"/>
      <c r="AH288" s="186"/>
      <c r="AI288" s="186"/>
      <c r="AJ288" s="186"/>
      <c r="AK288" s="186"/>
      <c r="AL288" s="186"/>
      <c r="AM288" s="186"/>
      <c r="AN288" s="186"/>
      <c r="AO288" s="186"/>
      <c r="AP288" s="186"/>
      <c r="AQ288" s="186"/>
      <c r="AR288" s="186"/>
      <c r="AS288" s="186"/>
      <c r="AT288" s="186"/>
      <c r="AU288" s="186"/>
      <c r="AV288" s="186"/>
      <c r="AW288" s="186"/>
      <c r="AX288" s="186"/>
      <c r="AY288" s="186"/>
      <c r="AZ288" s="186"/>
      <c r="BA288" s="186"/>
      <c r="BB288" s="186"/>
      <c r="BC288" s="186"/>
      <c r="BD288" s="186"/>
      <c r="BE288" s="186"/>
      <c r="BF288" s="186"/>
      <c r="BG288" s="186"/>
      <c r="BH288" s="186"/>
      <c r="BI288" s="186"/>
      <c r="BJ288" s="186"/>
      <c r="BK288" s="186"/>
    </row>
    <row r="289" spans="1:63">
      <c r="A289" s="186"/>
      <c r="B289" s="186"/>
      <c r="C289" s="186"/>
      <c r="D289" s="186"/>
      <c r="E289" s="186"/>
      <c r="F289" s="186"/>
      <c r="G289" s="186"/>
      <c r="H289" s="186"/>
      <c r="I289" s="186"/>
      <c r="J289" s="186"/>
      <c r="K289" s="186"/>
      <c r="L289" s="186"/>
      <c r="M289" s="186"/>
      <c r="N289" s="186"/>
      <c r="O289" s="186"/>
      <c r="P289" s="186"/>
      <c r="Q289" s="186"/>
      <c r="R289" s="186"/>
      <c r="S289" s="186"/>
      <c r="T289" s="186"/>
      <c r="U289" s="186"/>
      <c r="V289" s="186"/>
      <c r="W289" s="186"/>
      <c r="X289" s="186"/>
      <c r="Y289" s="186"/>
      <c r="Z289" s="186"/>
      <c r="AA289" s="186"/>
      <c r="AB289" s="186"/>
      <c r="AC289" s="186"/>
      <c r="AD289" s="186"/>
      <c r="AE289" s="186"/>
      <c r="AF289" s="186"/>
      <c r="AG289" s="186"/>
      <c r="AH289" s="186"/>
      <c r="AI289" s="186"/>
      <c r="AJ289" s="186"/>
      <c r="AK289" s="186"/>
      <c r="AL289" s="186"/>
      <c r="AM289" s="186"/>
      <c r="AN289" s="186"/>
      <c r="AO289" s="186"/>
      <c r="AP289" s="186"/>
      <c r="AQ289" s="186"/>
      <c r="AR289" s="186"/>
      <c r="AS289" s="186"/>
      <c r="AT289" s="186"/>
      <c r="AU289" s="186"/>
      <c r="AV289" s="186"/>
      <c r="AW289" s="186"/>
      <c r="AX289" s="186"/>
      <c r="AY289" s="186"/>
      <c r="AZ289" s="186"/>
      <c r="BA289" s="186"/>
      <c r="BB289" s="186"/>
      <c r="BC289" s="186"/>
      <c r="BD289" s="186"/>
      <c r="BE289" s="186"/>
      <c r="BF289" s="186"/>
      <c r="BG289" s="186"/>
      <c r="BH289" s="186"/>
      <c r="BI289" s="186"/>
      <c r="BJ289" s="186"/>
      <c r="BK289" s="186"/>
    </row>
    <row r="290" spans="1:63">
      <c r="A290" s="186"/>
      <c r="B290" s="186"/>
      <c r="C290" s="186"/>
      <c r="D290" s="186"/>
      <c r="E290" s="186"/>
      <c r="F290" s="186"/>
      <c r="G290" s="186"/>
      <c r="H290" s="186"/>
      <c r="I290" s="186"/>
      <c r="J290" s="186"/>
      <c r="K290" s="186"/>
      <c r="L290" s="186"/>
      <c r="M290" s="186"/>
      <c r="N290" s="186"/>
      <c r="O290" s="186"/>
      <c r="P290" s="186"/>
      <c r="Q290" s="186"/>
      <c r="R290" s="186"/>
      <c r="S290" s="186"/>
      <c r="T290" s="186"/>
      <c r="U290" s="186"/>
      <c r="V290" s="186"/>
      <c r="W290" s="186"/>
      <c r="X290" s="186"/>
      <c r="Y290" s="186"/>
      <c r="Z290" s="186"/>
      <c r="AA290" s="186"/>
      <c r="AB290" s="186"/>
      <c r="AC290" s="186"/>
      <c r="AD290" s="186"/>
      <c r="AE290" s="186"/>
      <c r="AF290" s="186"/>
      <c r="AG290" s="186"/>
      <c r="AH290" s="186"/>
      <c r="AI290" s="186"/>
      <c r="AJ290" s="186"/>
      <c r="AK290" s="186"/>
      <c r="AL290" s="186"/>
      <c r="AM290" s="186"/>
      <c r="AN290" s="186"/>
      <c r="AO290" s="186"/>
      <c r="AP290" s="186"/>
      <c r="AQ290" s="186"/>
      <c r="AR290" s="186"/>
      <c r="AS290" s="186"/>
      <c r="AT290" s="186"/>
      <c r="AU290" s="186"/>
      <c r="AV290" s="186"/>
      <c r="AW290" s="186"/>
      <c r="AX290" s="186"/>
      <c r="AY290" s="186"/>
      <c r="AZ290" s="186"/>
      <c r="BA290" s="186"/>
      <c r="BB290" s="186"/>
      <c r="BC290" s="186"/>
      <c r="BD290" s="186"/>
      <c r="BE290" s="186"/>
      <c r="BF290" s="186"/>
      <c r="BG290" s="186"/>
      <c r="BH290" s="186"/>
      <c r="BI290" s="186"/>
      <c r="BJ290" s="186"/>
      <c r="BK290" s="186"/>
    </row>
    <row r="291" spans="1:63">
      <c r="A291" s="186"/>
      <c r="B291" s="186"/>
      <c r="C291" s="186"/>
      <c r="D291" s="186"/>
      <c r="E291" s="186"/>
      <c r="F291" s="186"/>
      <c r="G291" s="186"/>
      <c r="H291" s="186"/>
      <c r="I291" s="186"/>
      <c r="J291" s="186"/>
      <c r="K291" s="186"/>
      <c r="L291" s="186"/>
      <c r="M291" s="186"/>
      <c r="N291" s="186"/>
      <c r="O291" s="186"/>
      <c r="P291" s="186"/>
      <c r="Q291" s="186"/>
      <c r="R291" s="186"/>
      <c r="S291" s="186"/>
      <c r="T291" s="186"/>
      <c r="U291" s="186"/>
      <c r="V291" s="186"/>
      <c r="W291" s="186"/>
      <c r="X291" s="186"/>
      <c r="Y291" s="186"/>
      <c r="Z291" s="186"/>
      <c r="AA291" s="186"/>
      <c r="AB291" s="186"/>
      <c r="AC291" s="186"/>
      <c r="AD291" s="186"/>
      <c r="AE291" s="186"/>
      <c r="AF291" s="186"/>
      <c r="AG291" s="186"/>
      <c r="AH291" s="186"/>
      <c r="AI291" s="186"/>
      <c r="AJ291" s="186"/>
      <c r="AK291" s="186"/>
      <c r="AL291" s="186"/>
      <c r="AM291" s="186"/>
      <c r="AN291" s="186"/>
      <c r="AO291" s="186"/>
      <c r="AP291" s="186"/>
      <c r="AQ291" s="186"/>
      <c r="AR291" s="186"/>
      <c r="AS291" s="186"/>
      <c r="AT291" s="186"/>
      <c r="AU291" s="186"/>
      <c r="AV291" s="186"/>
      <c r="AW291" s="186"/>
      <c r="AX291" s="186"/>
      <c r="AY291" s="186"/>
      <c r="AZ291" s="186"/>
      <c r="BA291" s="186"/>
      <c r="BB291" s="186"/>
      <c r="BC291" s="186"/>
      <c r="BD291" s="186"/>
      <c r="BE291" s="186"/>
      <c r="BF291" s="186"/>
      <c r="BG291" s="186"/>
      <c r="BH291" s="186"/>
      <c r="BI291" s="186"/>
      <c r="BJ291" s="186"/>
      <c r="BK291" s="186"/>
    </row>
    <row r="292" spans="1:63">
      <c r="A292" s="186"/>
      <c r="B292" s="186"/>
      <c r="C292" s="186"/>
      <c r="D292" s="186"/>
      <c r="E292" s="186"/>
      <c r="F292" s="186"/>
      <c r="G292" s="186"/>
      <c r="H292" s="186"/>
      <c r="I292" s="186"/>
      <c r="J292" s="186"/>
      <c r="K292" s="186"/>
      <c r="L292" s="186"/>
      <c r="M292" s="186"/>
      <c r="N292" s="186"/>
      <c r="O292" s="186"/>
      <c r="P292" s="186"/>
      <c r="Q292" s="186"/>
      <c r="R292" s="186"/>
      <c r="S292" s="186"/>
      <c r="T292" s="186"/>
      <c r="U292" s="186"/>
      <c r="V292" s="186"/>
      <c r="W292" s="186"/>
      <c r="X292" s="186"/>
      <c r="Y292" s="186"/>
      <c r="Z292" s="186"/>
      <c r="AA292" s="186"/>
      <c r="AB292" s="186"/>
      <c r="AC292" s="186"/>
      <c r="AD292" s="186"/>
      <c r="AE292" s="186"/>
      <c r="AF292" s="186"/>
      <c r="AG292" s="186"/>
      <c r="AH292" s="186"/>
      <c r="AI292" s="186"/>
      <c r="AJ292" s="186"/>
      <c r="AK292" s="186"/>
      <c r="AL292" s="186"/>
      <c r="AM292" s="186"/>
      <c r="AN292" s="186"/>
      <c r="AO292" s="186"/>
      <c r="AP292" s="186"/>
      <c r="AQ292" s="186"/>
      <c r="AR292" s="186"/>
      <c r="AS292" s="186"/>
      <c r="AT292" s="186"/>
      <c r="AU292" s="186"/>
      <c r="AV292" s="186"/>
      <c r="AW292" s="186"/>
      <c r="AX292" s="186"/>
      <c r="AY292" s="186"/>
      <c r="AZ292" s="186"/>
      <c r="BA292" s="186"/>
      <c r="BB292" s="186"/>
      <c r="BC292" s="186"/>
      <c r="BD292" s="186"/>
      <c r="BE292" s="186"/>
      <c r="BF292" s="186"/>
      <c r="BG292" s="186"/>
      <c r="BH292" s="186"/>
      <c r="BI292" s="186"/>
      <c r="BJ292" s="186"/>
      <c r="BK292" s="186"/>
    </row>
    <row r="293" spans="1:63">
      <c r="A293" s="186"/>
      <c r="B293" s="186"/>
      <c r="C293" s="186"/>
      <c r="D293" s="186"/>
      <c r="E293" s="186"/>
      <c r="F293" s="186"/>
      <c r="G293" s="186"/>
      <c r="H293" s="186"/>
      <c r="I293" s="186"/>
      <c r="J293" s="186"/>
      <c r="K293" s="186"/>
      <c r="L293" s="186"/>
      <c r="M293" s="186"/>
      <c r="N293" s="186"/>
      <c r="O293" s="186"/>
      <c r="P293" s="186"/>
      <c r="Q293" s="186"/>
      <c r="R293" s="186"/>
      <c r="S293" s="186"/>
      <c r="T293" s="186"/>
      <c r="U293" s="186"/>
      <c r="V293" s="186"/>
      <c r="W293" s="186"/>
      <c r="X293" s="186"/>
      <c r="Y293" s="186"/>
      <c r="Z293" s="186"/>
      <c r="AA293" s="186"/>
      <c r="AB293" s="186"/>
      <c r="AC293" s="186"/>
      <c r="AD293" s="186"/>
      <c r="AE293" s="186"/>
      <c r="AF293" s="186"/>
      <c r="AG293" s="186"/>
      <c r="AH293" s="186"/>
      <c r="AI293" s="186"/>
      <c r="AJ293" s="186"/>
      <c r="AK293" s="186"/>
      <c r="AL293" s="186"/>
      <c r="AM293" s="186"/>
      <c r="AN293" s="186"/>
      <c r="AO293" s="186"/>
      <c r="AP293" s="186"/>
      <c r="AQ293" s="186"/>
      <c r="AR293" s="186"/>
      <c r="AS293" s="186"/>
      <c r="AT293" s="186"/>
      <c r="AU293" s="186"/>
      <c r="AV293" s="186"/>
      <c r="AW293" s="186"/>
      <c r="AX293" s="186"/>
      <c r="AY293" s="186"/>
      <c r="AZ293" s="186"/>
      <c r="BA293" s="186"/>
      <c r="BB293" s="186"/>
      <c r="BC293" s="186"/>
      <c r="BD293" s="186"/>
      <c r="BE293" s="186"/>
      <c r="BF293" s="186"/>
      <c r="BG293" s="186"/>
      <c r="BH293" s="186"/>
      <c r="BI293" s="186"/>
      <c r="BJ293" s="186"/>
      <c r="BK293" s="186"/>
    </row>
    <row r="294" spans="1:63">
      <c r="A294" s="186"/>
      <c r="B294" s="186"/>
      <c r="C294" s="186"/>
      <c r="D294" s="186"/>
      <c r="E294" s="186"/>
      <c r="F294" s="186"/>
      <c r="G294" s="186"/>
      <c r="H294" s="186"/>
      <c r="I294" s="186"/>
      <c r="J294" s="186"/>
      <c r="K294" s="186"/>
      <c r="L294" s="186"/>
      <c r="M294" s="186"/>
      <c r="N294" s="186"/>
      <c r="O294" s="186"/>
      <c r="P294" s="186"/>
      <c r="Q294" s="186"/>
      <c r="R294" s="186"/>
      <c r="S294" s="186"/>
      <c r="T294" s="186"/>
      <c r="U294" s="186"/>
      <c r="V294" s="186"/>
      <c r="W294" s="186"/>
      <c r="X294" s="186"/>
      <c r="Y294" s="186"/>
      <c r="Z294" s="186"/>
      <c r="AA294" s="186"/>
      <c r="AB294" s="186"/>
      <c r="AC294" s="186"/>
      <c r="AD294" s="186"/>
      <c r="AE294" s="186"/>
      <c r="AF294" s="186"/>
      <c r="AG294" s="186"/>
      <c r="AH294" s="186"/>
      <c r="AI294" s="186"/>
      <c r="AJ294" s="186"/>
      <c r="AK294" s="186"/>
      <c r="AL294" s="186"/>
      <c r="AM294" s="186"/>
      <c r="AN294" s="186"/>
      <c r="AO294" s="186"/>
      <c r="AP294" s="186"/>
      <c r="AQ294" s="186"/>
      <c r="AR294" s="186"/>
      <c r="AS294" s="186"/>
      <c r="AT294" s="186"/>
      <c r="AU294" s="186"/>
      <c r="AV294" s="186"/>
      <c r="AW294" s="186"/>
      <c r="AX294" s="186"/>
      <c r="AY294" s="186"/>
      <c r="AZ294" s="186"/>
      <c r="BA294" s="186"/>
      <c r="BB294" s="186"/>
      <c r="BC294" s="186"/>
      <c r="BD294" s="186"/>
      <c r="BE294" s="186"/>
      <c r="BF294" s="186"/>
      <c r="BG294" s="186"/>
      <c r="BH294" s="186"/>
      <c r="BI294" s="186"/>
      <c r="BJ294" s="186"/>
      <c r="BK294" s="186"/>
    </row>
    <row r="295" spans="1:63">
      <c r="A295" s="186"/>
      <c r="B295" s="186"/>
      <c r="C295" s="186"/>
      <c r="D295" s="186"/>
      <c r="E295" s="186"/>
      <c r="F295" s="186"/>
      <c r="G295" s="186"/>
      <c r="H295" s="186"/>
      <c r="I295" s="186"/>
      <c r="J295" s="186"/>
      <c r="K295" s="186"/>
      <c r="L295" s="186"/>
      <c r="M295" s="186"/>
      <c r="N295" s="186"/>
      <c r="O295" s="186"/>
      <c r="P295" s="186"/>
      <c r="Q295" s="186"/>
      <c r="R295" s="186"/>
      <c r="S295" s="186"/>
      <c r="T295" s="186"/>
      <c r="U295" s="186"/>
      <c r="V295" s="186"/>
      <c r="W295" s="186"/>
      <c r="X295" s="186"/>
      <c r="Y295" s="186"/>
      <c r="Z295" s="186"/>
      <c r="AA295" s="186"/>
      <c r="AB295" s="186"/>
      <c r="AC295" s="186"/>
      <c r="AD295" s="186"/>
      <c r="AE295" s="186"/>
      <c r="AF295" s="186"/>
      <c r="AG295" s="186"/>
      <c r="AH295" s="186"/>
      <c r="AI295" s="186"/>
      <c r="AJ295" s="186"/>
      <c r="AK295" s="186"/>
      <c r="AL295" s="186"/>
      <c r="AM295" s="186"/>
      <c r="AN295" s="186"/>
      <c r="AO295" s="186"/>
      <c r="AP295" s="186"/>
      <c r="AQ295" s="186"/>
      <c r="AR295" s="186"/>
      <c r="AS295" s="186"/>
      <c r="AT295" s="186"/>
      <c r="AU295" s="186"/>
      <c r="AV295" s="186"/>
      <c r="AW295" s="186"/>
      <c r="AX295" s="186"/>
      <c r="AY295" s="186"/>
      <c r="AZ295" s="186"/>
      <c r="BA295" s="186"/>
      <c r="BB295" s="186"/>
      <c r="BC295" s="186"/>
      <c r="BD295" s="186"/>
      <c r="BE295" s="186"/>
      <c r="BF295" s="186"/>
      <c r="BG295" s="186"/>
      <c r="BH295" s="186"/>
      <c r="BI295" s="186"/>
      <c r="BJ295" s="186"/>
      <c r="BK295" s="186"/>
    </row>
    <row r="296" spans="1:63">
      <c r="A296" s="186"/>
      <c r="B296" s="186"/>
      <c r="C296" s="186"/>
      <c r="D296" s="186"/>
      <c r="E296" s="186"/>
      <c r="F296" s="186"/>
      <c r="G296" s="186"/>
      <c r="H296" s="186"/>
      <c r="I296" s="186"/>
      <c r="J296" s="186"/>
      <c r="K296" s="186"/>
      <c r="L296" s="186"/>
      <c r="M296" s="186"/>
      <c r="N296" s="186"/>
      <c r="O296" s="186"/>
      <c r="P296" s="186"/>
      <c r="Q296" s="186"/>
      <c r="R296" s="186"/>
      <c r="S296" s="186"/>
      <c r="T296" s="186"/>
      <c r="U296" s="186"/>
      <c r="V296" s="186"/>
      <c r="W296" s="186"/>
      <c r="X296" s="186"/>
      <c r="Y296" s="186"/>
      <c r="Z296" s="186"/>
      <c r="AA296" s="186"/>
      <c r="AB296" s="186"/>
      <c r="AC296" s="186"/>
      <c r="AD296" s="186"/>
      <c r="AE296" s="186"/>
      <c r="AF296" s="186"/>
      <c r="AG296" s="186"/>
      <c r="AH296" s="186"/>
      <c r="AI296" s="186"/>
      <c r="AJ296" s="186"/>
      <c r="AK296" s="186"/>
      <c r="AL296" s="186"/>
      <c r="AM296" s="186"/>
      <c r="AN296" s="186"/>
      <c r="AO296" s="186"/>
      <c r="AP296" s="186"/>
      <c r="AQ296" s="186"/>
      <c r="AR296" s="186"/>
      <c r="AS296" s="186"/>
      <c r="AT296" s="186"/>
      <c r="AU296" s="186"/>
      <c r="AV296" s="186"/>
      <c r="AW296" s="186"/>
      <c r="AX296" s="186"/>
      <c r="AY296" s="186"/>
      <c r="AZ296" s="186"/>
      <c r="BA296" s="186"/>
      <c r="BB296" s="186"/>
      <c r="BC296" s="186"/>
      <c r="BD296" s="186"/>
      <c r="BE296" s="186"/>
      <c r="BF296" s="186"/>
      <c r="BG296" s="186"/>
      <c r="BH296" s="186"/>
      <c r="BI296" s="186"/>
      <c r="BJ296" s="186"/>
      <c r="BK296" s="186"/>
    </row>
    <row r="297" spans="1:63">
      <c r="A297" s="186"/>
      <c r="B297" s="186"/>
      <c r="C297" s="186"/>
      <c r="D297" s="186"/>
      <c r="E297" s="186"/>
      <c r="F297" s="186"/>
      <c r="G297" s="186"/>
      <c r="H297" s="186"/>
      <c r="I297" s="186"/>
      <c r="J297" s="186"/>
      <c r="K297" s="186"/>
      <c r="L297" s="186"/>
      <c r="M297" s="186"/>
      <c r="N297" s="186"/>
      <c r="O297" s="186"/>
      <c r="P297" s="186"/>
      <c r="Q297" s="186"/>
      <c r="R297" s="186"/>
      <c r="S297" s="186"/>
      <c r="T297" s="186"/>
      <c r="U297" s="186"/>
      <c r="V297" s="186"/>
      <c r="W297" s="186"/>
      <c r="X297" s="186"/>
      <c r="Y297" s="186"/>
      <c r="Z297" s="186"/>
      <c r="AA297" s="186"/>
      <c r="AB297" s="186"/>
      <c r="AC297" s="186"/>
      <c r="AD297" s="186"/>
      <c r="AE297" s="186"/>
      <c r="AF297" s="186"/>
      <c r="AG297" s="186"/>
      <c r="AH297" s="186"/>
      <c r="AI297" s="186"/>
      <c r="AJ297" s="186"/>
      <c r="AK297" s="186"/>
      <c r="AL297" s="186"/>
      <c r="AM297" s="186"/>
      <c r="AN297" s="186"/>
      <c r="AO297" s="186"/>
      <c r="AP297" s="186"/>
      <c r="AQ297" s="186"/>
      <c r="AR297" s="186"/>
      <c r="AS297" s="186"/>
      <c r="AT297" s="186"/>
      <c r="AU297" s="186"/>
      <c r="AV297" s="186"/>
      <c r="AW297" s="186"/>
      <c r="AX297" s="186"/>
      <c r="AY297" s="186"/>
      <c r="AZ297" s="186"/>
      <c r="BA297" s="186"/>
      <c r="BB297" s="186"/>
      <c r="BC297" s="186"/>
      <c r="BD297" s="186"/>
      <c r="BE297" s="186"/>
      <c r="BF297" s="186"/>
      <c r="BG297" s="186"/>
      <c r="BH297" s="186"/>
      <c r="BI297" s="186"/>
      <c r="BJ297" s="186"/>
      <c r="BK297" s="186"/>
    </row>
    <row r="298" spans="1:63">
      <c r="A298" s="186"/>
      <c r="B298" s="186"/>
      <c r="C298" s="186"/>
      <c r="D298" s="186"/>
      <c r="E298" s="186"/>
      <c r="F298" s="186"/>
      <c r="G298" s="186"/>
      <c r="H298" s="186"/>
      <c r="I298" s="186"/>
      <c r="J298" s="186"/>
      <c r="K298" s="186"/>
      <c r="L298" s="186"/>
      <c r="M298" s="186"/>
      <c r="N298" s="186"/>
      <c r="O298" s="186"/>
      <c r="P298" s="186"/>
      <c r="Q298" s="186"/>
      <c r="R298" s="186"/>
      <c r="S298" s="186"/>
      <c r="T298" s="186"/>
      <c r="U298" s="186"/>
      <c r="V298" s="186"/>
      <c r="W298" s="186"/>
      <c r="X298" s="186"/>
      <c r="Y298" s="186"/>
      <c r="Z298" s="186"/>
      <c r="AA298" s="186"/>
      <c r="AB298" s="186"/>
      <c r="AC298" s="186"/>
      <c r="AD298" s="186"/>
      <c r="AE298" s="186"/>
      <c r="AF298" s="186"/>
      <c r="AG298" s="186"/>
      <c r="AH298" s="186"/>
      <c r="AI298" s="186"/>
      <c r="AJ298" s="186"/>
      <c r="AK298" s="186"/>
      <c r="AL298" s="186"/>
      <c r="AM298" s="186"/>
      <c r="AN298" s="186"/>
      <c r="AO298" s="186"/>
      <c r="AP298" s="186"/>
      <c r="AQ298" s="186"/>
      <c r="AR298" s="186"/>
      <c r="AS298" s="186"/>
      <c r="AT298" s="186"/>
      <c r="AU298" s="186"/>
      <c r="AV298" s="186"/>
      <c r="AW298" s="186"/>
      <c r="AX298" s="186"/>
      <c r="AY298" s="186"/>
      <c r="AZ298" s="186"/>
      <c r="BA298" s="186"/>
      <c r="BB298" s="186"/>
      <c r="BC298" s="186"/>
      <c r="BD298" s="186"/>
      <c r="BE298" s="186"/>
      <c r="BF298" s="186"/>
      <c r="BG298" s="186"/>
      <c r="BH298" s="186"/>
      <c r="BI298" s="186"/>
      <c r="BJ298" s="186"/>
      <c r="BK298" s="186"/>
    </row>
    <row r="299" spans="1:63">
      <c r="A299" s="186"/>
      <c r="B299" s="186"/>
      <c r="C299" s="186"/>
      <c r="D299" s="186"/>
      <c r="E299" s="186"/>
      <c r="F299" s="186"/>
      <c r="G299" s="186"/>
      <c r="H299" s="186"/>
      <c r="I299" s="186"/>
      <c r="J299" s="186"/>
      <c r="K299" s="186"/>
      <c r="L299" s="186"/>
      <c r="M299" s="186"/>
      <c r="N299" s="186"/>
      <c r="O299" s="186"/>
      <c r="P299" s="186"/>
      <c r="Q299" s="186"/>
      <c r="R299" s="186"/>
      <c r="S299" s="186"/>
      <c r="T299" s="186"/>
      <c r="U299" s="186"/>
      <c r="V299" s="186"/>
      <c r="W299" s="186"/>
      <c r="X299" s="186"/>
      <c r="Y299" s="186"/>
      <c r="Z299" s="186"/>
      <c r="AA299" s="186"/>
      <c r="AB299" s="186"/>
      <c r="AC299" s="186"/>
      <c r="AD299" s="186"/>
      <c r="AE299" s="186"/>
      <c r="AF299" s="186"/>
      <c r="AG299" s="186"/>
      <c r="AH299" s="186"/>
      <c r="AI299" s="186"/>
      <c r="AJ299" s="186"/>
      <c r="AK299" s="186"/>
      <c r="AL299" s="186"/>
      <c r="AM299" s="186"/>
      <c r="AN299" s="186"/>
      <c r="AO299" s="186"/>
      <c r="AP299" s="186"/>
      <c r="AQ299" s="186"/>
      <c r="AR299" s="186"/>
      <c r="AS299" s="186"/>
      <c r="AT299" s="186"/>
      <c r="AU299" s="186"/>
      <c r="AV299" s="186"/>
      <c r="AW299" s="186"/>
      <c r="AX299" s="186"/>
      <c r="AY299" s="186"/>
      <c r="AZ299" s="186"/>
      <c r="BA299" s="186"/>
      <c r="BB299" s="186"/>
      <c r="BC299" s="186"/>
      <c r="BD299" s="186"/>
      <c r="BE299" s="186"/>
      <c r="BF299" s="186"/>
      <c r="BG299" s="186"/>
      <c r="BH299" s="186"/>
      <c r="BI299" s="186"/>
      <c r="BJ299" s="186"/>
      <c r="BK299" s="186"/>
    </row>
    <row r="300" spans="1:63">
      <c r="A300" s="186"/>
      <c r="B300" s="186"/>
      <c r="C300" s="186"/>
      <c r="D300" s="186"/>
      <c r="E300" s="186"/>
      <c r="F300" s="186"/>
      <c r="G300" s="186"/>
      <c r="H300" s="186"/>
      <c r="I300" s="186"/>
      <c r="J300" s="186"/>
      <c r="K300" s="186"/>
      <c r="L300" s="186"/>
      <c r="M300" s="186"/>
      <c r="N300" s="186"/>
      <c r="O300" s="186"/>
      <c r="P300" s="186"/>
      <c r="Q300" s="186"/>
      <c r="R300" s="186"/>
      <c r="S300" s="186"/>
      <c r="T300" s="186"/>
      <c r="U300" s="186"/>
      <c r="V300" s="186"/>
      <c r="W300" s="186"/>
      <c r="X300" s="186"/>
      <c r="Y300" s="186"/>
      <c r="Z300" s="186"/>
      <c r="AA300" s="186"/>
      <c r="AB300" s="186"/>
      <c r="AC300" s="186"/>
      <c r="AD300" s="186"/>
      <c r="AE300" s="186"/>
      <c r="AF300" s="186"/>
      <c r="AG300" s="186"/>
      <c r="AH300" s="186"/>
      <c r="AI300" s="186"/>
      <c r="AJ300" s="186"/>
      <c r="AK300" s="186"/>
      <c r="AL300" s="186"/>
      <c r="AM300" s="186"/>
      <c r="AN300" s="186"/>
      <c r="AO300" s="186"/>
      <c r="AP300" s="186"/>
      <c r="AQ300" s="186"/>
      <c r="AR300" s="186"/>
      <c r="AS300" s="186"/>
      <c r="AT300" s="186"/>
      <c r="AU300" s="186"/>
      <c r="AV300" s="186"/>
      <c r="AW300" s="186"/>
      <c r="AX300" s="186"/>
      <c r="AY300" s="186"/>
      <c r="AZ300" s="186"/>
      <c r="BA300" s="186"/>
      <c r="BB300" s="186"/>
      <c r="BC300" s="186"/>
      <c r="BD300" s="186"/>
      <c r="BE300" s="186"/>
      <c r="BF300" s="186"/>
      <c r="BG300" s="186"/>
      <c r="BH300" s="186"/>
      <c r="BI300" s="186"/>
      <c r="BJ300" s="186"/>
      <c r="BK300" s="186"/>
    </row>
    <row r="301" spans="1:63">
      <c r="A301" s="186"/>
      <c r="B301" s="186"/>
      <c r="C301" s="186"/>
      <c r="D301" s="186"/>
      <c r="E301" s="186"/>
      <c r="F301" s="186"/>
      <c r="G301" s="186"/>
      <c r="H301" s="186"/>
      <c r="I301" s="186"/>
      <c r="J301" s="186"/>
      <c r="K301" s="186"/>
      <c r="L301" s="186"/>
      <c r="M301" s="186"/>
      <c r="N301" s="186"/>
      <c r="O301" s="186"/>
      <c r="P301" s="186"/>
      <c r="Q301" s="186"/>
      <c r="R301" s="186"/>
      <c r="S301" s="186"/>
      <c r="T301" s="186"/>
      <c r="U301" s="186"/>
      <c r="V301" s="186"/>
      <c r="W301" s="186"/>
      <c r="X301" s="186"/>
      <c r="Y301" s="186"/>
      <c r="Z301" s="186"/>
      <c r="AA301" s="186"/>
      <c r="AB301" s="186"/>
      <c r="AC301" s="186"/>
      <c r="AD301" s="186"/>
      <c r="AE301" s="186"/>
      <c r="AF301" s="186"/>
      <c r="AG301" s="186"/>
      <c r="AH301" s="186"/>
      <c r="AI301" s="186"/>
      <c r="AJ301" s="186"/>
      <c r="AK301" s="186"/>
      <c r="AL301" s="186"/>
      <c r="AM301" s="186"/>
      <c r="AN301" s="186"/>
      <c r="AO301" s="186"/>
      <c r="AP301" s="186"/>
      <c r="AQ301" s="186"/>
      <c r="AR301" s="186"/>
      <c r="AS301" s="186"/>
      <c r="AT301" s="186"/>
      <c r="AU301" s="186"/>
      <c r="AV301" s="186"/>
      <c r="AW301" s="186"/>
      <c r="AX301" s="186"/>
      <c r="AY301" s="186"/>
      <c r="AZ301" s="186"/>
      <c r="BA301" s="186"/>
      <c r="BB301" s="186"/>
      <c r="BC301" s="186"/>
      <c r="BD301" s="186"/>
      <c r="BE301" s="186"/>
      <c r="BF301" s="186"/>
      <c r="BG301" s="186"/>
      <c r="BH301" s="186"/>
      <c r="BI301" s="186"/>
      <c r="BJ301" s="186"/>
      <c r="BK301" s="186"/>
    </row>
    <row r="302" spans="1:63">
      <c r="A302" s="186"/>
      <c r="B302" s="186"/>
      <c r="C302" s="186"/>
      <c r="D302" s="186"/>
      <c r="E302" s="186"/>
      <c r="F302" s="186"/>
      <c r="G302" s="186"/>
      <c r="H302" s="186"/>
      <c r="I302" s="186"/>
      <c r="J302" s="186"/>
      <c r="K302" s="186"/>
      <c r="L302" s="186"/>
      <c r="M302" s="186"/>
      <c r="N302" s="186"/>
      <c r="O302" s="186"/>
      <c r="P302" s="186"/>
      <c r="Q302" s="186"/>
      <c r="R302" s="186"/>
      <c r="S302" s="186"/>
      <c r="T302" s="186"/>
      <c r="U302" s="186"/>
      <c r="V302" s="186"/>
      <c r="W302" s="186"/>
      <c r="X302" s="186"/>
      <c r="Y302" s="186"/>
      <c r="Z302" s="186"/>
      <c r="AA302" s="186"/>
      <c r="AB302" s="186"/>
      <c r="AC302" s="186"/>
      <c r="AD302" s="186"/>
      <c r="AE302" s="186"/>
      <c r="AF302" s="186"/>
      <c r="AG302" s="186"/>
      <c r="AH302" s="186"/>
      <c r="AI302" s="186"/>
      <c r="AJ302" s="186"/>
      <c r="AK302" s="186"/>
      <c r="AL302" s="186"/>
      <c r="AM302" s="186"/>
      <c r="AN302" s="186"/>
      <c r="AO302" s="186"/>
      <c r="AP302" s="186"/>
      <c r="AQ302" s="186"/>
      <c r="AR302" s="186"/>
      <c r="AS302" s="186"/>
      <c r="AT302" s="186"/>
      <c r="AU302" s="186"/>
      <c r="AV302" s="186"/>
      <c r="AW302" s="186"/>
      <c r="AX302" s="186"/>
      <c r="AY302" s="186"/>
      <c r="AZ302" s="186"/>
      <c r="BA302" s="186"/>
      <c r="BB302" s="186"/>
      <c r="BC302" s="186"/>
      <c r="BD302" s="186"/>
      <c r="BE302" s="186"/>
      <c r="BF302" s="186"/>
      <c r="BG302" s="186"/>
      <c r="BH302" s="186"/>
      <c r="BI302" s="186"/>
      <c r="BJ302" s="186"/>
      <c r="BK302" s="186"/>
    </row>
    <row r="303" spans="1:63">
      <c r="A303" s="186"/>
      <c r="B303" s="186"/>
      <c r="C303" s="186"/>
      <c r="D303" s="186"/>
      <c r="E303" s="186"/>
      <c r="F303" s="186"/>
      <c r="G303" s="186"/>
      <c r="H303" s="186"/>
      <c r="I303" s="186"/>
      <c r="J303" s="186"/>
      <c r="K303" s="186"/>
      <c r="L303" s="186"/>
      <c r="M303" s="186"/>
      <c r="N303" s="186"/>
      <c r="O303" s="186"/>
      <c r="P303" s="186"/>
      <c r="Q303" s="186"/>
      <c r="R303" s="186"/>
      <c r="S303" s="186"/>
      <c r="T303" s="186"/>
      <c r="U303" s="186"/>
      <c r="V303" s="186"/>
      <c r="W303" s="186"/>
      <c r="X303" s="186"/>
      <c r="Y303" s="186"/>
      <c r="Z303" s="186"/>
      <c r="AA303" s="186"/>
      <c r="AB303" s="186"/>
      <c r="AC303" s="186"/>
      <c r="AD303" s="186"/>
      <c r="AE303" s="186"/>
      <c r="AF303" s="186"/>
      <c r="AG303" s="186"/>
      <c r="AH303" s="186"/>
      <c r="AI303" s="186"/>
      <c r="AJ303" s="186"/>
      <c r="AK303" s="186"/>
      <c r="AL303" s="186"/>
      <c r="AM303" s="186"/>
      <c r="AN303" s="186"/>
      <c r="AO303" s="186"/>
      <c r="AP303" s="186"/>
      <c r="AQ303" s="186"/>
      <c r="AR303" s="186"/>
      <c r="AS303" s="186"/>
      <c r="AT303" s="186"/>
      <c r="AU303" s="186"/>
      <c r="AV303" s="186"/>
      <c r="AW303" s="186"/>
      <c r="AX303" s="186"/>
      <c r="AY303" s="186"/>
      <c r="AZ303" s="186"/>
      <c r="BA303" s="186"/>
      <c r="BB303" s="186"/>
      <c r="BC303" s="186"/>
      <c r="BD303" s="186"/>
      <c r="BE303" s="186"/>
      <c r="BF303" s="186"/>
      <c r="BG303" s="186"/>
      <c r="BH303" s="186"/>
      <c r="BI303" s="186"/>
      <c r="BJ303" s="186"/>
      <c r="BK303" s="186"/>
    </row>
    <row r="304" spans="1:63">
      <c r="A304" s="186"/>
      <c r="B304" s="186"/>
      <c r="C304" s="186"/>
      <c r="D304" s="186"/>
      <c r="E304" s="186"/>
      <c r="F304" s="186"/>
      <c r="G304" s="186"/>
      <c r="H304" s="186"/>
      <c r="I304" s="186"/>
      <c r="J304" s="186"/>
      <c r="K304" s="186"/>
      <c r="L304" s="186"/>
      <c r="M304" s="186"/>
      <c r="N304" s="186"/>
      <c r="O304" s="186"/>
      <c r="P304" s="186"/>
      <c r="Q304" s="186"/>
      <c r="R304" s="186"/>
      <c r="S304" s="186"/>
      <c r="T304" s="186"/>
      <c r="U304" s="186"/>
      <c r="V304" s="186"/>
      <c r="W304" s="186"/>
      <c r="X304" s="186"/>
      <c r="Y304" s="186"/>
      <c r="Z304" s="186"/>
      <c r="AA304" s="186"/>
      <c r="AB304" s="186"/>
      <c r="AC304" s="186"/>
      <c r="AD304" s="186"/>
      <c r="AE304" s="186"/>
      <c r="AF304" s="186"/>
      <c r="AG304" s="186"/>
      <c r="AH304" s="186"/>
      <c r="AI304" s="186"/>
      <c r="AJ304" s="186"/>
      <c r="AK304" s="186"/>
      <c r="AL304" s="186"/>
      <c r="AM304" s="186"/>
      <c r="AN304" s="186"/>
      <c r="AO304" s="186"/>
      <c r="AP304" s="186"/>
      <c r="AQ304" s="186"/>
      <c r="AR304" s="186"/>
      <c r="AS304" s="186"/>
      <c r="AT304" s="186"/>
      <c r="AU304" s="186"/>
      <c r="AV304" s="186"/>
      <c r="AW304" s="186"/>
      <c r="AX304" s="186"/>
      <c r="AY304" s="186"/>
      <c r="AZ304" s="186"/>
      <c r="BA304" s="186"/>
      <c r="BB304" s="186"/>
      <c r="BC304" s="186"/>
      <c r="BD304" s="186"/>
      <c r="BE304" s="186"/>
      <c r="BF304" s="186"/>
      <c r="BG304" s="186"/>
      <c r="BH304" s="186"/>
      <c r="BI304" s="186"/>
      <c r="BJ304" s="186"/>
      <c r="BK304" s="186"/>
    </row>
    <row r="305" spans="1:63">
      <c r="A305" s="186"/>
      <c r="B305" s="186"/>
      <c r="C305" s="186"/>
      <c r="D305" s="186"/>
      <c r="E305" s="186"/>
      <c r="F305" s="186"/>
      <c r="G305" s="186"/>
      <c r="H305" s="186"/>
      <c r="I305" s="186"/>
      <c r="J305" s="186"/>
      <c r="K305" s="186"/>
      <c r="L305" s="186"/>
      <c r="M305" s="186"/>
      <c r="N305" s="186"/>
      <c r="O305" s="186"/>
      <c r="P305" s="186"/>
      <c r="Q305" s="186"/>
      <c r="R305" s="186"/>
      <c r="S305" s="186"/>
      <c r="T305" s="186"/>
      <c r="U305" s="186"/>
      <c r="V305" s="186"/>
      <c r="W305" s="186"/>
      <c r="X305" s="186"/>
      <c r="Y305" s="186"/>
      <c r="Z305" s="186"/>
      <c r="AA305" s="186"/>
      <c r="AB305" s="186"/>
      <c r="AC305" s="186"/>
      <c r="AD305" s="186"/>
      <c r="AE305" s="186"/>
      <c r="AF305" s="186"/>
      <c r="AG305" s="186"/>
      <c r="AH305" s="186"/>
      <c r="AI305" s="186"/>
      <c r="AJ305" s="186"/>
      <c r="AK305" s="186"/>
      <c r="AL305" s="186"/>
      <c r="AM305" s="186"/>
      <c r="AN305" s="186"/>
      <c r="AO305" s="186"/>
      <c r="AP305" s="186"/>
      <c r="AQ305" s="186"/>
      <c r="AR305" s="186"/>
      <c r="AS305" s="186"/>
      <c r="AT305" s="186"/>
      <c r="AU305" s="186"/>
      <c r="AV305" s="186"/>
      <c r="AW305" s="186"/>
      <c r="AX305" s="186"/>
      <c r="AY305" s="186"/>
      <c r="AZ305" s="186"/>
      <c r="BA305" s="186"/>
      <c r="BB305" s="186"/>
      <c r="BC305" s="186"/>
      <c r="BD305" s="186"/>
      <c r="BE305" s="186"/>
      <c r="BF305" s="186"/>
      <c r="BG305" s="186"/>
      <c r="BH305" s="186"/>
      <c r="BI305" s="186"/>
      <c r="BJ305" s="186"/>
      <c r="BK305" s="186"/>
    </row>
    <row r="306" spans="1:63">
      <c r="A306" s="186"/>
      <c r="B306" s="186"/>
      <c r="C306" s="186"/>
      <c r="D306" s="186"/>
      <c r="E306" s="186"/>
      <c r="F306" s="186"/>
      <c r="G306" s="186"/>
      <c r="H306" s="186"/>
      <c r="I306" s="186"/>
      <c r="J306" s="186"/>
      <c r="K306" s="186"/>
      <c r="L306" s="186"/>
      <c r="M306" s="186"/>
      <c r="N306" s="186"/>
      <c r="O306" s="186"/>
      <c r="P306" s="186"/>
      <c r="Q306" s="186"/>
      <c r="R306" s="186"/>
      <c r="S306" s="186"/>
      <c r="T306" s="186"/>
      <c r="U306" s="186"/>
      <c r="V306" s="186"/>
      <c r="W306" s="186"/>
      <c r="X306" s="186"/>
      <c r="Y306" s="186"/>
      <c r="Z306" s="186"/>
      <c r="AA306" s="186"/>
      <c r="AB306" s="186"/>
      <c r="AC306" s="186"/>
      <c r="AD306" s="186"/>
      <c r="AE306" s="186"/>
      <c r="AF306" s="186"/>
      <c r="AG306" s="186"/>
      <c r="AH306" s="186"/>
      <c r="AI306" s="186"/>
      <c r="AJ306" s="186"/>
      <c r="AK306" s="186"/>
      <c r="AL306" s="186"/>
      <c r="AM306" s="186"/>
      <c r="AN306" s="186"/>
      <c r="AO306" s="186"/>
      <c r="AP306" s="186"/>
      <c r="AQ306" s="186"/>
      <c r="AR306" s="186"/>
      <c r="AS306" s="186"/>
      <c r="AT306" s="186"/>
      <c r="AU306" s="186"/>
      <c r="AV306" s="186"/>
      <c r="AW306" s="186"/>
      <c r="AX306" s="186"/>
      <c r="AY306" s="186"/>
      <c r="AZ306" s="186"/>
      <c r="BA306" s="186"/>
      <c r="BB306" s="186"/>
      <c r="BC306" s="186"/>
      <c r="BD306" s="186"/>
      <c r="BE306" s="186"/>
      <c r="BF306" s="186"/>
      <c r="BG306" s="186"/>
      <c r="BH306" s="186"/>
      <c r="BI306" s="186"/>
      <c r="BJ306" s="186"/>
      <c r="BK306" s="186"/>
    </row>
    <row r="307" spans="1:63">
      <c r="A307" s="186"/>
      <c r="B307" s="186"/>
      <c r="C307" s="186"/>
      <c r="D307" s="186"/>
      <c r="E307" s="186"/>
      <c r="F307" s="186"/>
      <c r="G307" s="186"/>
      <c r="H307" s="186"/>
      <c r="I307" s="186"/>
      <c r="J307" s="186"/>
      <c r="K307" s="186"/>
      <c r="L307" s="186"/>
      <c r="M307" s="186"/>
      <c r="N307" s="186"/>
      <c r="O307" s="186"/>
      <c r="P307" s="186"/>
      <c r="Q307" s="186"/>
      <c r="R307" s="186"/>
      <c r="S307" s="186"/>
      <c r="T307" s="186"/>
      <c r="U307" s="186"/>
      <c r="V307" s="186"/>
      <c r="W307" s="186"/>
      <c r="X307" s="186"/>
      <c r="Y307" s="186"/>
      <c r="Z307" s="186"/>
      <c r="AA307" s="186"/>
      <c r="AB307" s="186"/>
      <c r="AC307" s="186"/>
      <c r="AD307" s="186"/>
      <c r="AE307" s="186"/>
      <c r="AF307" s="186"/>
      <c r="AG307" s="186"/>
      <c r="AH307" s="186"/>
      <c r="AI307" s="186"/>
      <c r="AJ307" s="186"/>
      <c r="AK307" s="186"/>
      <c r="AL307" s="186"/>
      <c r="AM307" s="186"/>
      <c r="AN307" s="186"/>
      <c r="AO307" s="186"/>
      <c r="AP307" s="186"/>
      <c r="AQ307" s="186"/>
      <c r="AR307" s="186"/>
      <c r="AS307" s="186"/>
      <c r="AT307" s="186"/>
      <c r="AU307" s="186"/>
      <c r="AV307" s="186"/>
      <c r="AW307" s="186"/>
      <c r="AX307" s="186"/>
      <c r="AY307" s="186"/>
      <c r="AZ307" s="186"/>
      <c r="BA307" s="186"/>
      <c r="BB307" s="186"/>
      <c r="BC307" s="186"/>
      <c r="BD307" s="186"/>
      <c r="BE307" s="186"/>
      <c r="BF307" s="186"/>
      <c r="BG307" s="186"/>
      <c r="BH307" s="186"/>
      <c r="BI307" s="186"/>
      <c r="BJ307" s="186"/>
      <c r="BK307" s="186"/>
    </row>
    <row r="308" spans="1:63">
      <c r="A308" s="186"/>
      <c r="B308" s="186"/>
      <c r="C308" s="186"/>
      <c r="D308" s="186"/>
      <c r="E308" s="186"/>
      <c r="F308" s="186"/>
      <c r="G308" s="186"/>
      <c r="H308" s="186"/>
      <c r="I308" s="186"/>
      <c r="J308" s="186"/>
      <c r="K308" s="186"/>
      <c r="L308" s="186"/>
      <c r="M308" s="186"/>
      <c r="N308" s="186"/>
      <c r="O308" s="186"/>
      <c r="P308" s="186"/>
      <c r="Q308" s="186"/>
      <c r="R308" s="186"/>
      <c r="S308" s="186"/>
      <c r="T308" s="186"/>
      <c r="U308" s="186"/>
      <c r="V308" s="186"/>
      <c r="W308" s="186"/>
      <c r="X308" s="186"/>
      <c r="Y308" s="186"/>
      <c r="Z308" s="186"/>
      <c r="AA308" s="186"/>
      <c r="AB308" s="186"/>
      <c r="AC308" s="186"/>
      <c r="AD308" s="186"/>
      <c r="AE308" s="186"/>
      <c r="AF308" s="186"/>
      <c r="AG308" s="186"/>
      <c r="AH308" s="186"/>
      <c r="AI308" s="186"/>
      <c r="AJ308" s="186"/>
      <c r="AK308" s="186"/>
      <c r="AL308" s="186"/>
      <c r="AM308" s="186"/>
      <c r="AN308" s="186"/>
      <c r="AO308" s="186"/>
      <c r="AP308" s="186"/>
      <c r="AQ308" s="186"/>
      <c r="AR308" s="186"/>
      <c r="AS308" s="186"/>
      <c r="AT308" s="186"/>
      <c r="AU308" s="186"/>
      <c r="AV308" s="186"/>
      <c r="AW308" s="186"/>
      <c r="AX308" s="186"/>
      <c r="AY308" s="186"/>
      <c r="AZ308" s="186"/>
      <c r="BA308" s="186"/>
      <c r="BB308" s="186"/>
      <c r="BC308" s="186"/>
      <c r="BD308" s="186"/>
      <c r="BE308" s="186"/>
      <c r="BF308" s="186"/>
      <c r="BG308" s="186"/>
      <c r="BH308" s="186"/>
      <c r="BI308" s="186"/>
      <c r="BJ308" s="186"/>
      <c r="BK308" s="186"/>
    </row>
    <row r="309" spans="1:63">
      <c r="A309" s="186"/>
      <c r="B309" s="186"/>
      <c r="C309" s="186"/>
      <c r="D309" s="186"/>
      <c r="E309" s="186"/>
      <c r="F309" s="186"/>
      <c r="G309" s="186"/>
      <c r="H309" s="186"/>
      <c r="I309" s="186"/>
      <c r="J309" s="186"/>
      <c r="K309" s="186"/>
      <c r="L309" s="186"/>
      <c r="M309" s="186"/>
      <c r="N309" s="186"/>
      <c r="O309" s="186"/>
      <c r="P309" s="186"/>
      <c r="Q309" s="186"/>
      <c r="R309" s="186"/>
      <c r="S309" s="186"/>
      <c r="T309" s="186"/>
      <c r="U309" s="186"/>
      <c r="V309" s="186"/>
      <c r="W309" s="186"/>
      <c r="X309" s="186"/>
      <c r="Y309" s="186"/>
      <c r="Z309" s="186"/>
      <c r="AA309" s="186"/>
      <c r="AB309" s="186"/>
      <c r="AC309" s="186"/>
      <c r="AD309" s="186"/>
      <c r="AE309" s="186"/>
      <c r="AF309" s="186"/>
      <c r="AG309" s="186"/>
      <c r="AH309" s="186"/>
      <c r="AI309" s="186"/>
      <c r="AJ309" s="186"/>
      <c r="AK309" s="186"/>
      <c r="AL309" s="186"/>
      <c r="AM309" s="186"/>
      <c r="AN309" s="186"/>
      <c r="AO309" s="186"/>
      <c r="AP309" s="186"/>
      <c r="AQ309" s="186"/>
      <c r="AR309" s="186"/>
      <c r="AS309" s="186"/>
      <c r="AT309" s="186"/>
      <c r="AU309" s="186"/>
      <c r="AV309" s="186"/>
      <c r="AW309" s="186"/>
      <c r="AX309" s="186"/>
      <c r="AY309" s="186"/>
      <c r="AZ309" s="186"/>
      <c r="BA309" s="186"/>
      <c r="BB309" s="186"/>
      <c r="BC309" s="186"/>
      <c r="BD309" s="186"/>
      <c r="BE309" s="186"/>
      <c r="BF309" s="186"/>
      <c r="BG309" s="186"/>
      <c r="BH309" s="186"/>
      <c r="BI309" s="186"/>
      <c r="BJ309" s="186"/>
      <c r="BK309" s="186"/>
    </row>
    <row r="310" spans="1:63">
      <c r="A310" s="186"/>
      <c r="B310" s="186"/>
      <c r="C310" s="186"/>
      <c r="D310" s="186"/>
      <c r="E310" s="186"/>
      <c r="F310" s="186"/>
      <c r="G310" s="186"/>
      <c r="H310" s="186"/>
      <c r="I310" s="186"/>
      <c r="J310" s="186"/>
      <c r="K310" s="186"/>
      <c r="L310" s="186"/>
      <c r="M310" s="186"/>
      <c r="N310" s="186"/>
      <c r="O310" s="186"/>
      <c r="P310" s="186"/>
      <c r="Q310" s="186"/>
      <c r="R310" s="186"/>
      <c r="S310" s="186"/>
      <c r="T310" s="186"/>
      <c r="U310" s="186"/>
      <c r="V310" s="186"/>
      <c r="W310" s="186"/>
      <c r="X310" s="186"/>
      <c r="Y310" s="186"/>
      <c r="Z310" s="186"/>
      <c r="AA310" s="186"/>
      <c r="AB310" s="186"/>
      <c r="AC310" s="186"/>
      <c r="AD310" s="186"/>
      <c r="AE310" s="186"/>
      <c r="AF310" s="186"/>
      <c r="AG310" s="186"/>
      <c r="AH310" s="186"/>
      <c r="AI310" s="186"/>
      <c r="AJ310" s="186"/>
      <c r="AK310" s="186"/>
      <c r="AL310" s="186"/>
      <c r="AM310" s="186"/>
      <c r="AN310" s="186"/>
      <c r="AO310" s="186"/>
      <c r="AP310" s="186"/>
      <c r="AQ310" s="186"/>
      <c r="AR310" s="186"/>
      <c r="AS310" s="186"/>
      <c r="AT310" s="186"/>
      <c r="AU310" s="186"/>
      <c r="AV310" s="186"/>
      <c r="AW310" s="186"/>
      <c r="AX310" s="186"/>
      <c r="AY310" s="186"/>
      <c r="AZ310" s="186"/>
      <c r="BA310" s="186"/>
      <c r="BB310" s="186"/>
      <c r="BC310" s="186"/>
      <c r="BD310" s="186"/>
      <c r="BE310" s="186"/>
      <c r="BF310" s="186"/>
      <c r="BG310" s="186"/>
      <c r="BH310" s="186"/>
      <c r="BI310" s="186"/>
      <c r="BJ310" s="186"/>
      <c r="BK310" s="186"/>
    </row>
    <row r="311" spans="1:63">
      <c r="A311" s="186"/>
      <c r="B311" s="186"/>
      <c r="C311" s="186"/>
      <c r="D311" s="186"/>
      <c r="E311" s="186"/>
      <c r="F311" s="186"/>
      <c r="G311" s="186"/>
      <c r="H311" s="186"/>
      <c r="I311" s="186"/>
      <c r="J311" s="186"/>
      <c r="K311" s="186"/>
      <c r="L311" s="186"/>
      <c r="M311" s="186"/>
      <c r="N311" s="186"/>
      <c r="O311" s="186"/>
      <c r="P311" s="186"/>
      <c r="Q311" s="186"/>
      <c r="R311" s="186"/>
      <c r="S311" s="186"/>
      <c r="T311" s="186"/>
      <c r="U311" s="186"/>
      <c r="V311" s="186"/>
      <c r="W311" s="186"/>
      <c r="X311" s="186"/>
      <c r="Y311" s="186"/>
      <c r="Z311" s="186"/>
      <c r="AA311" s="186"/>
      <c r="AB311" s="186"/>
      <c r="AC311" s="186"/>
      <c r="AD311" s="186"/>
      <c r="AE311" s="186"/>
      <c r="AF311" s="186"/>
      <c r="AG311" s="186"/>
      <c r="AH311" s="186"/>
      <c r="AI311" s="186"/>
      <c r="AJ311" s="186"/>
      <c r="AK311" s="186"/>
      <c r="AL311" s="186"/>
      <c r="AM311" s="186"/>
      <c r="AN311" s="186"/>
      <c r="AO311" s="186"/>
      <c r="AP311" s="186"/>
      <c r="AQ311" s="186"/>
      <c r="AR311" s="186"/>
      <c r="AS311" s="186"/>
      <c r="AT311" s="186"/>
      <c r="AU311" s="186"/>
      <c r="AV311" s="186"/>
      <c r="AW311" s="186"/>
      <c r="AX311" s="186"/>
      <c r="AY311" s="186"/>
      <c r="AZ311" s="186"/>
      <c r="BA311" s="186"/>
      <c r="BB311" s="186"/>
      <c r="BC311" s="186"/>
      <c r="BD311" s="186"/>
      <c r="BE311" s="186"/>
      <c r="BF311" s="186"/>
      <c r="BG311" s="186"/>
      <c r="BH311" s="186"/>
      <c r="BI311" s="186"/>
      <c r="BJ311" s="186"/>
      <c r="BK311" s="186"/>
    </row>
    <row r="312" spans="1:63">
      <c r="A312" s="186"/>
      <c r="B312" s="186"/>
      <c r="C312" s="186"/>
      <c r="D312" s="186"/>
      <c r="E312" s="186"/>
      <c r="F312" s="186"/>
      <c r="G312" s="186"/>
      <c r="H312" s="186"/>
      <c r="I312" s="186"/>
      <c r="J312" s="186"/>
      <c r="K312" s="186"/>
      <c r="L312" s="186"/>
      <c r="M312" s="186"/>
      <c r="N312" s="186"/>
      <c r="O312" s="186"/>
      <c r="P312" s="186"/>
      <c r="Q312" s="186"/>
      <c r="R312" s="186"/>
      <c r="S312" s="186"/>
      <c r="T312" s="186"/>
      <c r="U312" s="186"/>
      <c r="V312" s="186"/>
      <c r="W312" s="186"/>
      <c r="X312" s="186"/>
      <c r="Y312" s="186"/>
      <c r="Z312" s="186"/>
      <c r="AA312" s="186"/>
      <c r="AB312" s="186"/>
      <c r="AC312" s="186"/>
      <c r="AD312" s="186"/>
      <c r="AE312" s="186"/>
      <c r="AF312" s="186"/>
      <c r="AG312" s="186"/>
      <c r="AH312" s="186"/>
      <c r="AI312" s="186"/>
      <c r="AJ312" s="186"/>
      <c r="AK312" s="186"/>
      <c r="AL312" s="186"/>
      <c r="AM312" s="186"/>
      <c r="AN312" s="186"/>
      <c r="AO312" s="186"/>
      <c r="AP312" s="186"/>
      <c r="AQ312" s="186"/>
      <c r="AR312" s="186"/>
      <c r="AS312" s="186"/>
      <c r="AT312" s="186"/>
      <c r="AU312" s="186"/>
      <c r="AV312" s="186"/>
      <c r="AW312" s="186"/>
      <c r="AX312" s="186"/>
      <c r="AY312" s="186"/>
      <c r="AZ312" s="186"/>
      <c r="BA312" s="186"/>
      <c r="BB312" s="186"/>
      <c r="BC312" s="186"/>
      <c r="BD312" s="186"/>
      <c r="BE312" s="186"/>
      <c r="BF312" s="186"/>
      <c r="BG312" s="186"/>
      <c r="BH312" s="186"/>
      <c r="BI312" s="186"/>
      <c r="BJ312" s="186"/>
      <c r="BK312" s="186"/>
    </row>
    <row r="313" spans="1:63">
      <c r="A313" s="186"/>
      <c r="B313" s="186"/>
      <c r="C313" s="186"/>
      <c r="D313" s="186"/>
      <c r="E313" s="186"/>
      <c r="F313" s="186"/>
      <c r="G313" s="186"/>
      <c r="H313" s="186"/>
      <c r="I313" s="186"/>
      <c r="J313" s="186"/>
      <c r="K313" s="186"/>
      <c r="L313" s="186"/>
      <c r="M313" s="186"/>
      <c r="N313" s="186"/>
      <c r="O313" s="186"/>
      <c r="P313" s="186"/>
      <c r="Q313" s="186"/>
      <c r="R313" s="186"/>
      <c r="S313" s="186"/>
      <c r="T313" s="186"/>
      <c r="U313" s="186"/>
      <c r="V313" s="186"/>
      <c r="W313" s="186"/>
      <c r="X313" s="186"/>
      <c r="Y313" s="186"/>
      <c r="Z313" s="186"/>
      <c r="AA313" s="186"/>
      <c r="AB313" s="186"/>
      <c r="AC313" s="186"/>
      <c r="AD313" s="186"/>
      <c r="AE313" s="186"/>
      <c r="AF313" s="186"/>
      <c r="AG313" s="186"/>
      <c r="AH313" s="186"/>
      <c r="AI313" s="186"/>
      <c r="AJ313" s="186"/>
      <c r="AK313" s="186"/>
      <c r="AL313" s="186"/>
      <c r="AM313" s="186"/>
      <c r="AN313" s="186"/>
      <c r="AO313" s="186"/>
      <c r="AP313" s="186"/>
      <c r="AQ313" s="186"/>
      <c r="AR313" s="186"/>
      <c r="AS313" s="186"/>
      <c r="AT313" s="186"/>
      <c r="AU313" s="186"/>
      <c r="AV313" s="186"/>
      <c r="AW313" s="186"/>
      <c r="AX313" s="186"/>
      <c r="AY313" s="186"/>
      <c r="AZ313" s="186"/>
      <c r="BA313" s="186"/>
      <c r="BB313" s="186"/>
      <c r="BC313" s="186"/>
      <c r="BD313" s="186"/>
      <c r="BE313" s="186"/>
      <c r="BF313" s="186"/>
      <c r="BG313" s="186"/>
      <c r="BH313" s="186"/>
      <c r="BI313" s="186"/>
      <c r="BJ313" s="186"/>
      <c r="BK313" s="186"/>
    </row>
    <row r="314" spans="1:63">
      <c r="A314" s="186"/>
      <c r="B314" s="186"/>
      <c r="C314" s="186"/>
      <c r="D314" s="186"/>
      <c r="E314" s="186"/>
      <c r="F314" s="186"/>
      <c r="G314" s="186"/>
      <c r="H314" s="186"/>
      <c r="I314" s="186"/>
      <c r="J314" s="186"/>
      <c r="K314" s="186"/>
      <c r="L314" s="186"/>
      <c r="M314" s="186"/>
      <c r="N314" s="186"/>
      <c r="O314" s="186"/>
      <c r="P314" s="186"/>
      <c r="Q314" s="186"/>
      <c r="R314" s="186"/>
      <c r="S314" s="186"/>
      <c r="T314" s="186"/>
      <c r="U314" s="186"/>
      <c r="V314" s="186"/>
      <c r="W314" s="186"/>
      <c r="X314" s="186"/>
      <c r="Y314" s="186"/>
      <c r="Z314" s="186"/>
      <c r="AA314" s="186"/>
      <c r="AB314" s="186"/>
      <c r="AC314" s="186"/>
      <c r="AD314" s="186"/>
      <c r="AE314" s="186"/>
      <c r="AF314" s="186"/>
      <c r="AG314" s="186"/>
      <c r="AH314" s="186"/>
      <c r="AI314" s="186"/>
      <c r="AJ314" s="186"/>
      <c r="AK314" s="186"/>
      <c r="AL314" s="186"/>
      <c r="AM314" s="186"/>
      <c r="AN314" s="186"/>
      <c r="AO314" s="186"/>
      <c r="AP314" s="186"/>
      <c r="AQ314" s="186"/>
      <c r="AR314" s="186"/>
      <c r="AS314" s="186"/>
      <c r="AT314" s="186"/>
      <c r="AU314" s="186"/>
      <c r="AV314" s="186"/>
      <c r="AW314" s="186"/>
      <c r="AX314" s="186"/>
      <c r="AY314" s="186"/>
      <c r="AZ314" s="186"/>
      <c r="BA314" s="186"/>
      <c r="BB314" s="186"/>
      <c r="BC314" s="186"/>
      <c r="BD314" s="186"/>
      <c r="BE314" s="186"/>
      <c r="BF314" s="186"/>
      <c r="BG314" s="186"/>
      <c r="BH314" s="186"/>
      <c r="BI314" s="186"/>
      <c r="BJ314" s="186"/>
      <c r="BK314" s="186"/>
    </row>
    <row r="315" spans="1:63">
      <c r="A315" s="186"/>
      <c r="B315" s="186"/>
      <c r="C315" s="186"/>
      <c r="D315" s="186"/>
      <c r="E315" s="186"/>
      <c r="F315" s="186"/>
      <c r="G315" s="186"/>
      <c r="H315" s="186"/>
      <c r="I315" s="186"/>
      <c r="J315" s="186"/>
      <c r="K315" s="186"/>
      <c r="L315" s="186"/>
      <c r="M315" s="186"/>
      <c r="N315" s="186"/>
      <c r="O315" s="186"/>
      <c r="P315" s="186"/>
      <c r="Q315" s="186"/>
      <c r="R315" s="186"/>
      <c r="S315" s="186"/>
      <c r="T315" s="186"/>
      <c r="U315" s="186"/>
      <c r="V315" s="186"/>
      <c r="W315" s="186"/>
      <c r="X315" s="186"/>
      <c r="Y315" s="186"/>
      <c r="Z315" s="186"/>
      <c r="AA315" s="186"/>
      <c r="AB315" s="186"/>
      <c r="AC315" s="186"/>
      <c r="AD315" s="186"/>
      <c r="AE315" s="186"/>
      <c r="AF315" s="186"/>
      <c r="AG315" s="186"/>
      <c r="AH315" s="186"/>
      <c r="AI315" s="186"/>
      <c r="AJ315" s="186"/>
      <c r="AK315" s="186"/>
      <c r="AL315" s="186"/>
      <c r="AM315" s="186"/>
      <c r="AN315" s="186"/>
      <c r="AO315" s="186"/>
      <c r="AP315" s="186"/>
      <c r="AQ315" s="186"/>
      <c r="AR315" s="186"/>
      <c r="AS315" s="186"/>
      <c r="AT315" s="186"/>
      <c r="AU315" s="186"/>
      <c r="AV315" s="186"/>
      <c r="AW315" s="186"/>
      <c r="AX315" s="186"/>
      <c r="AY315" s="186"/>
      <c r="AZ315" s="186"/>
      <c r="BA315" s="186"/>
      <c r="BB315" s="186"/>
      <c r="BC315" s="186"/>
      <c r="BD315" s="186"/>
      <c r="BE315" s="186"/>
      <c r="BF315" s="186"/>
      <c r="BG315" s="186"/>
      <c r="BH315" s="186"/>
      <c r="BI315" s="186"/>
      <c r="BJ315" s="186"/>
      <c r="BK315" s="186"/>
    </row>
    <row r="316" spans="1:63">
      <c r="A316" s="186"/>
      <c r="B316" s="186"/>
      <c r="C316" s="186"/>
      <c r="D316" s="186"/>
      <c r="E316" s="186"/>
      <c r="F316" s="186"/>
      <c r="G316" s="186"/>
      <c r="H316" s="186"/>
      <c r="I316" s="186"/>
      <c r="J316" s="186"/>
      <c r="K316" s="186"/>
      <c r="L316" s="186"/>
      <c r="M316" s="186"/>
      <c r="N316" s="186"/>
      <c r="O316" s="186"/>
      <c r="P316" s="186"/>
      <c r="Q316" s="186"/>
      <c r="R316" s="186"/>
      <c r="S316" s="186"/>
      <c r="T316" s="186"/>
      <c r="U316" s="186"/>
      <c r="V316" s="186"/>
      <c r="W316" s="186"/>
      <c r="X316" s="186"/>
      <c r="Y316" s="186"/>
      <c r="Z316" s="186"/>
      <c r="AA316" s="186"/>
      <c r="AB316" s="186"/>
      <c r="AC316" s="186"/>
      <c r="AD316" s="186"/>
      <c r="AE316" s="186"/>
      <c r="AF316" s="186"/>
      <c r="AG316" s="186"/>
      <c r="AH316" s="186"/>
      <c r="AI316" s="186"/>
      <c r="AJ316" s="186"/>
      <c r="AK316" s="186"/>
      <c r="AL316" s="186"/>
      <c r="AM316" s="186"/>
      <c r="AN316" s="186"/>
      <c r="AO316" s="186"/>
      <c r="AP316" s="186"/>
      <c r="AQ316" s="186"/>
      <c r="AR316" s="186"/>
      <c r="AS316" s="186"/>
      <c r="AT316" s="186"/>
      <c r="AU316" s="186"/>
      <c r="AV316" s="186"/>
      <c r="AW316" s="186"/>
      <c r="AX316" s="186"/>
      <c r="AY316" s="186"/>
      <c r="AZ316" s="186"/>
      <c r="BA316" s="186"/>
      <c r="BB316" s="186"/>
      <c r="BC316" s="186"/>
      <c r="BD316" s="186"/>
      <c r="BE316" s="186"/>
      <c r="BF316" s="186"/>
      <c r="BG316" s="186"/>
      <c r="BH316" s="186"/>
      <c r="BI316" s="186"/>
      <c r="BJ316" s="186"/>
      <c r="BK316" s="186"/>
    </row>
    <row r="317" spans="1:63">
      <c r="A317" s="186"/>
      <c r="B317" s="186"/>
      <c r="C317" s="186"/>
      <c r="D317" s="186"/>
      <c r="E317" s="186"/>
      <c r="F317" s="186"/>
      <c r="G317" s="186"/>
      <c r="H317" s="186"/>
      <c r="I317" s="186"/>
      <c r="J317" s="186"/>
      <c r="K317" s="186"/>
      <c r="L317" s="186"/>
      <c r="M317" s="186"/>
      <c r="N317" s="186"/>
      <c r="O317" s="186"/>
      <c r="P317" s="186"/>
      <c r="Q317" s="186"/>
      <c r="R317" s="186"/>
      <c r="S317" s="186"/>
      <c r="T317" s="186"/>
      <c r="U317" s="186"/>
      <c r="V317" s="186"/>
      <c r="W317" s="186"/>
      <c r="X317" s="186"/>
      <c r="Y317" s="186"/>
      <c r="Z317" s="186"/>
      <c r="AA317" s="186"/>
      <c r="AB317" s="186"/>
      <c r="AC317" s="186"/>
      <c r="AD317" s="186"/>
      <c r="AE317" s="186"/>
      <c r="AF317" s="186"/>
      <c r="AG317" s="186"/>
      <c r="AH317" s="186"/>
      <c r="AI317" s="186"/>
      <c r="AJ317" s="186"/>
      <c r="AK317" s="186"/>
      <c r="AL317" s="186"/>
      <c r="AM317" s="186"/>
      <c r="AN317" s="186"/>
      <c r="AO317" s="186"/>
      <c r="AP317" s="186"/>
      <c r="AQ317" s="186"/>
      <c r="AR317" s="186"/>
      <c r="AS317" s="186"/>
      <c r="AT317" s="186"/>
      <c r="AU317" s="186"/>
      <c r="AV317" s="186"/>
      <c r="AW317" s="186"/>
      <c r="AX317" s="186"/>
      <c r="AY317" s="186"/>
      <c r="AZ317" s="186"/>
      <c r="BA317" s="186"/>
      <c r="BB317" s="186"/>
      <c r="BC317" s="186"/>
      <c r="BD317" s="186"/>
      <c r="BE317" s="186"/>
      <c r="BF317" s="186"/>
      <c r="BG317" s="186"/>
      <c r="BH317" s="186"/>
      <c r="BI317" s="186"/>
      <c r="BJ317" s="186"/>
      <c r="BK317" s="186"/>
    </row>
    <row r="318" spans="1:63">
      <c r="A318" s="186"/>
      <c r="B318" s="186"/>
      <c r="C318" s="186"/>
      <c r="D318" s="186"/>
      <c r="E318" s="186"/>
      <c r="F318" s="186"/>
      <c r="G318" s="186"/>
      <c r="H318" s="186"/>
      <c r="I318" s="186"/>
      <c r="J318" s="186"/>
      <c r="K318" s="186"/>
      <c r="L318" s="186"/>
      <c r="M318" s="186"/>
      <c r="N318" s="186"/>
      <c r="O318" s="186"/>
      <c r="P318" s="186"/>
      <c r="Q318" s="186"/>
      <c r="R318" s="186"/>
      <c r="S318" s="186"/>
      <c r="T318" s="186"/>
      <c r="U318" s="186"/>
      <c r="V318" s="186"/>
      <c r="W318" s="186"/>
      <c r="X318" s="186"/>
      <c r="Y318" s="186"/>
      <c r="Z318" s="186"/>
      <c r="AA318" s="186"/>
      <c r="AB318" s="186"/>
      <c r="AC318" s="186"/>
      <c r="AD318" s="186"/>
      <c r="AE318" s="186"/>
      <c r="AF318" s="186"/>
      <c r="AG318" s="186"/>
      <c r="AH318" s="186"/>
      <c r="AI318" s="186"/>
      <c r="AJ318" s="186"/>
      <c r="AK318" s="186"/>
      <c r="AL318" s="186"/>
      <c r="AM318" s="186"/>
      <c r="AN318" s="186"/>
      <c r="AO318" s="186"/>
      <c r="AP318" s="186"/>
      <c r="AQ318" s="186"/>
      <c r="AR318" s="186"/>
      <c r="AS318" s="186"/>
      <c r="AT318" s="186"/>
      <c r="AU318" s="186"/>
      <c r="AV318" s="186"/>
      <c r="AW318" s="186"/>
      <c r="AX318" s="186"/>
      <c r="AY318" s="186"/>
      <c r="AZ318" s="186"/>
      <c r="BA318" s="186"/>
      <c r="BB318" s="186"/>
      <c r="BC318" s="186"/>
      <c r="BD318" s="186"/>
      <c r="BE318" s="186"/>
      <c r="BF318" s="186"/>
      <c r="BG318" s="186"/>
      <c r="BH318" s="186"/>
      <c r="BI318" s="186"/>
      <c r="BJ318" s="186"/>
      <c r="BK318" s="186"/>
    </row>
    <row r="319" spans="1:63">
      <c r="A319" s="186"/>
      <c r="B319" s="186"/>
      <c r="C319" s="186"/>
      <c r="D319" s="186"/>
      <c r="E319" s="186"/>
      <c r="F319" s="186"/>
      <c r="G319" s="186"/>
      <c r="H319" s="186"/>
      <c r="I319" s="186"/>
      <c r="J319" s="186"/>
      <c r="K319" s="186"/>
      <c r="L319" s="186"/>
      <c r="M319" s="186"/>
      <c r="N319" s="186"/>
      <c r="O319" s="186"/>
      <c r="P319" s="186"/>
      <c r="Q319" s="186"/>
      <c r="R319" s="186"/>
      <c r="S319" s="186"/>
      <c r="T319" s="186"/>
      <c r="U319" s="186"/>
      <c r="V319" s="186"/>
      <c r="W319" s="186"/>
      <c r="X319" s="186"/>
      <c r="Y319" s="186"/>
      <c r="Z319" s="186"/>
      <c r="AA319" s="186"/>
      <c r="AB319" s="186"/>
      <c r="AC319" s="186"/>
      <c r="AD319" s="186"/>
      <c r="AE319" s="186"/>
      <c r="AF319" s="186"/>
      <c r="AG319" s="186"/>
      <c r="AH319" s="186"/>
      <c r="AI319" s="186"/>
      <c r="AJ319" s="186"/>
      <c r="AK319" s="186"/>
      <c r="AL319" s="186"/>
      <c r="AM319" s="186"/>
      <c r="AN319" s="186"/>
      <c r="AO319" s="186"/>
      <c r="AP319" s="186"/>
      <c r="AQ319" s="186"/>
      <c r="AR319" s="186"/>
      <c r="AS319" s="186"/>
      <c r="AT319" s="186"/>
      <c r="AU319" s="186"/>
      <c r="AV319" s="186"/>
      <c r="AW319" s="186"/>
      <c r="AX319" s="186"/>
      <c r="AY319" s="186"/>
      <c r="AZ319" s="186"/>
      <c r="BA319" s="186"/>
      <c r="BB319" s="186"/>
      <c r="BC319" s="186"/>
      <c r="BD319" s="186"/>
      <c r="BE319" s="186"/>
      <c r="BF319" s="186"/>
      <c r="BG319" s="186"/>
      <c r="BH319" s="186"/>
      <c r="BI319" s="186"/>
      <c r="BJ319" s="186"/>
      <c r="BK319" s="186"/>
    </row>
    <row r="320" spans="1:63">
      <c r="A320" s="186"/>
      <c r="B320" s="186"/>
      <c r="C320" s="186"/>
      <c r="D320" s="186"/>
      <c r="E320" s="186"/>
      <c r="F320" s="186"/>
      <c r="G320" s="186"/>
      <c r="H320" s="186"/>
      <c r="I320" s="186"/>
      <c r="J320" s="186"/>
      <c r="K320" s="186"/>
      <c r="L320" s="186"/>
      <c r="M320" s="186"/>
      <c r="N320" s="186"/>
      <c r="O320" s="186"/>
      <c r="P320" s="186"/>
      <c r="Q320" s="186"/>
      <c r="R320" s="186"/>
      <c r="S320" s="186"/>
      <c r="T320" s="186"/>
      <c r="U320" s="186"/>
      <c r="V320" s="186"/>
      <c r="W320" s="186"/>
      <c r="X320" s="186"/>
      <c r="Y320" s="186"/>
      <c r="Z320" s="186"/>
      <c r="AA320" s="186"/>
      <c r="AB320" s="186"/>
      <c r="AC320" s="186"/>
      <c r="AD320" s="186"/>
      <c r="AE320" s="186"/>
      <c r="AF320" s="186"/>
      <c r="AG320" s="186"/>
      <c r="AH320" s="186"/>
      <c r="AI320" s="186"/>
      <c r="AJ320" s="186"/>
      <c r="AK320" s="186"/>
      <c r="AL320" s="186"/>
      <c r="AM320" s="186"/>
      <c r="AN320" s="186"/>
      <c r="AO320" s="186"/>
      <c r="AP320" s="186"/>
      <c r="AQ320" s="186"/>
      <c r="AR320" s="186"/>
      <c r="AS320" s="186"/>
      <c r="AT320" s="186"/>
      <c r="AU320" s="186"/>
      <c r="AV320" s="186"/>
      <c r="AW320" s="186"/>
      <c r="AX320" s="186"/>
      <c r="AY320" s="186"/>
      <c r="AZ320" s="186"/>
      <c r="BA320" s="186"/>
      <c r="BB320" s="186"/>
      <c r="BC320" s="186"/>
      <c r="BD320" s="186"/>
      <c r="BE320" s="186"/>
      <c r="BF320" s="186"/>
      <c r="BG320" s="186"/>
      <c r="BH320" s="186"/>
      <c r="BI320" s="186"/>
      <c r="BJ320" s="186"/>
      <c r="BK320" s="186"/>
    </row>
    <row r="321" spans="1:63">
      <c r="A321" s="186"/>
      <c r="B321" s="186"/>
      <c r="C321" s="186"/>
      <c r="D321" s="186"/>
      <c r="E321" s="186"/>
      <c r="F321" s="186"/>
      <c r="G321" s="186"/>
      <c r="H321" s="186"/>
      <c r="I321" s="186"/>
      <c r="J321" s="186"/>
      <c r="K321" s="186"/>
      <c r="L321" s="186"/>
      <c r="M321" s="186"/>
      <c r="N321" s="186"/>
      <c r="O321" s="186"/>
      <c r="P321" s="186"/>
      <c r="Q321" s="186"/>
      <c r="R321" s="186"/>
      <c r="S321" s="186"/>
      <c r="T321" s="186"/>
      <c r="U321" s="186"/>
      <c r="V321" s="186"/>
      <c r="W321" s="186"/>
      <c r="X321" s="186"/>
      <c r="Y321" s="186"/>
      <c r="Z321" s="186"/>
      <c r="AA321" s="186"/>
      <c r="AB321" s="186"/>
      <c r="AC321" s="186"/>
      <c r="AD321" s="186"/>
      <c r="AE321" s="186"/>
      <c r="AF321" s="186"/>
      <c r="AG321" s="186"/>
      <c r="AH321" s="186"/>
      <c r="AI321" s="186"/>
      <c r="AJ321" s="186"/>
      <c r="AK321" s="186"/>
      <c r="AL321" s="186"/>
      <c r="AM321" s="186"/>
      <c r="AN321" s="186"/>
      <c r="AO321" s="186"/>
      <c r="AP321" s="186"/>
      <c r="AQ321" s="186"/>
      <c r="AR321" s="186"/>
      <c r="AS321" s="186"/>
      <c r="AT321" s="186"/>
      <c r="AU321" s="186"/>
      <c r="AV321" s="186"/>
      <c r="AW321" s="186"/>
      <c r="AX321" s="186"/>
      <c r="AY321" s="186"/>
      <c r="AZ321" s="186"/>
      <c r="BA321" s="186"/>
      <c r="BB321" s="186"/>
      <c r="BC321" s="186"/>
      <c r="BD321" s="186"/>
      <c r="BE321" s="186"/>
      <c r="BF321" s="186"/>
      <c r="BG321" s="186"/>
      <c r="BH321" s="186"/>
      <c r="BI321" s="186"/>
      <c r="BJ321" s="186"/>
      <c r="BK321" s="186"/>
    </row>
    <row r="322" spans="1:63">
      <c r="A322" s="186"/>
      <c r="B322" s="186"/>
      <c r="C322" s="186"/>
      <c r="D322" s="186"/>
      <c r="E322" s="186"/>
      <c r="F322" s="186"/>
      <c r="G322" s="186"/>
      <c r="H322" s="186"/>
      <c r="I322" s="186"/>
      <c r="J322" s="186"/>
      <c r="K322" s="186"/>
      <c r="L322" s="186"/>
      <c r="M322" s="186"/>
      <c r="N322" s="186"/>
      <c r="O322" s="186"/>
      <c r="P322" s="186"/>
      <c r="Q322" s="186"/>
      <c r="R322" s="186"/>
      <c r="S322" s="186"/>
      <c r="T322" s="186"/>
      <c r="U322" s="186"/>
      <c r="V322" s="186"/>
      <c r="W322" s="186"/>
      <c r="X322" s="186"/>
      <c r="Y322" s="186"/>
      <c r="Z322" s="186"/>
      <c r="AA322" s="186"/>
      <c r="AB322" s="186"/>
      <c r="AC322" s="186"/>
      <c r="AD322" s="186"/>
      <c r="AE322" s="186"/>
      <c r="AF322" s="186"/>
      <c r="AG322" s="186"/>
      <c r="AH322" s="186"/>
      <c r="AI322" s="186"/>
      <c r="AJ322" s="186"/>
      <c r="AK322" s="186"/>
      <c r="AL322" s="186"/>
      <c r="AM322" s="186"/>
      <c r="AN322" s="186"/>
      <c r="AO322" s="186"/>
      <c r="AP322" s="186"/>
      <c r="AQ322" s="186"/>
      <c r="AR322" s="186"/>
      <c r="AS322" s="186"/>
      <c r="AT322" s="186"/>
      <c r="AU322" s="186"/>
      <c r="AV322" s="186"/>
      <c r="AW322" s="186"/>
      <c r="AX322" s="186"/>
      <c r="AY322" s="186"/>
      <c r="AZ322" s="186"/>
      <c r="BA322" s="186"/>
      <c r="BB322" s="186"/>
      <c r="BC322" s="186"/>
      <c r="BD322" s="186"/>
      <c r="BE322" s="186"/>
      <c r="BF322" s="186"/>
      <c r="BG322" s="186"/>
      <c r="BH322" s="186"/>
      <c r="BI322" s="186"/>
      <c r="BJ322" s="186"/>
      <c r="BK322" s="186"/>
    </row>
    <row r="323" spans="1:63">
      <c r="A323" s="186"/>
      <c r="B323" s="186"/>
      <c r="C323" s="186"/>
      <c r="D323" s="186"/>
      <c r="E323" s="186"/>
      <c r="F323" s="186"/>
      <c r="G323" s="186"/>
      <c r="H323" s="186"/>
      <c r="I323" s="186"/>
      <c r="J323" s="186"/>
      <c r="K323" s="186"/>
      <c r="L323" s="186"/>
      <c r="M323" s="186"/>
      <c r="N323" s="186"/>
      <c r="O323" s="186"/>
      <c r="P323" s="186"/>
      <c r="Q323" s="186"/>
      <c r="R323" s="186"/>
      <c r="S323" s="186"/>
      <c r="T323" s="186"/>
      <c r="U323" s="186"/>
      <c r="V323" s="186"/>
      <c r="W323" s="186"/>
      <c r="X323" s="186"/>
      <c r="Y323" s="186"/>
      <c r="Z323" s="186"/>
      <c r="AA323" s="186"/>
      <c r="AB323" s="186"/>
      <c r="AC323" s="186"/>
      <c r="AD323" s="186"/>
      <c r="AE323" s="186"/>
      <c r="AF323" s="186"/>
      <c r="AG323" s="186"/>
      <c r="AH323" s="186"/>
      <c r="AI323" s="186"/>
      <c r="AJ323" s="186"/>
      <c r="AK323" s="186"/>
      <c r="AL323" s="186"/>
      <c r="AM323" s="186"/>
      <c r="AN323" s="186"/>
      <c r="AO323" s="186"/>
      <c r="AP323" s="186"/>
      <c r="AQ323" s="186"/>
      <c r="AR323" s="186"/>
      <c r="AS323" s="186"/>
      <c r="AT323" s="186"/>
      <c r="AU323" s="186"/>
      <c r="AV323" s="186"/>
      <c r="AW323" s="186"/>
      <c r="AX323" s="186"/>
      <c r="AY323" s="186"/>
      <c r="AZ323" s="186"/>
      <c r="BA323" s="186"/>
      <c r="BB323" s="186"/>
      <c r="BC323" s="186"/>
      <c r="BD323" s="186"/>
      <c r="BE323" s="186"/>
      <c r="BF323" s="186"/>
      <c r="BG323" s="186"/>
      <c r="BH323" s="186"/>
      <c r="BI323" s="186"/>
      <c r="BJ323" s="186"/>
      <c r="BK323" s="186"/>
    </row>
    <row r="324" spans="1:63">
      <c r="A324" s="186"/>
      <c r="B324" s="186"/>
      <c r="C324" s="186"/>
      <c r="D324" s="186"/>
      <c r="E324" s="186"/>
      <c r="F324" s="186"/>
      <c r="G324" s="186"/>
      <c r="H324" s="186"/>
      <c r="I324" s="186"/>
      <c r="J324" s="186"/>
      <c r="K324" s="186"/>
      <c r="L324" s="186"/>
      <c r="M324" s="186"/>
      <c r="N324" s="186"/>
      <c r="O324" s="186"/>
      <c r="P324" s="186"/>
      <c r="Q324" s="186"/>
      <c r="R324" s="186"/>
      <c r="S324" s="186"/>
      <c r="T324" s="186"/>
      <c r="U324" s="186"/>
      <c r="V324" s="186"/>
      <c r="W324" s="186"/>
      <c r="X324" s="186"/>
      <c r="Y324" s="186"/>
      <c r="Z324" s="186"/>
      <c r="AA324" s="186"/>
      <c r="AB324" s="186"/>
      <c r="AC324" s="186"/>
      <c r="AD324" s="186"/>
      <c r="AE324" s="186"/>
      <c r="AF324" s="186"/>
      <c r="AG324" s="186"/>
      <c r="AH324" s="186"/>
      <c r="AI324" s="186"/>
      <c r="AJ324" s="186"/>
      <c r="AK324" s="186"/>
      <c r="AL324" s="186"/>
      <c r="AM324" s="186"/>
      <c r="AN324" s="186"/>
      <c r="AO324" s="186"/>
      <c r="AP324" s="186"/>
      <c r="AQ324" s="186"/>
      <c r="AR324" s="186"/>
      <c r="AS324" s="186"/>
      <c r="AT324" s="186"/>
      <c r="AU324" s="186"/>
      <c r="AV324" s="186"/>
      <c r="AW324" s="186"/>
      <c r="AX324" s="186"/>
      <c r="AY324" s="186"/>
      <c r="AZ324" s="186"/>
      <c r="BA324" s="186"/>
      <c r="BB324" s="186"/>
      <c r="BC324" s="186"/>
      <c r="BD324" s="186"/>
      <c r="BE324" s="186"/>
      <c r="BF324" s="186"/>
      <c r="BG324" s="186"/>
      <c r="BH324" s="186"/>
      <c r="BI324" s="186"/>
      <c r="BJ324" s="186"/>
      <c r="BK324" s="186"/>
    </row>
    <row r="325" spans="1:63">
      <c r="A325" s="186"/>
      <c r="B325" s="186"/>
      <c r="C325" s="186"/>
      <c r="D325" s="186"/>
      <c r="E325" s="186"/>
      <c r="F325" s="186"/>
      <c r="G325" s="186"/>
      <c r="H325" s="186"/>
      <c r="I325" s="186"/>
      <c r="J325" s="186"/>
      <c r="K325" s="186"/>
      <c r="L325" s="186"/>
      <c r="M325" s="186"/>
      <c r="N325" s="186"/>
      <c r="O325" s="186"/>
      <c r="P325" s="186"/>
      <c r="Q325" s="186"/>
      <c r="R325" s="186"/>
      <c r="S325" s="186"/>
      <c r="T325" s="186"/>
      <c r="U325" s="186"/>
      <c r="V325" s="186"/>
      <c r="W325" s="186"/>
      <c r="X325" s="186"/>
      <c r="Y325" s="186"/>
      <c r="Z325" s="186"/>
      <c r="AA325" s="186"/>
      <c r="AB325" s="186"/>
      <c r="AC325" s="186"/>
      <c r="AD325" s="186"/>
      <c r="AE325" s="186"/>
      <c r="AF325" s="186"/>
      <c r="AG325" s="186"/>
      <c r="AH325" s="186"/>
      <c r="AI325" s="186"/>
      <c r="AJ325" s="186"/>
      <c r="AK325" s="186"/>
      <c r="AL325" s="186"/>
      <c r="AM325" s="186"/>
      <c r="AN325" s="186"/>
      <c r="AO325" s="186"/>
      <c r="AP325" s="186"/>
      <c r="AQ325" s="186"/>
      <c r="AR325" s="186"/>
      <c r="AS325" s="186"/>
      <c r="AT325" s="186"/>
      <c r="AU325" s="186"/>
      <c r="AV325" s="186"/>
      <c r="AW325" s="186"/>
      <c r="AX325" s="186"/>
      <c r="AY325" s="186"/>
      <c r="AZ325" s="186"/>
      <c r="BA325" s="186"/>
      <c r="BB325" s="186"/>
      <c r="BC325" s="186"/>
      <c r="BD325" s="186"/>
      <c r="BE325" s="186"/>
      <c r="BF325" s="186"/>
      <c r="BG325" s="186"/>
      <c r="BH325" s="186"/>
      <c r="BI325" s="186"/>
      <c r="BJ325" s="186"/>
      <c r="BK325" s="186"/>
    </row>
    <row r="326" spans="1:63">
      <c r="A326" s="186"/>
      <c r="B326" s="186"/>
      <c r="C326" s="186"/>
      <c r="D326" s="186"/>
      <c r="E326" s="186"/>
      <c r="F326" s="186"/>
      <c r="G326" s="186"/>
      <c r="H326" s="186"/>
      <c r="I326" s="186"/>
      <c r="J326" s="186"/>
      <c r="K326" s="186"/>
      <c r="L326" s="186"/>
      <c r="M326" s="186"/>
      <c r="N326" s="186"/>
      <c r="O326" s="186"/>
      <c r="P326" s="186"/>
      <c r="Q326" s="186"/>
      <c r="R326" s="186"/>
      <c r="S326" s="186"/>
      <c r="T326" s="186"/>
      <c r="U326" s="186"/>
      <c r="V326" s="186"/>
      <c r="W326" s="186"/>
      <c r="X326" s="186"/>
      <c r="Y326" s="186"/>
      <c r="Z326" s="186"/>
      <c r="AA326" s="186"/>
      <c r="AB326" s="186"/>
      <c r="AC326" s="186"/>
      <c r="AD326" s="186"/>
      <c r="AE326" s="186"/>
      <c r="AF326" s="186"/>
      <c r="AG326" s="186"/>
      <c r="AH326" s="186"/>
      <c r="AI326" s="186"/>
      <c r="AJ326" s="186"/>
      <c r="AK326" s="186"/>
      <c r="AL326" s="186"/>
      <c r="AM326" s="186"/>
      <c r="AN326" s="186"/>
      <c r="AO326" s="186"/>
      <c r="AP326" s="186"/>
      <c r="AQ326" s="186"/>
      <c r="AR326" s="186"/>
      <c r="AS326" s="186"/>
      <c r="AT326" s="186"/>
      <c r="AU326" s="186"/>
      <c r="AV326" s="186"/>
      <c r="AW326" s="186"/>
      <c r="AX326" s="186"/>
      <c r="AY326" s="186"/>
      <c r="AZ326" s="186"/>
      <c r="BA326" s="186"/>
      <c r="BB326" s="186"/>
      <c r="BC326" s="186"/>
      <c r="BD326" s="186"/>
      <c r="BE326" s="186"/>
      <c r="BF326" s="186"/>
      <c r="BG326" s="186"/>
      <c r="BH326" s="186"/>
      <c r="BI326" s="186"/>
      <c r="BJ326" s="186"/>
      <c r="BK326" s="186"/>
    </row>
    <row r="327" spans="1:63">
      <c r="A327" s="186"/>
      <c r="B327" s="186"/>
      <c r="C327" s="186"/>
      <c r="D327" s="186"/>
      <c r="E327" s="186"/>
      <c r="F327" s="186"/>
      <c r="G327" s="186"/>
      <c r="H327" s="186"/>
      <c r="I327" s="186"/>
      <c r="J327" s="186"/>
      <c r="K327" s="186"/>
      <c r="L327" s="186"/>
      <c r="M327" s="186"/>
      <c r="N327" s="186"/>
      <c r="O327" s="186"/>
      <c r="P327" s="186"/>
      <c r="Q327" s="186"/>
      <c r="R327" s="186"/>
      <c r="S327" s="186"/>
      <c r="T327" s="186"/>
      <c r="U327" s="186"/>
      <c r="V327" s="186"/>
      <c r="W327" s="186"/>
      <c r="X327" s="186"/>
      <c r="Y327" s="186"/>
      <c r="Z327" s="186"/>
      <c r="AA327" s="186"/>
      <c r="AB327" s="186"/>
      <c r="AC327" s="186"/>
      <c r="AD327" s="186"/>
      <c r="AE327" s="186"/>
      <c r="AF327" s="186"/>
      <c r="AG327" s="186"/>
      <c r="AH327" s="186"/>
      <c r="AI327" s="186"/>
      <c r="AJ327" s="186"/>
      <c r="AK327" s="186"/>
      <c r="AL327" s="186"/>
      <c r="AM327" s="186"/>
      <c r="AN327" s="186"/>
      <c r="AO327" s="186"/>
      <c r="AP327" s="186"/>
      <c r="AQ327" s="186"/>
      <c r="AR327" s="186"/>
      <c r="AS327" s="186"/>
      <c r="AT327" s="186"/>
      <c r="AU327" s="186"/>
      <c r="AV327" s="186"/>
      <c r="AW327" s="186"/>
      <c r="AX327" s="186"/>
      <c r="AY327" s="186"/>
      <c r="AZ327" s="186"/>
      <c r="BA327" s="186"/>
      <c r="BB327" s="186"/>
      <c r="BC327" s="186"/>
      <c r="BD327" s="186"/>
      <c r="BE327" s="186"/>
      <c r="BF327" s="186"/>
      <c r="BG327" s="186"/>
      <c r="BH327" s="186"/>
      <c r="BI327" s="186"/>
      <c r="BJ327" s="186"/>
      <c r="BK327" s="186"/>
    </row>
    <row r="328" spans="1:63">
      <c r="A328" s="186"/>
      <c r="B328" s="186"/>
      <c r="C328" s="186"/>
      <c r="D328" s="186"/>
      <c r="E328" s="186"/>
      <c r="F328" s="186"/>
      <c r="G328" s="186"/>
      <c r="H328" s="186"/>
      <c r="I328" s="186"/>
      <c r="J328" s="186"/>
      <c r="K328" s="186"/>
      <c r="L328" s="186"/>
      <c r="M328" s="186"/>
      <c r="N328" s="186"/>
      <c r="O328" s="186"/>
      <c r="P328" s="186"/>
      <c r="Q328" s="186"/>
      <c r="R328" s="186"/>
      <c r="S328" s="186"/>
      <c r="T328" s="186"/>
      <c r="U328" s="186"/>
      <c r="V328" s="186"/>
      <c r="W328" s="186"/>
      <c r="X328" s="186"/>
      <c r="Y328" s="186"/>
      <c r="Z328" s="186"/>
      <c r="AA328" s="186"/>
      <c r="AB328" s="186"/>
      <c r="AC328" s="186"/>
      <c r="AD328" s="186"/>
      <c r="AE328" s="186"/>
      <c r="AF328" s="186"/>
      <c r="AG328" s="186"/>
      <c r="AH328" s="186"/>
      <c r="AI328" s="186"/>
      <c r="AJ328" s="186"/>
      <c r="AK328" s="186"/>
      <c r="AL328" s="186"/>
      <c r="AM328" s="186"/>
      <c r="AN328" s="186"/>
      <c r="AO328" s="186"/>
      <c r="AP328" s="186"/>
      <c r="AQ328" s="186"/>
      <c r="AR328" s="186"/>
      <c r="AS328" s="186"/>
      <c r="AT328" s="186"/>
      <c r="AU328" s="186"/>
      <c r="AV328" s="186"/>
      <c r="AW328" s="186"/>
      <c r="AX328" s="186"/>
      <c r="AY328" s="186"/>
      <c r="AZ328" s="186"/>
      <c r="BA328" s="186"/>
      <c r="BB328" s="186"/>
      <c r="BC328" s="186"/>
      <c r="BD328" s="186"/>
      <c r="BE328" s="186"/>
      <c r="BF328" s="186"/>
      <c r="BG328" s="186"/>
      <c r="BH328" s="186"/>
      <c r="BI328" s="186"/>
      <c r="BJ328" s="186"/>
      <c r="BK328" s="186"/>
    </row>
    <row r="329" spans="1:63">
      <c r="A329" s="186"/>
      <c r="B329" s="186"/>
      <c r="C329" s="186"/>
      <c r="D329" s="186"/>
      <c r="E329" s="186"/>
      <c r="F329" s="186"/>
      <c r="G329" s="186"/>
      <c r="H329" s="186"/>
      <c r="I329" s="186"/>
      <c r="J329" s="186"/>
      <c r="K329" s="186"/>
      <c r="L329" s="186"/>
      <c r="M329" s="186"/>
      <c r="N329" s="186"/>
      <c r="O329" s="186"/>
      <c r="P329" s="186"/>
      <c r="Q329" s="186"/>
      <c r="R329" s="186"/>
      <c r="S329" s="186"/>
      <c r="T329" s="186"/>
      <c r="U329" s="186"/>
      <c r="V329" s="186"/>
      <c r="W329" s="186"/>
      <c r="X329" s="186"/>
      <c r="Y329" s="186"/>
      <c r="Z329" s="186"/>
      <c r="AA329" s="186"/>
      <c r="AB329" s="186"/>
      <c r="AC329" s="186"/>
      <c r="AD329" s="186"/>
      <c r="AE329" s="186"/>
      <c r="AF329" s="186"/>
      <c r="AG329" s="186"/>
      <c r="AH329" s="186"/>
      <c r="AI329" s="186"/>
      <c r="AJ329" s="186"/>
      <c r="AK329" s="186"/>
      <c r="AL329" s="186"/>
      <c r="AM329" s="186"/>
      <c r="AN329" s="186"/>
      <c r="AO329" s="186"/>
      <c r="AP329" s="186"/>
      <c r="AQ329" s="186"/>
      <c r="AR329" s="186"/>
      <c r="AS329" s="186"/>
      <c r="AT329" s="186"/>
      <c r="AU329" s="186"/>
      <c r="AV329" s="186"/>
      <c r="AW329" s="186"/>
      <c r="AX329" s="186"/>
      <c r="AY329" s="186"/>
      <c r="AZ329" s="186"/>
      <c r="BA329" s="186"/>
      <c r="BB329" s="186"/>
      <c r="BC329" s="186"/>
      <c r="BD329" s="186"/>
      <c r="BE329" s="186"/>
      <c r="BF329" s="186"/>
      <c r="BG329" s="186"/>
      <c r="BH329" s="186"/>
      <c r="BI329" s="186"/>
      <c r="BJ329" s="186"/>
      <c r="BK329" s="186"/>
    </row>
    <row r="330" spans="1:63">
      <c r="A330" s="186"/>
      <c r="B330" s="186"/>
      <c r="C330" s="186"/>
      <c r="D330" s="186"/>
      <c r="E330" s="186"/>
      <c r="F330" s="186"/>
      <c r="G330" s="186"/>
      <c r="H330" s="186"/>
      <c r="I330" s="186"/>
      <c r="J330" s="186"/>
      <c r="K330" s="186"/>
      <c r="L330" s="186"/>
      <c r="M330" s="186"/>
      <c r="N330" s="186"/>
      <c r="O330" s="186"/>
      <c r="P330" s="186"/>
      <c r="Q330" s="186"/>
      <c r="R330" s="186"/>
      <c r="S330" s="186"/>
      <c r="T330" s="186"/>
      <c r="U330" s="186"/>
      <c r="V330" s="186"/>
      <c r="W330" s="186"/>
      <c r="X330" s="186"/>
      <c r="Y330" s="186"/>
      <c r="Z330" s="186"/>
      <c r="AA330" s="186"/>
      <c r="AB330" s="186"/>
      <c r="AC330" s="186"/>
      <c r="AD330" s="186"/>
      <c r="AE330" s="186"/>
      <c r="AF330" s="186"/>
      <c r="AG330" s="186"/>
      <c r="AH330" s="186"/>
      <c r="AI330" s="186"/>
      <c r="AJ330" s="186"/>
      <c r="AK330" s="186"/>
      <c r="AL330" s="186"/>
      <c r="AM330" s="186"/>
      <c r="AN330" s="186"/>
      <c r="AO330" s="186"/>
      <c r="AP330" s="186"/>
      <c r="AQ330" s="186"/>
      <c r="AR330" s="186"/>
      <c r="AS330" s="186"/>
      <c r="AT330" s="186"/>
      <c r="AU330" s="186"/>
      <c r="AV330" s="186"/>
      <c r="AW330" s="186"/>
      <c r="AX330" s="186"/>
      <c r="AY330" s="186"/>
      <c r="AZ330" s="186"/>
      <c r="BA330" s="186"/>
      <c r="BB330" s="186"/>
      <c r="BC330" s="186"/>
      <c r="BD330" s="186"/>
      <c r="BE330" s="186"/>
      <c r="BF330" s="186"/>
      <c r="BG330" s="186"/>
      <c r="BH330" s="186"/>
      <c r="BI330" s="186"/>
      <c r="BJ330" s="186"/>
      <c r="BK330" s="186"/>
    </row>
    <row r="331" spans="1:63">
      <c r="A331" s="186"/>
      <c r="B331" s="186"/>
      <c r="C331" s="186"/>
      <c r="D331" s="186"/>
      <c r="E331" s="186"/>
      <c r="F331" s="186"/>
      <c r="G331" s="186"/>
      <c r="H331" s="186"/>
      <c r="I331" s="186"/>
      <c r="J331" s="186"/>
      <c r="K331" s="186"/>
      <c r="L331" s="186"/>
      <c r="M331" s="186"/>
      <c r="N331" s="186"/>
      <c r="O331" s="186"/>
      <c r="P331" s="186"/>
      <c r="Q331" s="186"/>
      <c r="R331" s="186"/>
      <c r="S331" s="186"/>
      <c r="T331" s="186"/>
      <c r="U331" s="186"/>
      <c r="V331" s="186"/>
      <c r="W331" s="186"/>
      <c r="X331" s="186"/>
      <c r="Y331" s="186"/>
      <c r="Z331" s="186"/>
      <c r="AA331" s="186"/>
      <c r="AB331" s="186"/>
      <c r="AC331" s="186"/>
      <c r="AD331" s="186"/>
      <c r="AE331" s="186"/>
      <c r="AF331" s="186"/>
      <c r="AG331" s="186"/>
      <c r="AH331" s="186"/>
      <c r="AI331" s="186"/>
      <c r="AJ331" s="186"/>
      <c r="AK331" s="186"/>
      <c r="AL331" s="186"/>
      <c r="AM331" s="186"/>
      <c r="AN331" s="186"/>
      <c r="AO331" s="186"/>
      <c r="AP331" s="186"/>
      <c r="AQ331" s="186"/>
      <c r="AR331" s="186"/>
      <c r="AS331" s="186"/>
      <c r="AT331" s="186"/>
      <c r="AU331" s="186"/>
      <c r="AV331" s="186"/>
      <c r="AW331" s="186"/>
      <c r="AX331" s="186"/>
      <c r="AY331" s="186"/>
      <c r="AZ331" s="186"/>
      <c r="BA331" s="186"/>
      <c r="BB331" s="186"/>
      <c r="BC331" s="186"/>
      <c r="BD331" s="186"/>
      <c r="BE331" s="186"/>
      <c r="BF331" s="186"/>
      <c r="BG331" s="186"/>
      <c r="BH331" s="186"/>
      <c r="BI331" s="186"/>
      <c r="BJ331" s="186"/>
      <c r="BK331" s="186"/>
    </row>
    <row r="332" spans="1:63">
      <c r="A332" s="186"/>
      <c r="B332" s="186"/>
      <c r="C332" s="186"/>
      <c r="D332" s="186"/>
      <c r="E332" s="186"/>
      <c r="F332" s="186"/>
      <c r="G332" s="186"/>
      <c r="H332" s="186"/>
      <c r="I332" s="186"/>
      <c r="J332" s="186"/>
      <c r="K332" s="186"/>
      <c r="L332" s="186"/>
      <c r="M332" s="186"/>
      <c r="N332" s="186"/>
      <c r="O332" s="186"/>
      <c r="P332" s="186"/>
      <c r="Q332" s="186"/>
      <c r="R332" s="186"/>
      <c r="S332" s="186"/>
      <c r="T332" s="186"/>
      <c r="U332" s="186"/>
      <c r="V332" s="186"/>
      <c r="W332" s="186"/>
      <c r="X332" s="186"/>
      <c r="Y332" s="186"/>
      <c r="Z332" s="186"/>
      <c r="AA332" s="186"/>
      <c r="AB332" s="186"/>
      <c r="AC332" s="186"/>
      <c r="AD332" s="186"/>
      <c r="AE332" s="186"/>
      <c r="AF332" s="186"/>
      <c r="AG332" s="186"/>
      <c r="AH332" s="186"/>
      <c r="AI332" s="186"/>
      <c r="AJ332" s="186"/>
      <c r="AK332" s="186"/>
      <c r="AL332" s="186"/>
      <c r="AM332" s="186"/>
      <c r="AN332" s="186"/>
      <c r="AO332" s="186"/>
      <c r="AP332" s="186"/>
      <c r="AQ332" s="186"/>
      <c r="AR332" s="186"/>
      <c r="AS332" s="186"/>
      <c r="AT332" s="186"/>
      <c r="AU332" s="186"/>
      <c r="AV332" s="186"/>
      <c r="AW332" s="186"/>
      <c r="AX332" s="186"/>
      <c r="AY332" s="186"/>
      <c r="AZ332" s="186"/>
      <c r="BA332" s="186"/>
      <c r="BB332" s="186"/>
      <c r="BC332" s="186"/>
      <c r="BD332" s="186"/>
      <c r="BE332" s="186"/>
      <c r="BF332" s="186"/>
      <c r="BG332" s="186"/>
      <c r="BH332" s="186"/>
      <c r="BI332" s="186"/>
      <c r="BJ332" s="186"/>
      <c r="BK332" s="186"/>
    </row>
    <row r="333" spans="1:63">
      <c r="A333" s="186"/>
      <c r="B333" s="186"/>
      <c r="C333" s="186"/>
      <c r="D333" s="186"/>
      <c r="E333" s="186"/>
      <c r="F333" s="186"/>
      <c r="G333" s="186"/>
      <c r="H333" s="186"/>
      <c r="I333" s="186"/>
      <c r="J333" s="186"/>
      <c r="K333" s="186"/>
      <c r="L333" s="186"/>
      <c r="M333" s="186"/>
      <c r="N333" s="186"/>
      <c r="O333" s="186"/>
      <c r="P333" s="186"/>
      <c r="Q333" s="186"/>
      <c r="R333" s="186"/>
      <c r="S333" s="186"/>
      <c r="T333" s="186"/>
      <c r="U333" s="186"/>
      <c r="V333" s="186"/>
      <c r="W333" s="186"/>
      <c r="X333" s="186"/>
      <c r="Y333" s="186"/>
      <c r="Z333" s="186"/>
      <c r="AA333" s="186"/>
      <c r="AB333" s="186"/>
      <c r="AC333" s="186"/>
      <c r="AD333" s="186"/>
      <c r="AE333" s="186"/>
      <c r="AF333" s="186"/>
      <c r="AG333" s="186"/>
      <c r="AH333" s="186"/>
      <c r="AI333" s="186"/>
      <c r="AJ333" s="186"/>
      <c r="AK333" s="186"/>
      <c r="AL333" s="186"/>
      <c r="AM333" s="186"/>
      <c r="AN333" s="186"/>
      <c r="AO333" s="186"/>
      <c r="AP333" s="186"/>
      <c r="AQ333" s="186"/>
      <c r="AR333" s="186"/>
      <c r="AS333" s="186"/>
      <c r="AT333" s="186"/>
      <c r="AU333" s="186"/>
      <c r="AV333" s="186"/>
      <c r="AW333" s="186"/>
      <c r="AX333" s="186"/>
      <c r="AY333" s="186"/>
      <c r="AZ333" s="186"/>
      <c r="BA333" s="186"/>
      <c r="BB333" s="186"/>
      <c r="BC333" s="186"/>
      <c r="BD333" s="186"/>
      <c r="BE333" s="186"/>
      <c r="BF333" s="186"/>
      <c r="BG333" s="186"/>
      <c r="BH333" s="186"/>
      <c r="BI333" s="186"/>
      <c r="BJ333" s="186"/>
      <c r="BK333" s="186"/>
    </row>
    <row r="334" spans="1:63">
      <c r="A334" s="186"/>
      <c r="B334" s="186"/>
      <c r="C334" s="186"/>
      <c r="D334" s="186"/>
      <c r="E334" s="186"/>
      <c r="F334" s="186"/>
      <c r="G334" s="186"/>
      <c r="H334" s="186"/>
      <c r="I334" s="186"/>
      <c r="J334" s="186"/>
      <c r="K334" s="186"/>
      <c r="L334" s="186"/>
      <c r="M334" s="186"/>
      <c r="N334" s="186"/>
      <c r="O334" s="186"/>
      <c r="P334" s="186"/>
      <c r="Q334" s="186"/>
      <c r="R334" s="186"/>
      <c r="S334" s="186"/>
      <c r="T334" s="186"/>
      <c r="U334" s="186"/>
      <c r="V334" s="186"/>
      <c r="W334" s="186"/>
      <c r="X334" s="186"/>
      <c r="Y334" s="186"/>
      <c r="Z334" s="186"/>
      <c r="AA334" s="186"/>
      <c r="AB334" s="186"/>
      <c r="AC334" s="186"/>
      <c r="AD334" s="186"/>
      <c r="AE334" s="186"/>
      <c r="AF334" s="186"/>
      <c r="AG334" s="186"/>
      <c r="AH334" s="186"/>
      <c r="AI334" s="186"/>
      <c r="AJ334" s="186"/>
      <c r="AK334" s="186"/>
      <c r="AL334" s="186"/>
      <c r="AM334" s="186"/>
      <c r="AN334" s="186"/>
      <c r="AO334" s="186"/>
      <c r="AP334" s="186"/>
      <c r="AQ334" s="186"/>
      <c r="AR334" s="186"/>
      <c r="AS334" s="186"/>
      <c r="AT334" s="186"/>
      <c r="AU334" s="186"/>
      <c r="AV334" s="186"/>
      <c r="AW334" s="186"/>
      <c r="AX334" s="186"/>
      <c r="AY334" s="186"/>
      <c r="AZ334" s="186"/>
      <c r="BA334" s="186"/>
      <c r="BB334" s="186"/>
      <c r="BC334" s="186"/>
      <c r="BD334" s="186"/>
      <c r="BE334" s="186"/>
      <c r="BF334" s="186"/>
      <c r="BG334" s="186"/>
      <c r="BH334" s="186"/>
      <c r="BI334" s="186"/>
      <c r="BJ334" s="186"/>
      <c r="BK334" s="186"/>
    </row>
    <row r="335" spans="1:63">
      <c r="A335" s="186"/>
      <c r="B335" s="186"/>
      <c r="C335" s="186"/>
      <c r="D335" s="186"/>
      <c r="E335" s="186"/>
      <c r="F335" s="186"/>
      <c r="G335" s="186"/>
      <c r="H335" s="186"/>
      <c r="I335" s="186"/>
      <c r="J335" s="186"/>
      <c r="K335" s="186"/>
      <c r="L335" s="186"/>
      <c r="M335" s="186"/>
      <c r="N335" s="186"/>
      <c r="O335" s="186"/>
      <c r="P335" s="186"/>
      <c r="Q335" s="186"/>
      <c r="R335" s="186"/>
      <c r="S335" s="186"/>
      <c r="T335" s="186"/>
      <c r="U335" s="186"/>
      <c r="V335" s="186"/>
      <c r="W335" s="186"/>
      <c r="X335" s="186"/>
      <c r="Y335" s="186"/>
      <c r="Z335" s="186"/>
      <c r="AA335" s="186"/>
      <c r="AB335" s="186"/>
      <c r="AC335" s="186"/>
      <c r="AD335" s="186"/>
      <c r="AE335" s="186"/>
      <c r="AF335" s="186"/>
      <c r="AG335" s="186"/>
      <c r="AH335" s="186"/>
      <c r="AI335" s="186"/>
      <c r="AJ335" s="186"/>
      <c r="AK335" s="186"/>
      <c r="AL335" s="186"/>
      <c r="AM335" s="186"/>
      <c r="AN335" s="186"/>
      <c r="AO335" s="186"/>
      <c r="AP335" s="186"/>
      <c r="AQ335" s="186"/>
      <c r="AR335" s="186"/>
      <c r="AS335" s="186"/>
      <c r="AT335" s="186"/>
      <c r="AU335" s="186"/>
      <c r="AV335" s="186"/>
      <c r="AW335" s="186"/>
      <c r="AX335" s="186"/>
      <c r="AY335" s="186"/>
      <c r="AZ335" s="186"/>
      <c r="BA335" s="186"/>
      <c r="BB335" s="186"/>
      <c r="BC335" s="186"/>
      <c r="BD335" s="186"/>
      <c r="BE335" s="186"/>
      <c r="BF335" s="186"/>
      <c r="BG335" s="186"/>
      <c r="BH335" s="186"/>
      <c r="BI335" s="186"/>
      <c r="BJ335" s="186"/>
      <c r="BK335" s="186"/>
    </row>
    <row r="336" spans="1:63">
      <c r="A336" s="186"/>
      <c r="B336" s="186"/>
      <c r="C336" s="186"/>
      <c r="D336" s="186"/>
      <c r="E336" s="186"/>
      <c r="F336" s="186"/>
      <c r="G336" s="186"/>
      <c r="H336" s="186"/>
      <c r="I336" s="186"/>
      <c r="J336" s="186"/>
      <c r="K336" s="186"/>
      <c r="L336" s="186"/>
      <c r="M336" s="186"/>
      <c r="N336" s="186"/>
      <c r="O336" s="186"/>
      <c r="P336" s="186"/>
      <c r="Q336" s="186"/>
      <c r="R336" s="186"/>
      <c r="S336" s="186"/>
      <c r="T336" s="186"/>
      <c r="U336" s="186"/>
      <c r="V336" s="186"/>
      <c r="W336" s="186"/>
      <c r="X336" s="186"/>
      <c r="Y336" s="186"/>
      <c r="Z336" s="186"/>
      <c r="AA336" s="186"/>
      <c r="AB336" s="186"/>
      <c r="AC336" s="186"/>
      <c r="AD336" s="186"/>
      <c r="AE336" s="186"/>
      <c r="AF336" s="186"/>
      <c r="AG336" s="186"/>
      <c r="AH336" s="186"/>
      <c r="AI336" s="186"/>
      <c r="AJ336" s="186"/>
      <c r="AK336" s="186"/>
      <c r="AL336" s="186"/>
      <c r="AM336" s="186"/>
      <c r="AN336" s="186"/>
      <c r="AO336" s="186"/>
      <c r="AP336" s="186"/>
      <c r="AQ336" s="186"/>
      <c r="AR336" s="186"/>
      <c r="AS336" s="186"/>
      <c r="AT336" s="186"/>
      <c r="AU336" s="186"/>
      <c r="AV336" s="186"/>
      <c r="AW336" s="186"/>
      <c r="AX336" s="186"/>
      <c r="AY336" s="186"/>
      <c r="AZ336" s="186"/>
      <c r="BA336" s="186"/>
      <c r="BB336" s="186"/>
      <c r="BC336" s="186"/>
      <c r="BD336" s="186"/>
      <c r="BE336" s="186"/>
      <c r="BF336" s="186"/>
      <c r="BG336" s="186"/>
      <c r="BH336" s="186"/>
      <c r="BI336" s="186"/>
      <c r="BJ336" s="186"/>
      <c r="BK336" s="186"/>
    </row>
    <row r="337" spans="1:63">
      <c r="A337" s="186"/>
      <c r="B337" s="186"/>
      <c r="C337" s="186"/>
      <c r="D337" s="186"/>
      <c r="E337" s="186"/>
      <c r="F337" s="186"/>
      <c r="G337" s="186"/>
      <c r="H337" s="186"/>
      <c r="I337" s="186"/>
      <c r="J337" s="186"/>
      <c r="K337" s="186"/>
      <c r="L337" s="186"/>
      <c r="M337" s="186"/>
      <c r="N337" s="186"/>
      <c r="O337" s="186"/>
      <c r="P337" s="186"/>
      <c r="Q337" s="186"/>
      <c r="R337" s="186"/>
      <c r="S337" s="186"/>
      <c r="T337" s="186"/>
      <c r="U337" s="186"/>
      <c r="V337" s="186"/>
      <c r="W337" s="186"/>
      <c r="X337" s="186"/>
      <c r="Y337" s="186"/>
      <c r="Z337" s="186"/>
      <c r="AA337" s="186"/>
      <c r="AB337" s="186"/>
      <c r="AC337" s="186"/>
      <c r="AD337" s="186"/>
      <c r="AE337" s="186"/>
      <c r="AF337" s="186"/>
      <c r="AG337" s="186"/>
      <c r="AH337" s="186"/>
      <c r="AI337" s="186"/>
      <c r="AJ337" s="186"/>
      <c r="AK337" s="186"/>
      <c r="AL337" s="186"/>
      <c r="AM337" s="186"/>
      <c r="AN337" s="186"/>
      <c r="AO337" s="186"/>
      <c r="AP337" s="186"/>
      <c r="AQ337" s="186"/>
      <c r="AR337" s="186"/>
      <c r="AS337" s="186"/>
      <c r="AT337" s="186"/>
      <c r="AU337" s="186"/>
      <c r="AV337" s="186"/>
      <c r="AW337" s="186"/>
      <c r="AX337" s="186"/>
      <c r="AY337" s="186"/>
      <c r="AZ337" s="186"/>
      <c r="BA337" s="186"/>
      <c r="BB337" s="186"/>
      <c r="BC337" s="186"/>
      <c r="BD337" s="186"/>
      <c r="BE337" s="186"/>
      <c r="BF337" s="186"/>
      <c r="BG337" s="186"/>
      <c r="BH337" s="186"/>
      <c r="BI337" s="186"/>
      <c r="BJ337" s="186"/>
      <c r="BK337" s="186"/>
    </row>
    <row r="338" spans="1:63">
      <c r="A338" s="186"/>
      <c r="B338" s="186"/>
      <c r="C338" s="186"/>
      <c r="D338" s="186"/>
      <c r="E338" s="186"/>
      <c r="F338" s="186"/>
      <c r="G338" s="186"/>
      <c r="H338" s="186"/>
      <c r="I338" s="186"/>
      <c r="J338" s="186"/>
      <c r="K338" s="186"/>
      <c r="L338" s="186"/>
      <c r="M338" s="186"/>
      <c r="N338" s="186"/>
      <c r="O338" s="186"/>
      <c r="P338" s="186"/>
      <c r="Q338" s="186"/>
      <c r="R338" s="186"/>
      <c r="S338" s="186"/>
      <c r="T338" s="186"/>
      <c r="U338" s="186"/>
      <c r="V338" s="186"/>
      <c r="W338" s="186"/>
      <c r="X338" s="186"/>
      <c r="Y338" s="186"/>
      <c r="Z338" s="186"/>
      <c r="AA338" s="186"/>
      <c r="AB338" s="186"/>
      <c r="AC338" s="186"/>
      <c r="AD338" s="186"/>
      <c r="AE338" s="186"/>
      <c r="AF338" s="186"/>
      <c r="AG338" s="186"/>
      <c r="AH338" s="186"/>
      <c r="AI338" s="186"/>
      <c r="AJ338" s="186"/>
      <c r="AK338" s="186"/>
      <c r="AL338" s="186"/>
      <c r="AM338" s="186"/>
      <c r="AN338" s="186"/>
      <c r="AO338" s="186"/>
      <c r="AP338" s="186"/>
      <c r="AQ338" s="186"/>
      <c r="AR338" s="186"/>
      <c r="AS338" s="186"/>
      <c r="AT338" s="186"/>
      <c r="AU338" s="186"/>
      <c r="AV338" s="186"/>
      <c r="AW338" s="186"/>
      <c r="AX338" s="186"/>
      <c r="AY338" s="186"/>
      <c r="AZ338" s="186"/>
      <c r="BA338" s="186"/>
      <c r="BB338" s="186"/>
      <c r="BC338" s="186"/>
      <c r="BD338" s="186"/>
      <c r="BE338" s="186"/>
      <c r="BF338" s="186"/>
      <c r="BG338" s="186"/>
      <c r="BH338" s="186"/>
      <c r="BI338" s="186"/>
      <c r="BJ338" s="186"/>
      <c r="BK338" s="186"/>
    </row>
    <row r="339" spans="1:63">
      <c r="A339" s="186"/>
      <c r="B339" s="186"/>
      <c r="C339" s="186"/>
      <c r="D339" s="186"/>
      <c r="E339" s="186"/>
      <c r="F339" s="186"/>
      <c r="G339" s="186"/>
      <c r="H339" s="186"/>
      <c r="I339" s="186"/>
      <c r="J339" s="186"/>
      <c r="K339" s="186"/>
      <c r="L339" s="186"/>
      <c r="M339" s="186"/>
      <c r="N339" s="186"/>
      <c r="O339" s="186"/>
      <c r="P339" s="186"/>
      <c r="Q339" s="186"/>
      <c r="R339" s="186"/>
      <c r="S339" s="186"/>
      <c r="T339" s="186"/>
      <c r="U339" s="186"/>
      <c r="V339" s="186"/>
      <c r="W339" s="186"/>
      <c r="X339" s="186"/>
      <c r="Y339" s="186"/>
      <c r="Z339" s="186"/>
      <c r="AA339" s="186"/>
      <c r="AB339" s="186"/>
      <c r="AC339" s="186"/>
      <c r="AD339" s="186"/>
      <c r="AE339" s="186"/>
      <c r="AF339" s="186"/>
      <c r="AG339" s="186"/>
      <c r="AH339" s="186"/>
      <c r="AI339" s="186"/>
      <c r="AJ339" s="186"/>
      <c r="AK339" s="186"/>
      <c r="AL339" s="186"/>
      <c r="AM339" s="186"/>
      <c r="AN339" s="186"/>
      <c r="AO339" s="186"/>
      <c r="AP339" s="186"/>
      <c r="AQ339" s="186"/>
      <c r="AR339" s="186"/>
      <c r="AS339" s="186"/>
      <c r="AT339" s="186"/>
      <c r="AU339" s="186"/>
      <c r="AV339" s="186"/>
      <c r="AW339" s="186"/>
      <c r="AX339" s="186"/>
      <c r="AY339" s="186"/>
      <c r="AZ339" s="186"/>
      <c r="BA339" s="186"/>
      <c r="BB339" s="186"/>
      <c r="BC339" s="186"/>
      <c r="BD339" s="186"/>
      <c r="BE339" s="186"/>
      <c r="BF339" s="186"/>
      <c r="BG339" s="186"/>
      <c r="BH339" s="186"/>
      <c r="BI339" s="186"/>
      <c r="BJ339" s="186"/>
      <c r="BK339" s="186"/>
    </row>
    <row r="340" spans="1:63">
      <c r="A340" s="186"/>
      <c r="B340" s="186"/>
      <c r="C340" s="186"/>
      <c r="D340" s="186"/>
      <c r="E340" s="186"/>
      <c r="F340" s="186"/>
      <c r="G340" s="186"/>
      <c r="H340" s="186"/>
      <c r="I340" s="186"/>
      <c r="J340" s="186"/>
      <c r="K340" s="186"/>
      <c r="L340" s="186"/>
      <c r="M340" s="186"/>
      <c r="N340" s="186"/>
      <c r="O340" s="186"/>
      <c r="P340" s="186"/>
      <c r="Q340" s="186"/>
      <c r="R340" s="186"/>
      <c r="S340" s="186"/>
      <c r="T340" s="186"/>
      <c r="U340" s="186"/>
      <c r="V340" s="186"/>
      <c r="W340" s="186"/>
      <c r="X340" s="186"/>
      <c r="Y340" s="186"/>
      <c r="Z340" s="186"/>
      <c r="AA340" s="186"/>
      <c r="AB340" s="186"/>
      <c r="AC340" s="186"/>
      <c r="AD340" s="186"/>
      <c r="AE340" s="186"/>
      <c r="AF340" s="186"/>
      <c r="AG340" s="186"/>
      <c r="AH340" s="186"/>
      <c r="AI340" s="186"/>
      <c r="AJ340" s="186"/>
      <c r="AK340" s="186"/>
      <c r="AL340" s="186"/>
      <c r="AM340" s="186"/>
      <c r="AN340" s="186"/>
      <c r="AO340" s="186"/>
      <c r="AP340" s="186"/>
      <c r="AQ340" s="186"/>
      <c r="AR340" s="186"/>
      <c r="AS340" s="186"/>
      <c r="AT340" s="186"/>
      <c r="AU340" s="186"/>
      <c r="AV340" s="186"/>
      <c r="AW340" s="186"/>
      <c r="AX340" s="186"/>
      <c r="AY340" s="186"/>
      <c r="AZ340" s="186"/>
      <c r="BA340" s="186"/>
      <c r="BB340" s="186"/>
      <c r="BC340" s="186"/>
      <c r="BD340" s="186"/>
      <c r="BE340" s="186"/>
      <c r="BF340" s="186"/>
      <c r="BG340" s="186"/>
      <c r="BH340" s="186"/>
      <c r="BI340" s="186"/>
      <c r="BJ340" s="186"/>
      <c r="BK340" s="186"/>
    </row>
    <row r="341" spans="1:63">
      <c r="A341" s="186"/>
      <c r="B341" s="186"/>
      <c r="C341" s="186"/>
      <c r="D341" s="186"/>
      <c r="E341" s="186"/>
      <c r="F341" s="186"/>
      <c r="G341" s="186"/>
      <c r="H341" s="186"/>
      <c r="I341" s="186"/>
      <c r="J341" s="186"/>
      <c r="K341" s="186"/>
      <c r="L341" s="186"/>
      <c r="M341" s="186"/>
      <c r="N341" s="186"/>
      <c r="O341" s="186"/>
      <c r="P341" s="186"/>
      <c r="Q341" s="186"/>
      <c r="R341" s="186"/>
      <c r="S341" s="186"/>
      <c r="T341" s="186"/>
      <c r="U341" s="186"/>
      <c r="V341" s="186"/>
      <c r="W341" s="186"/>
      <c r="X341" s="186"/>
      <c r="Y341" s="186"/>
      <c r="Z341" s="186"/>
      <c r="AA341" s="186"/>
      <c r="AB341" s="186"/>
      <c r="AC341" s="186"/>
      <c r="AD341" s="186"/>
      <c r="AE341" s="186"/>
      <c r="AF341" s="186"/>
      <c r="AG341" s="186"/>
      <c r="AH341" s="186"/>
      <c r="AI341" s="186"/>
      <c r="AJ341" s="186"/>
      <c r="AK341" s="186"/>
      <c r="AL341" s="186"/>
      <c r="AM341" s="186"/>
      <c r="AN341" s="186"/>
      <c r="AO341" s="186"/>
      <c r="AP341" s="186"/>
      <c r="AQ341" s="186"/>
      <c r="AR341" s="186"/>
      <c r="AS341" s="186"/>
      <c r="AT341" s="186"/>
      <c r="AU341" s="186"/>
      <c r="AV341" s="186"/>
      <c r="AW341" s="186"/>
      <c r="AX341" s="186"/>
      <c r="AY341" s="186"/>
      <c r="AZ341" s="186"/>
      <c r="BA341" s="186"/>
      <c r="BB341" s="186"/>
      <c r="BC341" s="186"/>
      <c r="BD341" s="186"/>
      <c r="BE341" s="186"/>
      <c r="BF341" s="186"/>
      <c r="BG341" s="186"/>
      <c r="BH341" s="186"/>
      <c r="BI341" s="186"/>
      <c r="BJ341" s="186"/>
      <c r="BK341" s="186"/>
    </row>
    <row r="342" spans="1:63">
      <c r="A342" s="186"/>
      <c r="B342" s="186"/>
      <c r="C342" s="186"/>
      <c r="D342" s="186"/>
      <c r="E342" s="186"/>
      <c r="F342" s="186"/>
      <c r="G342" s="186"/>
      <c r="H342" s="186"/>
      <c r="I342" s="186"/>
      <c r="J342" s="186"/>
      <c r="K342" s="186"/>
      <c r="L342" s="186"/>
      <c r="M342" s="186"/>
      <c r="N342" s="186"/>
      <c r="O342" s="186"/>
      <c r="P342" s="186"/>
      <c r="Q342" s="186"/>
      <c r="R342" s="186"/>
      <c r="S342" s="186"/>
      <c r="T342" s="186"/>
      <c r="U342" s="186"/>
      <c r="V342" s="186"/>
      <c r="W342" s="186"/>
      <c r="X342" s="186"/>
      <c r="Y342" s="186"/>
      <c r="Z342" s="186"/>
      <c r="AA342" s="186"/>
      <c r="AB342" s="186"/>
      <c r="AC342" s="186"/>
      <c r="AD342" s="186"/>
      <c r="AE342" s="186"/>
      <c r="AF342" s="186"/>
      <c r="AG342" s="186"/>
      <c r="AH342" s="186"/>
      <c r="AI342" s="186"/>
      <c r="AJ342" s="186"/>
      <c r="AK342" s="186"/>
      <c r="AL342" s="186"/>
      <c r="AM342" s="186"/>
      <c r="AN342" s="186"/>
      <c r="AO342" s="186"/>
      <c r="AP342" s="186"/>
      <c r="AQ342" s="186"/>
      <c r="AR342" s="186"/>
      <c r="AS342" s="186"/>
      <c r="AT342" s="186"/>
      <c r="AU342" s="186"/>
      <c r="AV342" s="186"/>
      <c r="AW342" s="186"/>
      <c r="AX342" s="186"/>
      <c r="AY342" s="186"/>
      <c r="AZ342" s="186"/>
      <c r="BA342" s="186"/>
      <c r="BB342" s="186"/>
      <c r="BC342" s="186"/>
      <c r="BD342" s="186"/>
      <c r="BE342" s="186"/>
      <c r="BF342" s="186"/>
      <c r="BG342" s="186"/>
      <c r="BH342" s="186"/>
      <c r="BI342" s="186"/>
      <c r="BJ342" s="186"/>
      <c r="BK342" s="186"/>
    </row>
    <row r="343" spans="1:63">
      <c r="A343" s="186"/>
      <c r="B343" s="186"/>
      <c r="C343" s="186"/>
      <c r="D343" s="186"/>
      <c r="E343" s="186"/>
      <c r="F343" s="186"/>
      <c r="G343" s="186"/>
      <c r="H343" s="186"/>
      <c r="I343" s="186"/>
      <c r="J343" s="186"/>
      <c r="K343" s="186"/>
      <c r="L343" s="186"/>
      <c r="M343" s="186"/>
      <c r="N343" s="186"/>
      <c r="O343" s="186"/>
      <c r="P343" s="186"/>
      <c r="Q343" s="186"/>
      <c r="R343" s="186"/>
      <c r="S343" s="186"/>
      <c r="T343" s="186"/>
      <c r="U343" s="186"/>
      <c r="V343" s="186"/>
      <c r="W343" s="186"/>
      <c r="X343" s="186"/>
      <c r="Y343" s="186"/>
      <c r="Z343" s="186"/>
      <c r="AA343" s="186"/>
      <c r="AB343" s="186"/>
      <c r="AC343" s="186"/>
      <c r="AD343" s="186"/>
      <c r="AE343" s="186"/>
      <c r="AF343" s="186"/>
      <c r="AG343" s="186"/>
      <c r="AH343" s="186"/>
      <c r="AI343" s="186"/>
      <c r="AJ343" s="186"/>
      <c r="AK343" s="186"/>
      <c r="AL343" s="186"/>
      <c r="AM343" s="186"/>
      <c r="AN343" s="186"/>
      <c r="AO343" s="186"/>
      <c r="AP343" s="186"/>
      <c r="AQ343" s="186"/>
      <c r="AR343" s="186"/>
      <c r="AS343" s="186"/>
      <c r="AT343" s="186"/>
      <c r="AU343" s="186"/>
      <c r="AV343" s="186"/>
      <c r="AW343" s="186"/>
      <c r="AX343" s="186"/>
      <c r="AY343" s="186"/>
      <c r="AZ343" s="186"/>
      <c r="BA343" s="186"/>
      <c r="BB343" s="186"/>
      <c r="BC343" s="186"/>
      <c r="BD343" s="186"/>
      <c r="BE343" s="186"/>
      <c r="BF343" s="186"/>
      <c r="BG343" s="186"/>
      <c r="BH343" s="186"/>
      <c r="BI343" s="186"/>
      <c r="BJ343" s="186"/>
      <c r="BK343" s="186"/>
    </row>
    <row r="344" spans="1:63">
      <c r="A344" s="186"/>
      <c r="B344" s="186"/>
      <c r="C344" s="186"/>
      <c r="D344" s="186"/>
      <c r="E344" s="186"/>
      <c r="F344" s="186"/>
      <c r="G344" s="186"/>
      <c r="H344" s="186"/>
      <c r="I344" s="186"/>
      <c r="J344" s="186"/>
      <c r="K344" s="186"/>
      <c r="L344" s="186"/>
      <c r="M344" s="186"/>
      <c r="N344" s="186"/>
      <c r="O344" s="186"/>
      <c r="P344" s="186"/>
      <c r="Q344" s="186"/>
      <c r="R344" s="186"/>
      <c r="S344" s="186"/>
      <c r="T344" s="186"/>
      <c r="U344" s="186"/>
      <c r="V344" s="186"/>
      <c r="W344" s="186"/>
      <c r="X344" s="186"/>
      <c r="Y344" s="186"/>
      <c r="Z344" s="186"/>
      <c r="AA344" s="186"/>
      <c r="AB344" s="186"/>
      <c r="AC344" s="186"/>
      <c r="AD344" s="186"/>
      <c r="AE344" s="186"/>
      <c r="AF344" s="186"/>
      <c r="AG344" s="186"/>
      <c r="AH344" s="186"/>
      <c r="AI344" s="186"/>
      <c r="AJ344" s="186"/>
      <c r="AK344" s="186"/>
      <c r="AL344" s="186"/>
      <c r="AM344" s="186"/>
      <c r="AN344" s="186"/>
      <c r="AO344" s="186"/>
      <c r="AP344" s="186"/>
      <c r="AQ344" s="186"/>
      <c r="AR344" s="186"/>
      <c r="AS344" s="186"/>
      <c r="AT344" s="186"/>
      <c r="AU344" s="186"/>
      <c r="AV344" s="186"/>
      <c r="AW344" s="186"/>
      <c r="AX344" s="186"/>
      <c r="AY344" s="186"/>
      <c r="AZ344" s="186"/>
      <c r="BA344" s="186"/>
      <c r="BB344" s="186"/>
      <c r="BC344" s="186"/>
      <c r="BD344" s="186"/>
      <c r="BE344" s="186"/>
      <c r="BF344" s="186"/>
      <c r="BG344" s="186"/>
      <c r="BH344" s="186"/>
      <c r="BI344" s="186"/>
      <c r="BJ344" s="186"/>
      <c r="BK344" s="186"/>
    </row>
    <row r="345" spans="1:63">
      <c r="A345" s="186"/>
      <c r="B345" s="186"/>
      <c r="C345" s="186"/>
      <c r="D345" s="186"/>
      <c r="E345" s="186"/>
      <c r="F345" s="186"/>
      <c r="G345" s="186"/>
      <c r="H345" s="186"/>
      <c r="I345" s="186"/>
      <c r="J345" s="186"/>
      <c r="K345" s="186"/>
      <c r="L345" s="186"/>
      <c r="M345" s="186"/>
      <c r="N345" s="186"/>
      <c r="O345" s="186"/>
      <c r="P345" s="186"/>
      <c r="Q345" s="186"/>
      <c r="R345" s="186"/>
      <c r="S345" s="186"/>
      <c r="T345" s="186"/>
      <c r="U345" s="186"/>
      <c r="V345" s="186"/>
      <c r="W345" s="186"/>
      <c r="X345" s="186"/>
      <c r="Y345" s="186"/>
      <c r="Z345" s="186"/>
      <c r="AA345" s="186"/>
      <c r="AB345" s="186"/>
      <c r="AC345" s="186"/>
      <c r="AD345" s="186"/>
      <c r="AE345" s="186"/>
      <c r="AF345" s="186"/>
      <c r="AG345" s="186"/>
      <c r="AH345" s="186"/>
      <c r="AI345" s="186"/>
      <c r="AJ345" s="186"/>
      <c r="AK345" s="186"/>
      <c r="AL345" s="186"/>
      <c r="AM345" s="186"/>
      <c r="AN345" s="186"/>
      <c r="AO345" s="186"/>
      <c r="AP345" s="186"/>
      <c r="AQ345" s="186"/>
      <c r="AR345" s="186"/>
      <c r="AS345" s="186"/>
      <c r="AT345" s="186"/>
      <c r="AU345" s="186"/>
      <c r="AV345" s="186"/>
      <c r="AW345" s="186"/>
      <c r="AX345" s="186"/>
      <c r="AY345" s="186"/>
      <c r="AZ345" s="186"/>
      <c r="BA345" s="186"/>
      <c r="BB345" s="186"/>
      <c r="BC345" s="186"/>
      <c r="BD345" s="186"/>
      <c r="BE345" s="186"/>
      <c r="BF345" s="186"/>
      <c r="BG345" s="186"/>
      <c r="BH345" s="186"/>
      <c r="BI345" s="186"/>
      <c r="BJ345" s="186"/>
      <c r="BK345" s="186"/>
    </row>
    <row r="346" spans="1:63">
      <c r="A346" s="186"/>
      <c r="B346" s="186"/>
      <c r="C346" s="186"/>
      <c r="D346" s="186"/>
      <c r="E346" s="186"/>
      <c r="F346" s="186"/>
      <c r="G346" s="186"/>
      <c r="H346" s="186"/>
      <c r="I346" s="186"/>
      <c r="J346" s="186"/>
      <c r="K346" s="186"/>
      <c r="L346" s="186"/>
      <c r="M346" s="186"/>
      <c r="N346" s="186"/>
      <c r="O346" s="186"/>
      <c r="P346" s="186"/>
      <c r="Q346" s="186"/>
      <c r="R346" s="186"/>
      <c r="S346" s="186"/>
      <c r="T346" s="186"/>
      <c r="U346" s="186"/>
      <c r="V346" s="186"/>
      <c r="W346" s="186"/>
      <c r="X346" s="186"/>
      <c r="Y346" s="186"/>
      <c r="Z346" s="186"/>
      <c r="AA346" s="186"/>
      <c r="AB346" s="186"/>
      <c r="AC346" s="186"/>
      <c r="AD346" s="186"/>
      <c r="AE346" s="186"/>
      <c r="AF346" s="186"/>
      <c r="AG346" s="186"/>
      <c r="AH346" s="186"/>
      <c r="AI346" s="186"/>
      <c r="AJ346" s="186"/>
      <c r="AK346" s="186"/>
      <c r="AL346" s="186"/>
      <c r="AM346" s="186"/>
      <c r="AN346" s="186"/>
      <c r="AO346" s="186"/>
      <c r="AP346" s="186"/>
      <c r="AQ346" s="186"/>
      <c r="AR346" s="186"/>
      <c r="AS346" s="186"/>
      <c r="AT346" s="186"/>
      <c r="AU346" s="186"/>
      <c r="AV346" s="186"/>
      <c r="AW346" s="186"/>
      <c r="AX346" s="186"/>
      <c r="AY346" s="186"/>
      <c r="AZ346" s="186"/>
      <c r="BA346" s="186"/>
      <c r="BB346" s="186"/>
      <c r="BC346" s="186"/>
      <c r="BD346" s="186"/>
      <c r="BE346" s="186"/>
      <c r="BF346" s="186"/>
      <c r="BG346" s="186"/>
      <c r="BH346" s="186"/>
      <c r="BI346" s="186"/>
      <c r="BJ346" s="186"/>
      <c r="BK346" s="186"/>
    </row>
    <row r="347" spans="1:63">
      <c r="A347" s="186"/>
      <c r="B347" s="186"/>
      <c r="C347" s="186"/>
      <c r="D347" s="186"/>
      <c r="E347" s="186"/>
      <c r="F347" s="186"/>
      <c r="G347" s="186"/>
      <c r="H347" s="186"/>
      <c r="I347" s="186"/>
      <c r="J347" s="186"/>
      <c r="K347" s="186"/>
      <c r="L347" s="186"/>
      <c r="M347" s="186"/>
      <c r="N347" s="186"/>
      <c r="O347" s="186"/>
      <c r="P347" s="186"/>
      <c r="Q347" s="186"/>
      <c r="R347" s="186"/>
      <c r="S347" s="186"/>
      <c r="T347" s="186"/>
      <c r="U347" s="186"/>
      <c r="V347" s="186"/>
      <c r="W347" s="186"/>
      <c r="X347" s="186"/>
      <c r="Y347" s="186"/>
      <c r="Z347" s="186"/>
      <c r="AA347" s="186"/>
      <c r="AB347" s="186"/>
      <c r="AC347" s="186"/>
      <c r="AD347" s="186"/>
      <c r="AE347" s="186"/>
      <c r="AF347" s="186"/>
      <c r="AG347" s="186"/>
      <c r="AH347" s="186"/>
      <c r="AI347" s="186"/>
      <c r="AJ347" s="186"/>
      <c r="AK347" s="186"/>
      <c r="AL347" s="186"/>
      <c r="AM347" s="186"/>
      <c r="AN347" s="186"/>
      <c r="AO347" s="186"/>
      <c r="AP347" s="186"/>
      <c r="AQ347" s="186"/>
      <c r="AR347" s="186"/>
      <c r="AS347" s="186"/>
      <c r="AT347" s="186"/>
      <c r="AU347" s="186"/>
      <c r="AV347" s="186"/>
      <c r="AW347" s="186"/>
      <c r="AX347" s="186"/>
      <c r="AY347" s="186"/>
      <c r="AZ347" s="186"/>
      <c r="BA347" s="186"/>
      <c r="BB347" s="186"/>
      <c r="BC347" s="186"/>
      <c r="BD347" s="186"/>
      <c r="BE347" s="186"/>
      <c r="BF347" s="186"/>
      <c r="BG347" s="186"/>
      <c r="BH347" s="186"/>
      <c r="BI347" s="186"/>
      <c r="BJ347" s="186"/>
      <c r="BK347" s="186"/>
    </row>
    <row r="348" spans="1:63">
      <c r="A348" s="186"/>
      <c r="B348" s="186"/>
      <c r="C348" s="186"/>
      <c r="D348" s="186"/>
      <c r="E348" s="186"/>
      <c r="F348" s="186"/>
      <c r="G348" s="186"/>
      <c r="H348" s="186"/>
      <c r="I348" s="186"/>
      <c r="J348" s="186"/>
      <c r="K348" s="186"/>
      <c r="L348" s="186"/>
      <c r="M348" s="186"/>
      <c r="N348" s="186"/>
      <c r="O348" s="186"/>
      <c r="P348" s="186"/>
      <c r="Q348" s="186"/>
      <c r="R348" s="186"/>
      <c r="S348" s="186"/>
      <c r="T348" s="186"/>
      <c r="U348" s="186"/>
      <c r="V348" s="186"/>
      <c r="W348" s="186"/>
      <c r="X348" s="186"/>
      <c r="Y348" s="186"/>
      <c r="Z348" s="186"/>
      <c r="AA348" s="186"/>
      <c r="AB348" s="186"/>
      <c r="AC348" s="186"/>
      <c r="AD348" s="186"/>
      <c r="AE348" s="186"/>
      <c r="AF348" s="186"/>
      <c r="AG348" s="186"/>
      <c r="AH348" s="186"/>
      <c r="AI348" s="186"/>
      <c r="AJ348" s="186"/>
      <c r="AK348" s="186"/>
      <c r="AL348" s="186"/>
      <c r="AM348" s="186"/>
      <c r="AN348" s="186"/>
      <c r="AO348" s="186"/>
      <c r="AP348" s="186"/>
      <c r="AQ348" s="186"/>
      <c r="AR348" s="186"/>
      <c r="AS348" s="186"/>
      <c r="AT348" s="186"/>
      <c r="AU348" s="186"/>
      <c r="AV348" s="186"/>
      <c r="AW348" s="186"/>
      <c r="AX348" s="186"/>
      <c r="AY348" s="186"/>
      <c r="AZ348" s="186"/>
      <c r="BA348" s="186"/>
      <c r="BB348" s="186"/>
      <c r="BC348" s="186"/>
      <c r="BD348" s="186"/>
      <c r="BE348" s="186"/>
      <c r="BF348" s="186"/>
      <c r="BG348" s="186"/>
      <c r="BH348" s="186"/>
      <c r="BI348" s="186"/>
      <c r="BJ348" s="186"/>
      <c r="BK348" s="186"/>
    </row>
    <row r="349" spans="1:63">
      <c r="A349" s="186"/>
      <c r="B349" s="186"/>
      <c r="C349" s="186"/>
      <c r="D349" s="186"/>
      <c r="E349" s="186"/>
      <c r="F349" s="186"/>
      <c r="G349" s="186"/>
      <c r="H349" s="186"/>
      <c r="I349" s="186"/>
      <c r="J349" s="186"/>
      <c r="K349" s="186"/>
      <c r="L349" s="186"/>
      <c r="M349" s="186"/>
      <c r="N349" s="186"/>
      <c r="O349" s="186"/>
      <c r="P349" s="186"/>
      <c r="Q349" s="186"/>
      <c r="R349" s="186"/>
      <c r="S349" s="186"/>
      <c r="T349" s="186"/>
      <c r="U349" s="186"/>
      <c r="V349" s="186"/>
      <c r="W349" s="186"/>
      <c r="X349" s="186"/>
      <c r="Y349" s="186"/>
      <c r="Z349" s="186"/>
      <c r="AA349" s="186"/>
      <c r="AB349" s="186"/>
      <c r="AC349" s="186"/>
      <c r="AD349" s="186"/>
      <c r="AE349" s="186"/>
      <c r="AF349" s="186"/>
      <c r="AG349" s="186"/>
      <c r="AH349" s="186"/>
      <c r="AI349" s="186"/>
      <c r="AJ349" s="186"/>
      <c r="AK349" s="186"/>
      <c r="AL349" s="186"/>
      <c r="AM349" s="186"/>
      <c r="AN349" s="186"/>
      <c r="AO349" s="186"/>
      <c r="AP349" s="186"/>
      <c r="AQ349" s="186"/>
      <c r="AR349" s="186"/>
      <c r="AS349" s="186"/>
      <c r="AT349" s="186"/>
      <c r="AU349" s="186"/>
      <c r="AV349" s="186"/>
      <c r="AW349" s="186"/>
      <c r="AX349" s="186"/>
      <c r="AY349" s="186"/>
      <c r="AZ349" s="186"/>
      <c r="BA349" s="186"/>
      <c r="BB349" s="186"/>
      <c r="BC349" s="186"/>
      <c r="BD349" s="186"/>
      <c r="BE349" s="186"/>
      <c r="BF349" s="186"/>
      <c r="BG349" s="186"/>
      <c r="BH349" s="186"/>
      <c r="BI349" s="186"/>
      <c r="BJ349" s="186"/>
      <c r="BK349" s="186"/>
    </row>
    <row r="350" spans="1:63">
      <c r="A350" s="186"/>
      <c r="B350" s="186"/>
      <c r="C350" s="186"/>
      <c r="D350" s="186"/>
      <c r="E350" s="186"/>
      <c r="F350" s="186"/>
      <c r="G350" s="186"/>
      <c r="H350" s="186"/>
      <c r="I350" s="186"/>
      <c r="J350" s="186"/>
      <c r="K350" s="186"/>
      <c r="L350" s="186"/>
      <c r="M350" s="186"/>
      <c r="N350" s="186"/>
      <c r="O350" s="186"/>
      <c r="P350" s="186"/>
      <c r="Q350" s="186"/>
      <c r="R350" s="186"/>
      <c r="S350" s="186"/>
      <c r="T350" s="186"/>
      <c r="U350" s="186"/>
      <c r="V350" s="186"/>
      <c r="W350" s="186"/>
      <c r="X350" s="186"/>
      <c r="Y350" s="186"/>
      <c r="Z350" s="186"/>
      <c r="AA350" s="186"/>
      <c r="AB350" s="186"/>
      <c r="AC350" s="186"/>
      <c r="AD350" s="186"/>
      <c r="AE350" s="186"/>
      <c r="AF350" s="186"/>
      <c r="AG350" s="186"/>
      <c r="AH350" s="186"/>
      <c r="AI350" s="186"/>
      <c r="AJ350" s="186"/>
      <c r="AK350" s="186"/>
      <c r="AL350" s="186"/>
      <c r="AM350" s="186"/>
      <c r="AN350" s="186"/>
      <c r="AO350" s="186"/>
      <c r="AP350" s="186"/>
      <c r="AQ350" s="186"/>
      <c r="AR350" s="186"/>
      <c r="AS350" s="186"/>
      <c r="AT350" s="186"/>
      <c r="AU350" s="186"/>
      <c r="AV350" s="186"/>
      <c r="AW350" s="186"/>
      <c r="AX350" s="186"/>
      <c r="AY350" s="186"/>
      <c r="AZ350" s="186"/>
      <c r="BA350" s="186"/>
      <c r="BB350" s="186"/>
      <c r="BC350" s="186"/>
      <c r="BD350" s="186"/>
      <c r="BE350" s="186"/>
      <c r="BF350" s="186"/>
      <c r="BG350" s="186"/>
      <c r="BH350" s="186"/>
      <c r="BI350" s="186"/>
      <c r="BJ350" s="186"/>
      <c r="BK350" s="186"/>
    </row>
    <row r="351" spans="1:63">
      <c r="A351" s="186"/>
      <c r="B351" s="186"/>
      <c r="C351" s="186"/>
      <c r="D351" s="186"/>
      <c r="E351" s="186"/>
      <c r="F351" s="186"/>
      <c r="G351" s="186"/>
      <c r="H351" s="186"/>
      <c r="I351" s="186"/>
      <c r="J351" s="186"/>
      <c r="K351" s="186"/>
      <c r="L351" s="186"/>
      <c r="M351" s="186"/>
      <c r="N351" s="186"/>
      <c r="O351" s="186"/>
      <c r="P351" s="186"/>
      <c r="Q351" s="186"/>
      <c r="R351" s="186"/>
      <c r="S351" s="186"/>
      <c r="T351" s="186"/>
      <c r="U351" s="186"/>
      <c r="V351" s="186"/>
      <c r="W351" s="186"/>
      <c r="X351" s="186"/>
      <c r="Y351" s="186"/>
      <c r="Z351" s="186"/>
      <c r="AA351" s="186"/>
      <c r="AB351" s="186"/>
      <c r="AC351" s="186"/>
      <c r="AD351" s="186"/>
      <c r="AE351" s="186"/>
      <c r="AF351" s="186"/>
      <c r="AG351" s="186"/>
      <c r="AH351" s="186"/>
      <c r="AI351" s="186"/>
      <c r="AJ351" s="186"/>
      <c r="AK351" s="186"/>
      <c r="AL351" s="186"/>
      <c r="AM351" s="186"/>
      <c r="AN351" s="186"/>
      <c r="AO351" s="186"/>
      <c r="AP351" s="186"/>
      <c r="AQ351" s="186"/>
      <c r="AR351" s="186"/>
      <c r="AS351" s="186"/>
      <c r="AT351" s="186"/>
      <c r="AU351" s="186"/>
      <c r="AV351" s="186"/>
      <c r="AW351" s="186"/>
      <c r="AX351" s="186"/>
      <c r="AY351" s="186"/>
      <c r="AZ351" s="186"/>
      <c r="BA351" s="186"/>
      <c r="BB351" s="186"/>
      <c r="BC351" s="186"/>
      <c r="BD351" s="186"/>
      <c r="BE351" s="186"/>
      <c r="BF351" s="186"/>
      <c r="BG351" s="186"/>
      <c r="BH351" s="186"/>
      <c r="BI351" s="186"/>
      <c r="BJ351" s="186"/>
      <c r="BK351" s="186"/>
    </row>
    <row r="352" spans="1:63">
      <c r="A352" s="186"/>
      <c r="B352" s="186"/>
      <c r="C352" s="186"/>
      <c r="D352" s="186"/>
      <c r="E352" s="186"/>
      <c r="F352" s="186"/>
      <c r="G352" s="186"/>
      <c r="H352" s="186"/>
      <c r="I352" s="186"/>
      <c r="J352" s="186"/>
      <c r="K352" s="186"/>
      <c r="L352" s="186"/>
      <c r="M352" s="186"/>
      <c r="N352" s="186"/>
      <c r="O352" s="186"/>
      <c r="P352" s="186"/>
      <c r="Q352" s="186"/>
      <c r="R352" s="186"/>
      <c r="S352" s="186"/>
      <c r="T352" s="186"/>
      <c r="U352" s="186"/>
      <c r="V352" s="186"/>
      <c r="W352" s="186"/>
      <c r="X352" s="186"/>
      <c r="Y352" s="186"/>
      <c r="Z352" s="186"/>
      <c r="AA352" s="186"/>
      <c r="AB352" s="186"/>
      <c r="AC352" s="186"/>
      <c r="AD352" s="186"/>
      <c r="AE352" s="186"/>
      <c r="AF352" s="186"/>
      <c r="AG352" s="186"/>
      <c r="AH352" s="186"/>
      <c r="AI352" s="186"/>
      <c r="AJ352" s="186"/>
      <c r="AK352" s="186"/>
      <c r="AL352" s="186"/>
      <c r="AM352" s="186"/>
      <c r="AN352" s="186"/>
      <c r="AO352" s="186"/>
      <c r="AP352" s="186"/>
      <c r="AQ352" s="186"/>
      <c r="AR352" s="186"/>
      <c r="AS352" s="186"/>
      <c r="AT352" s="186"/>
      <c r="AU352" s="186"/>
      <c r="AV352" s="186"/>
      <c r="AW352" s="186"/>
      <c r="AX352" s="186"/>
      <c r="AY352" s="186"/>
      <c r="AZ352" s="186"/>
      <c r="BA352" s="186"/>
      <c r="BB352" s="186"/>
      <c r="BC352" s="186"/>
      <c r="BD352" s="186"/>
      <c r="BE352" s="186"/>
      <c r="BF352" s="186"/>
      <c r="BG352" s="186"/>
      <c r="BH352" s="186"/>
      <c r="BI352" s="186"/>
      <c r="BJ352" s="186"/>
      <c r="BK352" s="186"/>
    </row>
    <row r="353" spans="1:63">
      <c r="A353" s="186"/>
      <c r="B353" s="186"/>
      <c r="C353" s="186"/>
      <c r="D353" s="186"/>
      <c r="E353" s="186"/>
      <c r="F353" s="186"/>
      <c r="G353" s="186"/>
      <c r="H353" s="186"/>
      <c r="I353" s="186"/>
      <c r="J353" s="186"/>
      <c r="K353" s="186"/>
      <c r="L353" s="186"/>
      <c r="M353" s="186"/>
      <c r="N353" s="186"/>
      <c r="O353" s="186"/>
      <c r="P353" s="186"/>
      <c r="Q353" s="186"/>
      <c r="R353" s="186"/>
      <c r="S353" s="186"/>
      <c r="T353" s="186"/>
      <c r="U353" s="186"/>
      <c r="V353" s="186"/>
      <c r="W353" s="186"/>
      <c r="X353" s="186"/>
      <c r="Y353" s="186"/>
      <c r="Z353" s="186"/>
      <c r="AA353" s="186"/>
      <c r="AB353" s="186"/>
      <c r="AC353" s="186"/>
      <c r="AD353" s="186"/>
      <c r="AE353" s="186"/>
      <c r="AF353" s="186"/>
      <c r="AG353" s="186"/>
      <c r="AH353" s="186"/>
      <c r="AI353" s="186"/>
      <c r="AJ353" s="186"/>
      <c r="AK353" s="186"/>
      <c r="AL353" s="186"/>
      <c r="AM353" s="186"/>
      <c r="AN353" s="186"/>
      <c r="AO353" s="186"/>
      <c r="AP353" s="186"/>
      <c r="AQ353" s="186"/>
      <c r="AR353" s="186"/>
      <c r="AS353" s="186"/>
      <c r="AT353" s="186"/>
      <c r="AU353" s="186"/>
      <c r="AV353" s="186"/>
      <c r="AW353" s="186"/>
      <c r="AX353" s="186"/>
      <c r="AY353" s="186"/>
      <c r="AZ353" s="186"/>
      <c r="BA353" s="186"/>
      <c r="BB353" s="186"/>
      <c r="BC353" s="186"/>
      <c r="BD353" s="186"/>
      <c r="BE353" s="186"/>
      <c r="BF353" s="186"/>
      <c r="BG353" s="186"/>
      <c r="BH353" s="186"/>
      <c r="BI353" s="186"/>
      <c r="BJ353" s="186"/>
      <c r="BK353" s="186"/>
    </row>
    <row r="354" spans="1:63">
      <c r="A354" s="186"/>
      <c r="B354" s="186"/>
      <c r="C354" s="186"/>
      <c r="D354" s="186"/>
      <c r="E354" s="186"/>
      <c r="F354" s="186"/>
      <c r="G354" s="186"/>
      <c r="H354" s="186"/>
      <c r="I354" s="186"/>
      <c r="J354" s="186"/>
      <c r="K354" s="186"/>
      <c r="L354" s="186"/>
      <c r="M354" s="186"/>
      <c r="N354" s="186"/>
      <c r="O354" s="186"/>
      <c r="P354" s="186"/>
      <c r="Q354" s="186"/>
      <c r="R354" s="186"/>
      <c r="S354" s="186"/>
      <c r="T354" s="186"/>
      <c r="U354" s="186"/>
      <c r="V354" s="186"/>
      <c r="W354" s="186"/>
      <c r="X354" s="186"/>
      <c r="Y354" s="186"/>
      <c r="Z354" s="186"/>
      <c r="AA354" s="186"/>
      <c r="AB354" s="186"/>
      <c r="AC354" s="186"/>
      <c r="AD354" s="186"/>
      <c r="AE354" s="186"/>
      <c r="AF354" s="186"/>
      <c r="AG354" s="186"/>
      <c r="AH354" s="186"/>
      <c r="AI354" s="186"/>
      <c r="AJ354" s="186"/>
      <c r="AK354" s="186"/>
      <c r="AL354" s="186"/>
      <c r="AM354" s="186"/>
      <c r="AN354" s="186"/>
      <c r="AO354" s="186"/>
      <c r="AP354" s="186"/>
      <c r="AQ354" s="186"/>
      <c r="AR354" s="186"/>
      <c r="AS354" s="186"/>
      <c r="AT354" s="186"/>
      <c r="AU354" s="186"/>
      <c r="AV354" s="186"/>
      <c r="AW354" s="186"/>
      <c r="AX354" s="186"/>
      <c r="AY354" s="186"/>
      <c r="AZ354" s="186"/>
      <c r="BA354" s="186"/>
      <c r="BB354" s="186"/>
      <c r="BC354" s="186"/>
      <c r="BD354" s="186"/>
      <c r="BE354" s="186"/>
      <c r="BF354" s="186"/>
      <c r="BG354" s="186"/>
      <c r="BH354" s="186"/>
      <c r="BI354" s="186"/>
      <c r="BJ354" s="186"/>
      <c r="BK354" s="186"/>
    </row>
    <row r="355" spans="1:63">
      <c r="A355" s="186"/>
      <c r="B355" s="186"/>
      <c r="C355" s="186"/>
      <c r="D355" s="186"/>
      <c r="E355" s="186"/>
      <c r="F355" s="186"/>
      <c r="G355" s="186"/>
      <c r="H355" s="186"/>
      <c r="I355" s="186"/>
      <c r="J355" s="186"/>
      <c r="K355" s="186"/>
      <c r="L355" s="186"/>
      <c r="M355" s="186"/>
      <c r="N355" s="186"/>
      <c r="O355" s="186"/>
      <c r="P355" s="186"/>
      <c r="Q355" s="186"/>
      <c r="R355" s="186"/>
      <c r="S355" s="186"/>
      <c r="T355" s="186"/>
      <c r="U355" s="186"/>
      <c r="V355" s="186"/>
      <c r="W355" s="186"/>
      <c r="X355" s="186"/>
      <c r="Y355" s="186"/>
      <c r="Z355" s="186"/>
      <c r="AA355" s="186"/>
      <c r="AB355" s="186"/>
      <c r="AC355" s="186"/>
      <c r="AD355" s="186"/>
      <c r="AE355" s="186"/>
      <c r="AF355" s="186"/>
      <c r="AG355" s="186"/>
      <c r="AH355" s="186"/>
      <c r="AI355" s="186"/>
      <c r="AJ355" s="186"/>
      <c r="AK355" s="186"/>
      <c r="AL355" s="186"/>
      <c r="AM355" s="186"/>
      <c r="AN355" s="186"/>
      <c r="AO355" s="186"/>
      <c r="AP355" s="186"/>
      <c r="AQ355" s="186"/>
      <c r="AR355" s="186"/>
      <c r="AS355" s="186"/>
      <c r="AT355" s="186"/>
      <c r="AU355" s="186"/>
      <c r="AV355" s="186"/>
      <c r="AW355" s="186"/>
      <c r="AX355" s="186"/>
      <c r="AY355" s="186"/>
      <c r="AZ355" s="186"/>
      <c r="BA355" s="186"/>
      <c r="BB355" s="186"/>
      <c r="BC355" s="186"/>
      <c r="BD355" s="186"/>
      <c r="BE355" s="186"/>
      <c r="BF355" s="186"/>
      <c r="BG355" s="186"/>
      <c r="BH355" s="186"/>
      <c r="BI355" s="186"/>
      <c r="BJ355" s="186"/>
      <c r="BK355" s="186"/>
    </row>
    <row r="356" spans="1:63">
      <c r="A356" s="186"/>
      <c r="B356" s="186"/>
      <c r="C356" s="186"/>
      <c r="D356" s="186"/>
      <c r="E356" s="186"/>
      <c r="F356" s="186"/>
      <c r="G356" s="186"/>
      <c r="H356" s="186"/>
      <c r="I356" s="186"/>
      <c r="J356" s="186"/>
      <c r="K356" s="186"/>
      <c r="L356" s="186"/>
      <c r="M356" s="186"/>
      <c r="N356" s="186"/>
      <c r="O356" s="186"/>
      <c r="P356" s="186"/>
      <c r="Q356" s="186"/>
      <c r="R356" s="186"/>
      <c r="S356" s="186"/>
      <c r="T356" s="186"/>
      <c r="U356" s="186"/>
      <c r="V356" s="186"/>
      <c r="W356" s="186"/>
      <c r="X356" s="186"/>
      <c r="Y356" s="186"/>
      <c r="Z356" s="186"/>
      <c r="AA356" s="186"/>
      <c r="AB356" s="186"/>
      <c r="AC356" s="186"/>
      <c r="AD356" s="186"/>
      <c r="AE356" s="186"/>
      <c r="AF356" s="186"/>
      <c r="AG356" s="186"/>
      <c r="AH356" s="186"/>
      <c r="AI356" s="186"/>
      <c r="AJ356" s="186"/>
      <c r="AK356" s="186"/>
      <c r="AL356" s="186"/>
      <c r="AM356" s="186"/>
      <c r="AN356" s="186"/>
      <c r="AO356" s="186"/>
      <c r="AP356" s="186"/>
      <c r="AQ356" s="186"/>
      <c r="AR356" s="186"/>
      <c r="AS356" s="186"/>
      <c r="AT356" s="186"/>
      <c r="AU356" s="186"/>
      <c r="AV356" s="186"/>
      <c r="AW356" s="186"/>
      <c r="AX356" s="186"/>
      <c r="AY356" s="186"/>
      <c r="AZ356" s="186"/>
      <c r="BA356" s="186"/>
      <c r="BB356" s="186"/>
      <c r="BC356" s="186"/>
      <c r="BD356" s="186"/>
      <c r="BE356" s="186"/>
      <c r="BF356" s="186"/>
      <c r="BG356" s="186"/>
      <c r="BH356" s="186"/>
      <c r="BI356" s="186"/>
      <c r="BJ356" s="186"/>
      <c r="BK356" s="186"/>
    </row>
    <row r="357" spans="1:63">
      <c r="A357" s="186"/>
      <c r="B357" s="186"/>
      <c r="C357" s="186"/>
      <c r="D357" s="186"/>
      <c r="E357" s="186"/>
      <c r="F357" s="186"/>
      <c r="G357" s="186"/>
      <c r="H357" s="186"/>
      <c r="I357" s="186"/>
      <c r="J357" s="186"/>
      <c r="K357" s="186"/>
      <c r="L357" s="186"/>
      <c r="M357" s="186"/>
      <c r="N357" s="186"/>
      <c r="O357" s="186"/>
      <c r="P357" s="186"/>
      <c r="Q357" s="186"/>
      <c r="R357" s="186"/>
      <c r="S357" s="186"/>
      <c r="T357" s="186"/>
      <c r="U357" s="186"/>
      <c r="V357" s="186"/>
      <c r="W357" s="186"/>
      <c r="X357" s="186"/>
      <c r="Y357" s="186"/>
      <c r="Z357" s="186"/>
      <c r="AA357" s="186"/>
      <c r="AB357" s="186"/>
      <c r="AC357" s="186"/>
      <c r="AD357" s="186"/>
      <c r="AE357" s="186"/>
      <c r="AF357" s="186"/>
      <c r="AG357" s="186"/>
      <c r="AH357" s="186"/>
      <c r="AI357" s="186"/>
      <c r="AJ357" s="186"/>
      <c r="AK357" s="186"/>
      <c r="AL357" s="186"/>
      <c r="AM357" s="186"/>
      <c r="AN357" s="186"/>
      <c r="AO357" s="186"/>
      <c r="AP357" s="186"/>
      <c r="AQ357" s="186"/>
      <c r="AR357" s="186"/>
      <c r="AS357" s="186"/>
      <c r="AT357" s="186"/>
      <c r="AU357" s="186"/>
      <c r="AV357" s="186"/>
      <c r="AW357" s="186"/>
      <c r="AX357" s="186"/>
      <c r="AY357" s="186"/>
      <c r="AZ357" s="186"/>
      <c r="BA357" s="186"/>
      <c r="BB357" s="186"/>
      <c r="BC357" s="186"/>
      <c r="BD357" s="186"/>
      <c r="BE357" s="186"/>
      <c r="BF357" s="186"/>
      <c r="BG357" s="186"/>
      <c r="BH357" s="186"/>
      <c r="BI357" s="186"/>
      <c r="BJ357" s="186"/>
      <c r="BK357" s="186"/>
    </row>
    <row r="358" spans="1:63">
      <c r="A358" s="186"/>
      <c r="B358" s="186"/>
      <c r="C358" s="186"/>
      <c r="D358" s="186"/>
      <c r="E358" s="186"/>
      <c r="F358" s="186"/>
      <c r="G358" s="186"/>
      <c r="H358" s="186"/>
      <c r="I358" s="186"/>
      <c r="J358" s="186"/>
      <c r="K358" s="186"/>
      <c r="L358" s="186"/>
      <c r="M358" s="186"/>
      <c r="N358" s="186"/>
      <c r="O358" s="186"/>
      <c r="P358" s="186"/>
      <c r="Q358" s="186"/>
      <c r="R358" s="186"/>
      <c r="S358" s="186"/>
      <c r="T358" s="186"/>
      <c r="U358" s="186"/>
      <c r="V358" s="186"/>
      <c r="W358" s="186"/>
      <c r="X358" s="186"/>
      <c r="Y358" s="186"/>
      <c r="Z358" s="186"/>
      <c r="AA358" s="186"/>
      <c r="AB358" s="186"/>
      <c r="AC358" s="186"/>
      <c r="AD358" s="186"/>
      <c r="AE358" s="186"/>
      <c r="AF358" s="186"/>
      <c r="AG358" s="186"/>
      <c r="AH358" s="186"/>
      <c r="AI358" s="186"/>
      <c r="AJ358" s="186"/>
      <c r="AK358" s="186"/>
      <c r="AL358" s="186"/>
      <c r="AM358" s="186"/>
      <c r="AN358" s="186"/>
      <c r="AO358" s="186"/>
      <c r="AP358" s="186"/>
      <c r="AQ358" s="186"/>
      <c r="AR358" s="186"/>
      <c r="AS358" s="186"/>
      <c r="AT358" s="186"/>
      <c r="AU358" s="186"/>
      <c r="AV358" s="186"/>
      <c r="AW358" s="186"/>
      <c r="AX358" s="186"/>
      <c r="AY358" s="186"/>
      <c r="AZ358" s="186"/>
      <c r="BA358" s="186"/>
      <c r="BB358" s="186"/>
      <c r="BC358" s="186"/>
      <c r="BD358" s="186"/>
      <c r="BE358" s="186"/>
      <c r="BF358" s="186"/>
      <c r="BG358" s="186"/>
      <c r="BH358" s="186"/>
      <c r="BI358" s="186"/>
      <c r="BJ358" s="186"/>
      <c r="BK358" s="186"/>
    </row>
    <row r="359" spans="1:63">
      <c r="A359" s="186"/>
      <c r="B359" s="186"/>
      <c r="C359" s="186"/>
      <c r="D359" s="186"/>
      <c r="E359" s="186"/>
      <c r="F359" s="186"/>
      <c r="G359" s="186"/>
      <c r="H359" s="186"/>
      <c r="I359" s="186"/>
      <c r="J359" s="186"/>
      <c r="K359" s="186"/>
      <c r="L359" s="186"/>
      <c r="M359" s="186"/>
      <c r="N359" s="186"/>
      <c r="O359" s="186"/>
      <c r="P359" s="186"/>
      <c r="Q359" s="186"/>
      <c r="R359" s="186"/>
      <c r="S359" s="186"/>
      <c r="T359" s="186"/>
      <c r="U359" s="186"/>
      <c r="V359" s="186"/>
      <c r="W359" s="186"/>
      <c r="X359" s="186"/>
      <c r="Y359" s="186"/>
      <c r="Z359" s="186"/>
      <c r="AA359" s="186"/>
      <c r="AB359" s="186"/>
      <c r="AC359" s="186"/>
      <c r="AD359" s="186"/>
      <c r="AE359" s="186"/>
      <c r="AF359" s="186"/>
      <c r="AG359" s="186"/>
      <c r="AH359" s="186"/>
      <c r="AI359" s="186"/>
      <c r="AJ359" s="186"/>
      <c r="AK359" s="186"/>
      <c r="AL359" s="186"/>
      <c r="AM359" s="186"/>
      <c r="AN359" s="186"/>
      <c r="AO359" s="186"/>
      <c r="AP359" s="186"/>
      <c r="AQ359" s="186"/>
      <c r="AR359" s="186"/>
      <c r="AS359" s="186"/>
      <c r="AT359" s="186"/>
      <c r="AU359" s="186"/>
      <c r="AV359" s="186"/>
      <c r="AW359" s="186"/>
      <c r="AX359" s="186"/>
      <c r="AY359" s="186"/>
      <c r="AZ359" s="186"/>
      <c r="BA359" s="186"/>
      <c r="BB359" s="186"/>
      <c r="BC359" s="186"/>
      <c r="BD359" s="186"/>
      <c r="BE359" s="186"/>
      <c r="BF359" s="186"/>
      <c r="BG359" s="186"/>
      <c r="BH359" s="186"/>
      <c r="BI359" s="186"/>
      <c r="BJ359" s="186"/>
      <c r="BK359" s="186"/>
    </row>
    <row r="360" spans="1:63">
      <c r="A360" s="186"/>
      <c r="B360" s="186"/>
      <c r="C360" s="186"/>
      <c r="D360" s="186"/>
      <c r="E360" s="186"/>
      <c r="F360" s="186"/>
      <c r="G360" s="186"/>
      <c r="H360" s="186"/>
      <c r="I360" s="186"/>
      <c r="J360" s="186"/>
      <c r="K360" s="186"/>
      <c r="L360" s="186"/>
      <c r="M360" s="186"/>
      <c r="N360" s="186"/>
      <c r="O360" s="186"/>
      <c r="P360" s="186"/>
      <c r="Q360" s="186"/>
      <c r="R360" s="186"/>
      <c r="S360" s="186"/>
      <c r="T360" s="186"/>
      <c r="U360" s="186"/>
      <c r="V360" s="186"/>
      <c r="W360" s="186"/>
      <c r="X360" s="186"/>
      <c r="Y360" s="186"/>
      <c r="Z360" s="186"/>
      <c r="AA360" s="186"/>
      <c r="AB360" s="186"/>
      <c r="AC360" s="186"/>
      <c r="AD360" s="186"/>
      <c r="AE360" s="186"/>
      <c r="AF360" s="186"/>
      <c r="AG360" s="186"/>
      <c r="AH360" s="186"/>
      <c r="AI360" s="186"/>
      <c r="AJ360" s="186"/>
      <c r="AK360" s="186"/>
      <c r="AL360" s="186"/>
      <c r="AM360" s="186"/>
      <c r="AN360" s="186"/>
      <c r="AO360" s="186"/>
      <c r="AP360" s="186"/>
      <c r="AQ360" s="186"/>
      <c r="AR360" s="186"/>
      <c r="AS360" s="186"/>
      <c r="AT360" s="186"/>
      <c r="AU360" s="186"/>
      <c r="AV360" s="186"/>
      <c r="AW360" s="186"/>
      <c r="AX360" s="186"/>
      <c r="AY360" s="186"/>
      <c r="AZ360" s="186"/>
      <c r="BA360" s="186"/>
      <c r="BB360" s="186"/>
      <c r="BC360" s="186"/>
      <c r="BD360" s="186"/>
      <c r="BE360" s="186"/>
      <c r="BF360" s="186"/>
      <c r="BG360" s="186"/>
      <c r="BH360" s="186"/>
      <c r="BI360" s="186"/>
      <c r="BJ360" s="186"/>
      <c r="BK360" s="186"/>
    </row>
    <row r="361" spans="1:63">
      <c r="A361" s="186"/>
      <c r="B361" s="186"/>
      <c r="C361" s="186"/>
      <c r="D361" s="186"/>
      <c r="E361" s="186"/>
      <c r="F361" s="186"/>
      <c r="G361" s="186"/>
      <c r="H361" s="186"/>
      <c r="I361" s="186"/>
      <c r="J361" s="186"/>
      <c r="K361" s="186"/>
      <c r="L361" s="186"/>
      <c r="M361" s="186"/>
      <c r="N361" s="186"/>
      <c r="O361" s="186"/>
      <c r="P361" s="186"/>
      <c r="Q361" s="186"/>
      <c r="R361" s="186"/>
      <c r="S361" s="186"/>
      <c r="T361" s="186"/>
      <c r="U361" s="186"/>
      <c r="V361" s="186"/>
      <c r="W361" s="186"/>
      <c r="X361" s="186"/>
      <c r="Y361" s="186"/>
      <c r="Z361" s="186"/>
      <c r="AA361" s="186"/>
      <c r="AB361" s="186"/>
      <c r="AC361" s="186"/>
      <c r="AD361" s="186"/>
      <c r="AE361" s="186"/>
      <c r="AF361" s="186"/>
      <c r="AG361" s="186"/>
      <c r="AH361" s="186"/>
      <c r="AI361" s="186"/>
      <c r="AJ361" s="186"/>
      <c r="AK361" s="186"/>
      <c r="AL361" s="186"/>
      <c r="AM361" s="186"/>
      <c r="AN361" s="186"/>
      <c r="AO361" s="186"/>
      <c r="AP361" s="186"/>
      <c r="AQ361" s="186"/>
      <c r="AR361" s="186"/>
      <c r="AS361" s="186"/>
      <c r="AT361" s="186"/>
      <c r="AU361" s="186"/>
      <c r="AV361" s="186"/>
      <c r="AW361" s="186"/>
      <c r="AX361" s="186"/>
      <c r="AY361" s="186"/>
      <c r="AZ361" s="186"/>
      <c r="BA361" s="186"/>
      <c r="BB361" s="186"/>
      <c r="BC361" s="186"/>
      <c r="BD361" s="186"/>
      <c r="BE361" s="186"/>
      <c r="BF361" s="186"/>
      <c r="BG361" s="186"/>
      <c r="BH361" s="186"/>
      <c r="BI361" s="186"/>
      <c r="BJ361" s="186"/>
      <c r="BK361" s="186"/>
    </row>
    <row r="362" spans="1:63">
      <c r="A362" s="186"/>
      <c r="B362" s="186"/>
      <c r="C362" s="186"/>
      <c r="D362" s="186"/>
      <c r="E362" s="186"/>
      <c r="F362" s="186"/>
      <c r="G362" s="186"/>
      <c r="H362" s="186"/>
      <c r="I362" s="186"/>
      <c r="J362" s="186"/>
      <c r="K362" s="186"/>
      <c r="L362" s="186"/>
      <c r="M362" s="186"/>
      <c r="N362" s="186"/>
      <c r="O362" s="186"/>
      <c r="P362" s="186"/>
      <c r="Q362" s="186"/>
      <c r="R362" s="186"/>
      <c r="S362" s="186"/>
      <c r="T362" s="186"/>
      <c r="U362" s="186"/>
      <c r="V362" s="186"/>
      <c r="W362" s="186"/>
      <c r="X362" s="186"/>
      <c r="Y362" s="186"/>
      <c r="Z362" s="186"/>
      <c r="AA362" s="186"/>
      <c r="AB362" s="186"/>
      <c r="AC362" s="186"/>
      <c r="AD362" s="186"/>
      <c r="AE362" s="186"/>
      <c r="AF362" s="186"/>
      <c r="AG362" s="186"/>
      <c r="AH362" s="186"/>
      <c r="AI362" s="186"/>
      <c r="AJ362" s="186"/>
      <c r="AK362" s="186"/>
      <c r="AL362" s="186"/>
      <c r="AM362" s="186"/>
      <c r="AN362" s="186"/>
      <c r="AO362" s="186"/>
      <c r="AP362" s="186"/>
      <c r="AQ362" s="186"/>
      <c r="AR362" s="186"/>
      <c r="AS362" s="186"/>
      <c r="AT362" s="186"/>
      <c r="AU362" s="186"/>
      <c r="AV362" s="186"/>
      <c r="AW362" s="186"/>
      <c r="AX362" s="186"/>
      <c r="AY362" s="186"/>
      <c r="AZ362" s="186"/>
      <c r="BA362" s="186"/>
      <c r="BB362" s="186"/>
      <c r="BC362" s="186"/>
      <c r="BD362" s="186"/>
      <c r="BE362" s="186"/>
      <c r="BF362" s="186"/>
      <c r="BG362" s="186"/>
      <c r="BH362" s="186"/>
      <c r="BI362" s="186"/>
      <c r="BJ362" s="186"/>
      <c r="BK362" s="186"/>
    </row>
    <row r="363" spans="1:63">
      <c r="A363" s="186"/>
      <c r="B363" s="186"/>
      <c r="C363" s="186"/>
      <c r="D363" s="186"/>
      <c r="E363" s="186"/>
      <c r="F363" s="186"/>
      <c r="G363" s="186"/>
      <c r="H363" s="186"/>
      <c r="I363" s="186"/>
      <c r="J363" s="186"/>
      <c r="K363" s="186"/>
      <c r="L363" s="186"/>
      <c r="M363" s="186"/>
      <c r="N363" s="186"/>
      <c r="O363" s="186"/>
      <c r="P363" s="186"/>
      <c r="Q363" s="186"/>
      <c r="R363" s="186"/>
      <c r="S363" s="186"/>
      <c r="T363" s="186"/>
      <c r="U363" s="186"/>
      <c r="V363" s="186"/>
      <c r="W363" s="186"/>
      <c r="X363" s="186"/>
      <c r="Y363" s="186"/>
      <c r="Z363" s="186"/>
      <c r="AA363" s="186"/>
      <c r="AB363" s="186"/>
      <c r="AC363" s="186"/>
      <c r="AD363" s="186"/>
      <c r="AE363" s="186"/>
      <c r="AF363" s="186"/>
      <c r="AG363" s="186"/>
      <c r="AH363" s="186"/>
      <c r="AI363" s="186"/>
      <c r="AJ363" s="186"/>
      <c r="AK363" s="186"/>
      <c r="AL363" s="186"/>
      <c r="AM363" s="186"/>
      <c r="AN363" s="186"/>
      <c r="AO363" s="186"/>
      <c r="AP363" s="186"/>
      <c r="AQ363" s="186"/>
      <c r="AR363" s="186"/>
      <c r="AS363" s="186"/>
      <c r="AT363" s="186"/>
      <c r="AU363" s="186"/>
      <c r="AV363" s="186"/>
      <c r="AW363" s="186"/>
      <c r="AX363" s="186"/>
      <c r="AY363" s="186"/>
      <c r="AZ363" s="186"/>
      <c r="BA363" s="186"/>
      <c r="BB363" s="186"/>
      <c r="BC363" s="186"/>
      <c r="BD363" s="186"/>
      <c r="BE363" s="186"/>
      <c r="BF363" s="186"/>
      <c r="BG363" s="186"/>
      <c r="BH363" s="186"/>
      <c r="BI363" s="186"/>
      <c r="BJ363" s="186"/>
      <c r="BK363" s="186"/>
    </row>
    <row r="364" spans="1:63">
      <c r="A364" s="186"/>
      <c r="B364" s="186"/>
      <c r="C364" s="186"/>
      <c r="D364" s="186"/>
      <c r="E364" s="186"/>
      <c r="F364" s="186"/>
      <c r="G364" s="186"/>
      <c r="H364" s="186"/>
      <c r="I364" s="186"/>
      <c r="J364" s="186"/>
      <c r="K364" s="186"/>
      <c r="L364" s="186"/>
      <c r="M364" s="186"/>
      <c r="N364" s="186"/>
      <c r="O364" s="186"/>
      <c r="P364" s="186"/>
      <c r="Q364" s="186"/>
      <c r="R364" s="186"/>
      <c r="S364" s="186"/>
      <c r="T364" s="186"/>
      <c r="U364" s="186"/>
      <c r="V364" s="186"/>
      <c r="W364" s="186"/>
      <c r="X364" s="186"/>
      <c r="Y364" s="186"/>
      <c r="Z364" s="186"/>
      <c r="AA364" s="186"/>
      <c r="AB364" s="186"/>
      <c r="AC364" s="186"/>
      <c r="AD364" s="186"/>
      <c r="AE364" s="186"/>
      <c r="AF364" s="186"/>
      <c r="AG364" s="186"/>
      <c r="AH364" s="186"/>
      <c r="AI364" s="186"/>
      <c r="AJ364" s="186"/>
      <c r="AK364" s="186"/>
      <c r="AL364" s="186"/>
      <c r="AM364" s="186"/>
      <c r="AN364" s="186"/>
      <c r="AO364" s="186"/>
      <c r="AP364" s="186"/>
      <c r="AQ364" s="186"/>
      <c r="AR364" s="186"/>
      <c r="AS364" s="186"/>
      <c r="AT364" s="186"/>
      <c r="AU364" s="186"/>
      <c r="AV364" s="186"/>
      <c r="AW364" s="186"/>
      <c r="AX364" s="186"/>
      <c r="AY364" s="186"/>
      <c r="AZ364" s="186"/>
      <c r="BA364" s="186"/>
      <c r="BB364" s="186"/>
      <c r="BC364" s="186"/>
      <c r="BD364" s="186"/>
      <c r="BE364" s="186"/>
      <c r="BF364" s="186"/>
      <c r="BG364" s="186"/>
      <c r="BH364" s="186"/>
      <c r="BI364" s="186"/>
      <c r="BJ364" s="186"/>
      <c r="BK364" s="186"/>
    </row>
    <row r="365" spans="1:63">
      <c r="A365" s="186"/>
      <c r="B365" s="186"/>
      <c r="C365" s="186"/>
      <c r="D365" s="186"/>
      <c r="E365" s="186"/>
      <c r="F365" s="186"/>
      <c r="G365" s="186"/>
      <c r="H365" s="186"/>
      <c r="I365" s="186"/>
      <c r="J365" s="186"/>
      <c r="K365" s="186"/>
      <c r="L365" s="186"/>
      <c r="M365" s="186"/>
      <c r="N365" s="186"/>
      <c r="O365" s="186"/>
      <c r="P365" s="186"/>
      <c r="Q365" s="186"/>
      <c r="R365" s="186"/>
      <c r="S365" s="186"/>
      <c r="T365" s="186"/>
      <c r="U365" s="186"/>
      <c r="V365" s="186"/>
      <c r="W365" s="186"/>
      <c r="X365" s="186"/>
      <c r="Y365" s="186"/>
      <c r="Z365" s="186"/>
      <c r="AA365" s="186"/>
      <c r="AB365" s="186"/>
      <c r="AC365" s="186"/>
      <c r="AD365" s="186"/>
      <c r="AE365" s="186"/>
      <c r="AF365" s="186"/>
      <c r="AG365" s="186"/>
      <c r="AH365" s="186"/>
      <c r="AI365" s="186"/>
      <c r="AJ365" s="186"/>
      <c r="AK365" s="186"/>
      <c r="AL365" s="186"/>
      <c r="AM365" s="186"/>
      <c r="AN365" s="186"/>
      <c r="AO365" s="186"/>
      <c r="AP365" s="186"/>
      <c r="AQ365" s="186"/>
      <c r="AR365" s="186"/>
      <c r="AS365" s="186"/>
      <c r="AT365" s="186"/>
      <c r="AU365" s="186"/>
      <c r="AV365" s="186"/>
      <c r="AW365" s="186"/>
      <c r="AX365" s="186"/>
      <c r="AY365" s="186"/>
      <c r="AZ365" s="186"/>
      <c r="BA365" s="186"/>
      <c r="BB365" s="186"/>
      <c r="BC365" s="186"/>
      <c r="BD365" s="186"/>
      <c r="BE365" s="186"/>
      <c r="BF365" s="186"/>
      <c r="BG365" s="186"/>
      <c r="BH365" s="186"/>
      <c r="BI365" s="186"/>
      <c r="BJ365" s="186"/>
      <c r="BK365" s="186"/>
    </row>
    <row r="366" spans="1:63">
      <c r="A366" s="186"/>
      <c r="B366" s="186"/>
      <c r="C366" s="186"/>
      <c r="D366" s="186"/>
      <c r="E366" s="186"/>
      <c r="F366" s="186"/>
      <c r="G366" s="186"/>
      <c r="H366" s="186"/>
      <c r="I366" s="186"/>
      <c r="J366" s="186"/>
      <c r="K366" s="186"/>
      <c r="L366" s="186"/>
      <c r="M366" s="186"/>
      <c r="N366" s="186"/>
      <c r="O366" s="186"/>
      <c r="P366" s="186"/>
      <c r="Q366" s="186"/>
      <c r="R366" s="186"/>
      <c r="S366" s="186"/>
      <c r="T366" s="186"/>
      <c r="U366" s="186"/>
      <c r="V366" s="186"/>
      <c r="W366" s="186"/>
      <c r="X366" s="186"/>
      <c r="Y366" s="186"/>
      <c r="Z366" s="186"/>
      <c r="AA366" s="186"/>
      <c r="AB366" s="186"/>
      <c r="AC366" s="186"/>
      <c r="AD366" s="186"/>
      <c r="AE366" s="186"/>
      <c r="AF366" s="186"/>
      <c r="AG366" s="186"/>
      <c r="AH366" s="186"/>
      <c r="AI366" s="186"/>
      <c r="AJ366" s="186"/>
      <c r="AK366" s="186"/>
      <c r="AL366" s="186"/>
      <c r="AM366" s="186"/>
      <c r="AN366" s="186"/>
      <c r="AO366" s="186"/>
      <c r="AP366" s="186"/>
      <c r="AQ366" s="186"/>
      <c r="AR366" s="186"/>
      <c r="AS366" s="186"/>
      <c r="AT366" s="186"/>
      <c r="AU366" s="186"/>
      <c r="AV366" s="186"/>
      <c r="AW366" s="186"/>
      <c r="AX366" s="186"/>
      <c r="AY366" s="186"/>
      <c r="AZ366" s="186"/>
      <c r="BA366" s="186"/>
      <c r="BB366" s="186"/>
      <c r="BC366" s="186"/>
      <c r="BD366" s="186"/>
      <c r="BE366" s="186"/>
      <c r="BF366" s="186"/>
      <c r="BG366" s="186"/>
      <c r="BH366" s="186"/>
      <c r="BI366" s="186"/>
      <c r="BJ366" s="186"/>
      <c r="BK366" s="186"/>
    </row>
    <row r="367" spans="1:63">
      <c r="A367" s="186"/>
      <c r="B367" s="186"/>
      <c r="C367" s="186"/>
      <c r="D367" s="186"/>
      <c r="E367" s="186"/>
      <c r="F367" s="186"/>
      <c r="G367" s="186"/>
      <c r="H367" s="186"/>
      <c r="I367" s="186"/>
      <c r="J367" s="186"/>
      <c r="K367" s="186"/>
      <c r="L367" s="186"/>
      <c r="M367" s="186"/>
      <c r="N367" s="186"/>
      <c r="O367" s="186"/>
      <c r="P367" s="186"/>
      <c r="Q367" s="186"/>
      <c r="R367" s="186"/>
      <c r="S367" s="186"/>
      <c r="T367" s="186"/>
      <c r="U367" s="186"/>
      <c r="V367" s="186"/>
      <c r="W367" s="186"/>
      <c r="X367" s="186"/>
      <c r="Y367" s="186"/>
      <c r="Z367" s="186"/>
      <c r="AA367" s="186"/>
      <c r="AB367" s="186"/>
      <c r="AC367" s="186"/>
      <c r="AD367" s="186"/>
      <c r="AE367" s="186"/>
      <c r="AF367" s="186"/>
      <c r="AG367" s="186"/>
      <c r="AH367" s="186"/>
      <c r="AI367" s="186"/>
      <c r="AJ367" s="186"/>
      <c r="AK367" s="186"/>
      <c r="AL367" s="186"/>
      <c r="AM367" s="186"/>
      <c r="AN367" s="186"/>
      <c r="AO367" s="186"/>
      <c r="AP367" s="186"/>
      <c r="AQ367" s="186"/>
      <c r="AR367" s="186"/>
      <c r="AS367" s="186"/>
      <c r="AT367" s="186"/>
      <c r="AU367" s="186"/>
      <c r="AV367" s="186"/>
      <c r="AW367" s="186"/>
      <c r="AX367" s="186"/>
      <c r="AY367" s="186"/>
      <c r="AZ367" s="186"/>
      <c r="BA367" s="186"/>
      <c r="BB367" s="186"/>
      <c r="BC367" s="186"/>
      <c r="BD367" s="186"/>
      <c r="BE367" s="186"/>
      <c r="BF367" s="186"/>
      <c r="BG367" s="186"/>
      <c r="BH367" s="186"/>
      <c r="BI367" s="186"/>
      <c r="BJ367" s="186"/>
      <c r="BK367" s="186"/>
    </row>
    <row r="368" spans="1:63">
      <c r="A368" s="186"/>
      <c r="B368" s="186"/>
      <c r="C368" s="186"/>
      <c r="D368" s="186"/>
      <c r="E368" s="186"/>
      <c r="F368" s="186"/>
      <c r="G368" s="186"/>
      <c r="H368" s="186"/>
      <c r="I368" s="186"/>
      <c r="J368" s="186"/>
      <c r="K368" s="186"/>
      <c r="L368" s="186"/>
      <c r="M368" s="186"/>
      <c r="N368" s="186"/>
      <c r="O368" s="186"/>
      <c r="P368" s="186"/>
      <c r="Q368" s="186"/>
      <c r="R368" s="186"/>
      <c r="S368" s="186"/>
      <c r="T368" s="186"/>
      <c r="U368" s="186"/>
      <c r="V368" s="186"/>
      <c r="W368" s="186"/>
      <c r="X368" s="186"/>
      <c r="Y368" s="186"/>
      <c r="Z368" s="186"/>
      <c r="AA368" s="186"/>
      <c r="AB368" s="186"/>
      <c r="AC368" s="186"/>
      <c r="AD368" s="186"/>
      <c r="AE368" s="186"/>
      <c r="AF368" s="186"/>
      <c r="AG368" s="186"/>
      <c r="AH368" s="186"/>
      <c r="AI368" s="186"/>
      <c r="AJ368" s="186"/>
      <c r="AK368" s="186"/>
      <c r="AL368" s="186"/>
      <c r="AM368" s="186"/>
      <c r="AN368" s="186"/>
      <c r="AO368" s="186"/>
      <c r="AP368" s="186"/>
      <c r="AQ368" s="186"/>
      <c r="AR368" s="186"/>
      <c r="AS368" s="186"/>
      <c r="AT368" s="186"/>
      <c r="AU368" s="186"/>
      <c r="AV368" s="186"/>
      <c r="AW368" s="186"/>
      <c r="AX368" s="186"/>
      <c r="AY368" s="186"/>
      <c r="AZ368" s="186"/>
      <c r="BA368" s="186"/>
      <c r="BB368" s="186"/>
      <c r="BC368" s="186"/>
      <c r="BD368" s="186"/>
      <c r="BE368" s="186"/>
      <c r="BF368" s="186"/>
      <c r="BG368" s="186"/>
      <c r="BH368" s="186"/>
      <c r="BI368" s="186"/>
      <c r="BJ368" s="186"/>
      <c r="BK368" s="186"/>
    </row>
    <row r="369" spans="1:63">
      <c r="A369" s="186"/>
      <c r="B369" s="186"/>
      <c r="C369" s="186"/>
      <c r="D369" s="186"/>
      <c r="E369" s="186"/>
      <c r="F369" s="186"/>
      <c r="G369" s="186"/>
      <c r="H369" s="186"/>
      <c r="I369" s="186"/>
      <c r="J369" s="186"/>
      <c r="K369" s="186"/>
      <c r="L369" s="186"/>
      <c r="M369" s="186"/>
      <c r="N369" s="186"/>
      <c r="O369" s="186"/>
      <c r="P369" s="186"/>
      <c r="Q369" s="186"/>
      <c r="R369" s="186"/>
      <c r="S369" s="186"/>
      <c r="T369" s="186"/>
      <c r="U369" s="186"/>
      <c r="V369" s="186"/>
      <c r="W369" s="186"/>
      <c r="X369" s="186"/>
      <c r="Y369" s="186"/>
      <c r="Z369" s="186"/>
      <c r="AA369" s="186"/>
      <c r="AB369" s="186"/>
      <c r="AC369" s="186"/>
      <c r="AD369" s="186"/>
      <c r="AE369" s="186"/>
      <c r="AF369" s="186"/>
      <c r="AG369" s="186"/>
      <c r="AH369" s="186"/>
      <c r="AI369" s="186"/>
      <c r="AJ369" s="186"/>
      <c r="AK369" s="186"/>
      <c r="AL369" s="186"/>
      <c r="AM369" s="186"/>
      <c r="AN369" s="186"/>
      <c r="AO369" s="186"/>
      <c r="AP369" s="186"/>
      <c r="AQ369" s="186"/>
      <c r="AR369" s="186"/>
      <c r="AS369" s="186"/>
      <c r="AT369" s="186"/>
      <c r="AU369" s="186"/>
      <c r="AV369" s="186"/>
      <c r="AW369" s="186"/>
      <c r="AX369" s="186"/>
      <c r="AY369" s="186"/>
      <c r="AZ369" s="186"/>
      <c r="BA369" s="186"/>
      <c r="BB369" s="186"/>
      <c r="BC369" s="186"/>
      <c r="BD369" s="186"/>
      <c r="BE369" s="186"/>
      <c r="BF369" s="186"/>
      <c r="BG369" s="186"/>
      <c r="BH369" s="186"/>
      <c r="BI369" s="186"/>
      <c r="BJ369" s="186"/>
      <c r="BK369" s="186"/>
    </row>
    <row r="370" spans="1:63">
      <c r="A370" s="186"/>
      <c r="B370" s="186"/>
      <c r="C370" s="186"/>
      <c r="D370" s="186"/>
      <c r="E370" s="186"/>
      <c r="F370" s="186"/>
      <c r="G370" s="186"/>
      <c r="H370" s="186"/>
      <c r="I370" s="186"/>
      <c r="J370" s="186"/>
      <c r="K370" s="186"/>
      <c r="L370" s="186"/>
      <c r="M370" s="186"/>
      <c r="N370" s="186"/>
      <c r="O370" s="186"/>
      <c r="P370" s="186"/>
      <c r="Q370" s="186"/>
      <c r="R370" s="186"/>
      <c r="S370" s="186"/>
      <c r="T370" s="186"/>
      <c r="U370" s="186"/>
      <c r="V370" s="186"/>
      <c r="W370" s="186"/>
      <c r="X370" s="186"/>
      <c r="Y370" s="186"/>
      <c r="Z370" s="186"/>
      <c r="AA370" s="186"/>
      <c r="AB370" s="186"/>
      <c r="AC370" s="186"/>
      <c r="AD370" s="186"/>
      <c r="AE370" s="186"/>
      <c r="AF370" s="186"/>
      <c r="AG370" s="186"/>
      <c r="AH370" s="186"/>
      <c r="AI370" s="186"/>
      <c r="AJ370" s="186"/>
      <c r="AK370" s="186"/>
      <c r="AL370" s="186"/>
      <c r="AM370" s="186"/>
      <c r="AN370" s="186"/>
      <c r="AO370" s="186"/>
      <c r="AP370" s="186"/>
      <c r="AQ370" s="186"/>
      <c r="AR370" s="186"/>
      <c r="AS370" s="186"/>
      <c r="AT370" s="186"/>
      <c r="AU370" s="186"/>
      <c r="AV370" s="186"/>
      <c r="AW370" s="186"/>
      <c r="AX370" s="186"/>
      <c r="AY370" s="186"/>
      <c r="AZ370" s="186"/>
      <c r="BA370" s="186"/>
      <c r="BB370" s="186"/>
      <c r="BC370" s="186"/>
      <c r="BD370" s="186"/>
      <c r="BE370" s="186"/>
      <c r="BF370" s="186"/>
      <c r="BG370" s="186"/>
      <c r="BH370" s="186"/>
      <c r="BI370" s="186"/>
      <c r="BJ370" s="186"/>
      <c r="BK370" s="186"/>
    </row>
    <row r="371" spans="1:63">
      <c r="A371" s="186"/>
      <c r="B371" s="186"/>
      <c r="C371" s="186"/>
      <c r="D371" s="186"/>
      <c r="E371" s="186"/>
      <c r="F371" s="186"/>
      <c r="G371" s="186"/>
      <c r="H371" s="186"/>
      <c r="I371" s="186"/>
      <c r="J371" s="186"/>
      <c r="K371" s="186"/>
      <c r="L371" s="186"/>
      <c r="M371" s="186"/>
      <c r="N371" s="186"/>
      <c r="O371" s="186"/>
      <c r="P371" s="186"/>
      <c r="Q371" s="186"/>
      <c r="R371" s="186"/>
      <c r="S371" s="186"/>
      <c r="T371" s="186"/>
      <c r="U371" s="186"/>
      <c r="V371" s="186"/>
      <c r="W371" s="186"/>
      <c r="X371" s="186"/>
      <c r="Y371" s="186"/>
      <c r="Z371" s="186"/>
      <c r="AA371" s="186"/>
      <c r="AB371" s="186"/>
      <c r="AC371" s="186"/>
      <c r="AD371" s="186"/>
      <c r="AE371" s="186"/>
      <c r="AF371" s="186"/>
      <c r="AG371" s="186"/>
      <c r="AH371" s="186"/>
      <c r="AI371" s="186"/>
      <c r="AJ371" s="186"/>
      <c r="AK371" s="186"/>
      <c r="AL371" s="186"/>
      <c r="AM371" s="186"/>
      <c r="AN371" s="186"/>
      <c r="AO371" s="186"/>
      <c r="AP371" s="186"/>
      <c r="AQ371" s="186"/>
      <c r="AR371" s="186"/>
      <c r="AS371" s="186"/>
      <c r="AT371" s="186"/>
      <c r="AU371" s="186"/>
      <c r="AV371" s="186"/>
      <c r="AW371" s="186"/>
      <c r="AX371" s="186"/>
      <c r="AY371" s="186"/>
      <c r="AZ371" s="186"/>
      <c r="BA371" s="186"/>
      <c r="BB371" s="186"/>
      <c r="BC371" s="186"/>
      <c r="BD371" s="186"/>
      <c r="BE371" s="186"/>
      <c r="BF371" s="186"/>
      <c r="BG371" s="186"/>
      <c r="BH371" s="186"/>
      <c r="BI371" s="186"/>
      <c r="BJ371" s="186"/>
      <c r="BK371" s="186"/>
    </row>
  </sheetData>
  <mergeCells count="1">
    <mergeCell ref="B28:H28"/>
  </mergeCells>
  <pageMargins left="0.7" right="0.7" top="0.75" bottom="0.75" header="0.3" footer="0.3"/>
  <pageSetup scale="51" fitToWidth="3" orientation="portrait" r:id="rId1"/>
  <colBreaks count="2" manualBreakCount="2">
    <brk id="13" max="57" man="1"/>
    <brk id="33" max="57"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DD702AD2EA66254FAB30AC5C833DBF68" ma:contentTypeVersion="76" ma:contentTypeDescription="" ma:contentTypeScope="" ma:versionID="2baf4cffaeb790bdfafae5918b37a3ed">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00299f69f6737e1860c4c7d05e205bb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TG</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227</IndustryCode>
    <CaseStatus xmlns="dc463f71-b30c-4ab2-9473-d307f9d35888">Closed</CaseStatus>
    <OpenedDate xmlns="dc463f71-b30c-4ab2-9473-d307f9d35888">2018-02-14T08:00:00+00:00</OpenedDate>
    <SignificantOrder xmlns="dc463f71-b30c-4ab2-9473-d307f9d35888">false</SignificantOrder>
    <Date1 xmlns="dc463f71-b30c-4ab2-9473-d307f9d35888">2018-02-14T08:00:00+00:00</Date1>
    <IsDocumentOrder xmlns="dc463f71-b30c-4ab2-9473-d307f9d35888">false</IsDocumentOrder>
    <IsHighlyConfidential xmlns="dc463f71-b30c-4ab2-9473-d307f9d35888">false</IsHighlyConfidential>
    <CaseCompanyNames xmlns="dc463f71-b30c-4ab2-9473-d307f9d35888">Columbia River Disposal, Inc.</CaseCompanyNames>
    <Nickname xmlns="http://schemas.microsoft.com/sharepoint/v3" xsi:nil="true"/>
    <DocketNumber xmlns="dc463f71-b30c-4ab2-9473-d307f9d35888">180156</DocketNumber>
    <DelegatedOrder xmlns="dc463f71-b30c-4ab2-9473-d307f9d35888">false</DelegatedOrder>
  </documentManagement>
</p:properties>
</file>

<file path=customXml/itemProps1.xml><?xml version="1.0" encoding="utf-8"?>
<ds:datastoreItem xmlns:ds="http://schemas.openxmlformats.org/officeDocument/2006/customXml" ds:itemID="{BB34EF7E-58D7-4E77-B64F-88DA4197CFD6}"/>
</file>

<file path=customXml/itemProps2.xml><?xml version="1.0" encoding="utf-8"?>
<ds:datastoreItem xmlns:ds="http://schemas.openxmlformats.org/officeDocument/2006/customXml" ds:itemID="{C4BF4D7C-36A3-47A9-9D65-0908541A16C0}"/>
</file>

<file path=customXml/itemProps3.xml><?xml version="1.0" encoding="utf-8"?>
<ds:datastoreItem xmlns:ds="http://schemas.openxmlformats.org/officeDocument/2006/customXml" ds:itemID="{8590A182-E623-48CA-9BB2-61C378BF4F73}"/>
</file>

<file path=customXml/itemProps4.xml><?xml version="1.0" encoding="utf-8"?>
<ds:datastoreItem xmlns:ds="http://schemas.openxmlformats.org/officeDocument/2006/customXml" ds:itemID="{6BF9AD67-35C7-42A1-8B31-2A5C29136E6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58</vt:i4>
      </vt:variant>
    </vt:vector>
  </HeadingPairs>
  <TitlesOfParts>
    <vt:vector size="82" baseType="lpstr">
      <vt:lpstr>References</vt:lpstr>
      <vt:lpstr>2025 IS</vt:lpstr>
      <vt:lpstr>Bingen Consolidated IS</vt:lpstr>
      <vt:lpstr>Ratios</vt:lpstr>
      <vt:lpstr>Restating Adj's</vt:lpstr>
      <vt:lpstr>Pro-forma Adj's</vt:lpstr>
      <vt:lpstr>LG</vt:lpstr>
      <vt:lpstr>LG G-48</vt:lpstr>
      <vt:lpstr>LG G-51</vt:lpstr>
      <vt:lpstr>G-48 Price Out</vt:lpstr>
      <vt:lpstr>G-51 Price Out</vt:lpstr>
      <vt:lpstr>Rate Schedule G-48</vt:lpstr>
      <vt:lpstr>Rate Schedule G-51</vt:lpstr>
      <vt:lpstr>Payroll Schedule</vt:lpstr>
      <vt:lpstr>Depr Summary</vt:lpstr>
      <vt:lpstr>DF Schedule</vt:lpstr>
      <vt:lpstr>Region OH Calc</vt:lpstr>
      <vt:lpstr>Corp OH</vt:lpstr>
      <vt:lpstr>Mgmt Alloc In</vt:lpstr>
      <vt:lpstr>WCI IS</vt:lpstr>
      <vt:lpstr>WCI BS</vt:lpstr>
      <vt:lpstr>12.31.17 BS</vt:lpstr>
      <vt:lpstr>12.31.16 BS</vt:lpstr>
      <vt:lpstr>IS End 1.31.18</vt:lpstr>
      <vt:lpstr>'12.31.16 BS'!District</vt:lpstr>
      <vt:lpstr>'12.31.17 BS'!District</vt:lpstr>
      <vt:lpstr>'2025 IS'!District</vt:lpstr>
      <vt:lpstr>'IS End 1.31.18'!District</vt:lpstr>
      <vt:lpstr>'Region OH Calc'!District</vt:lpstr>
      <vt:lpstr>'12.31.16 BS'!DistrictName</vt:lpstr>
      <vt:lpstr>'12.31.17 BS'!DistrictName</vt:lpstr>
      <vt:lpstr>'2025 IS'!DistrictName</vt:lpstr>
      <vt:lpstr>'IS End 1.31.18'!DistrictName</vt:lpstr>
      <vt:lpstr>'Region OH Calc'!DistrictName</vt:lpstr>
      <vt:lpstr>'12.31.16 BS'!ExcludeIC</vt:lpstr>
      <vt:lpstr>'12.31.17 BS'!ExcludeIC</vt:lpstr>
      <vt:lpstr>'2025 IS'!ExcludeIC</vt:lpstr>
      <vt:lpstr>'IS End 1.31.18'!ExcludeIC</vt:lpstr>
      <vt:lpstr>'Region OH Calc'!ExcludeIC</vt:lpstr>
      <vt:lpstr>'12.31.16 BS'!Print_Area</vt:lpstr>
      <vt:lpstr>'12.31.17 BS'!Print_Area</vt:lpstr>
      <vt:lpstr>'2025 IS'!Print_Area</vt:lpstr>
      <vt:lpstr>'Bingen Consolidated IS'!Print_Area</vt:lpstr>
      <vt:lpstr>'Corp OH'!Print_Area</vt:lpstr>
      <vt:lpstr>'Depr Summary'!Print_Area</vt:lpstr>
      <vt:lpstr>'DF Schedule'!Print_Area</vt:lpstr>
      <vt:lpstr>'IS End 1.31.18'!Print_Area</vt:lpstr>
      <vt:lpstr>LG!Print_Area</vt:lpstr>
      <vt:lpstr>'LG G-48'!Print_Area</vt:lpstr>
      <vt:lpstr>'LG G-51'!Print_Area</vt:lpstr>
      <vt:lpstr>'Mgmt Alloc In'!Print_Area</vt:lpstr>
      <vt:lpstr>'Payroll Schedule'!Print_Area</vt:lpstr>
      <vt:lpstr>'Pro-forma Adj''s'!Print_Area</vt:lpstr>
      <vt:lpstr>'Rate Schedule G-48'!Print_Area</vt:lpstr>
      <vt:lpstr>'Rate Schedule G-51'!Print_Area</vt:lpstr>
      <vt:lpstr>'Region OH Calc'!Print_Area</vt:lpstr>
      <vt:lpstr>'Restating Adj''s'!Print_Area</vt:lpstr>
      <vt:lpstr>'WCI BS'!Print_Area</vt:lpstr>
      <vt:lpstr>'WCI IS'!Print_Area</vt:lpstr>
      <vt:lpstr>'12.31.16 BS'!Print_Titles</vt:lpstr>
      <vt:lpstr>'12.31.17 BS'!Print_Titles</vt:lpstr>
      <vt:lpstr>'2025 IS'!Print_Titles</vt:lpstr>
      <vt:lpstr>'Bingen Consolidated IS'!Print_Titles</vt:lpstr>
      <vt:lpstr>'Corp OH'!Print_Titles</vt:lpstr>
      <vt:lpstr>'G-48 Price Out'!Print_Titles</vt:lpstr>
      <vt:lpstr>'G-51 Price Out'!Print_Titles</vt:lpstr>
      <vt:lpstr>'IS End 1.31.18'!Print_Titles</vt:lpstr>
      <vt:lpstr>'Payroll Schedule'!Print_Titles</vt:lpstr>
      <vt:lpstr>'Rate Schedule G-48'!Print_Titles</vt:lpstr>
      <vt:lpstr>'Rate Schedule G-51'!Print_Titles</vt:lpstr>
      <vt:lpstr>'Region OH Calc'!Print_Titles</vt:lpstr>
      <vt:lpstr>'Restating Adj''s'!Print_Titles</vt:lpstr>
      <vt:lpstr>'12.31.16 BS'!System</vt:lpstr>
      <vt:lpstr>'12.31.17 BS'!System</vt:lpstr>
      <vt:lpstr>'2025 IS'!System</vt:lpstr>
      <vt:lpstr>'IS End 1.31.18'!System</vt:lpstr>
      <vt:lpstr>'Region OH Calc'!System</vt:lpstr>
      <vt:lpstr>'12.31.16 BS'!YearMonth</vt:lpstr>
      <vt:lpstr>'12.31.17 BS'!YearMonth</vt:lpstr>
      <vt:lpstr>'2025 IS'!YearMonth</vt:lpstr>
      <vt:lpstr>'IS End 1.31.18'!YearMonth</vt:lpstr>
      <vt:lpstr>'Region OH Calc'!YearMonth</vt:lpstr>
    </vt:vector>
  </TitlesOfParts>
  <Company>R360 Environmental Solutions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Lindsay Waldram</dc:creator>
  <cp:lastModifiedBy>Heather Garland</cp:lastModifiedBy>
  <cp:lastPrinted>2018-02-14T04:11:44Z</cp:lastPrinted>
  <dcterms:created xsi:type="dcterms:W3CDTF">2017-08-03T14:12:45Z</dcterms:created>
  <dcterms:modified xsi:type="dcterms:W3CDTF">2018-02-14T04:13:14Z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0x0101006E56B4D1795A2E4DB2F0B01679ED314A00DD702AD2EA66254FAB30AC5C833DBF68</vt:lpwstr>
  </property>
  <property fmtid="{D5CDD505-2E9C-101B-9397-08002B2CF9AE}" pid="3" name="_docset_NoMedatataSyncRequired">
    <vt:lpwstr>False</vt:lpwstr>
  </property>
  <property fmtid="{D5CDD505-2E9C-101B-9397-08002B2CF9AE}" pid="4" name="IsEFSEC">
    <vt:bool>false</vt:bool>
  </property>
</Properties>
</file>